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pivotTables/pivotTable1.xml" ContentType="application/vnd.openxmlformats-officedocument.spreadsheetml.pivotTable+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drawings/drawing7.xml" ContentType="application/vnd.openxmlformats-officedocument.drawing+xml"/>
  <Override PartName="/xl/tables/table9.xml" ContentType="application/vnd.openxmlformats-officedocument.spreadsheetml.table+xml"/>
  <Override PartName="/xl/queryTables/queryTable6.xml" ContentType="application/vnd.openxmlformats-officedocument.spreadsheetml.queryTable+xml"/>
  <Override PartName="/xl/pivotTables/pivotTable2.xml" ContentType="application/vnd.openxmlformats-officedocument.spreadsheetml.pivotTable+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3000" activeTab="8"/>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Budgets!$M$2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O_id">Budgets!$K$2</definedName>
    <definedName name="prop_atr_code">Advanced!$D$23</definedName>
    <definedName name="prop_stts_abbr">Advanced!$D$19</definedName>
    <definedName name="prop_titl_txt">Advanced!$D$22</definedName>
    <definedName name="Query_from_RPTSERVER" localSheetId="2" hidden="1">Budgets!$A$3:$AC$518</definedName>
    <definedName name="Query_from_RPTSERVER" localSheetId="3" hidden="1">ckAwd!$A$1:$AX$106</definedName>
    <definedName name="Query_from_RPTSERVER" localSheetId="1" hidden="1">ckCoding!$A$1:$BL$75</definedName>
    <definedName name="Query_from_RPTSERVER" localSheetId="4" hidden="1">ckSplits!$A$1:$AH$73</definedName>
    <definedName name="Query_from_RPTSERVER" localSheetId="6" hidden="1">PRCs!$A$2:$B$15</definedName>
    <definedName name="Query_from_RPTSERVER" localSheetId="5" hidden="1">ProjText!$B$1:$P$592</definedName>
    <definedName name="Query_from_RPTSERVER" localSheetId="8" hidden="1">RAData!$A$1:$EB$92</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HiddenSettings!$C$36</definedName>
    <definedName name="RA_leads" localSheetId="9">HiddenSettings!$C$26</definedName>
    <definedName name="RA_panl" localSheetId="9">HiddenSettings!$C$30</definedName>
    <definedName name="RA_pidCreate" localSheetId="9">HiddenSettings!$C$38</definedName>
    <definedName name="RA_pidSelect" localSheetId="9">HiddenSettings!$C$39</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HiddenSettings!$C$37</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pivotCaches>
    <pivotCache cacheId="0" r:id="rId11"/>
    <pivotCache cacheId="10"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2" i="3" l="1"/>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AW2" i="10" l="1"/>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AW97" i="10"/>
  <c r="AW98" i="10"/>
  <c r="AW99" i="10"/>
  <c r="AW100" i="10"/>
  <c r="AW101" i="10"/>
  <c r="AW102" i="10"/>
  <c r="AW103" i="10"/>
  <c r="AW104" i="10"/>
  <c r="AW105" i="10"/>
  <c r="AW106" i="10"/>
  <c r="AG18" i="10"/>
  <c r="AG2" i="10"/>
  <c r="AG3" i="10"/>
  <c r="AG4" i="10"/>
  <c r="AG5" i="10"/>
  <c r="AG6" i="10"/>
  <c r="AG7" i="10"/>
  <c r="AG8" i="10"/>
  <c r="AG9" i="10"/>
  <c r="AG10" i="10"/>
  <c r="AG11" i="10"/>
  <c r="AG12" i="10"/>
  <c r="AG13" i="10"/>
  <c r="AG14" i="10"/>
  <c r="AG15" i="10"/>
  <c r="AG16" i="10"/>
  <c r="AG17"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2" i="10"/>
  <c r="AG103" i="10"/>
  <c r="AG104" i="10"/>
  <c r="AG105" i="10"/>
  <c r="AG106" i="10"/>
  <c r="D4" i="13"/>
  <c r="D5" i="13" s="1"/>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D98" i="13" s="1"/>
  <c r="D99" i="13" s="1"/>
  <c r="D100" i="13" s="1"/>
  <c r="D101" i="13" s="1"/>
  <c r="D102" i="13" s="1"/>
  <c r="D103" i="13" s="1"/>
  <c r="D104" i="13" s="1"/>
  <c r="D105" i="13" s="1"/>
  <c r="D106" i="13" s="1"/>
  <c r="D107" i="13" s="1"/>
  <c r="D108" i="13" s="1"/>
  <c r="D109" i="13" s="1"/>
  <c r="D110" i="13" s="1"/>
  <c r="D111" i="13" s="1"/>
  <c r="D112" i="13" s="1"/>
  <c r="D113" i="13" s="1"/>
  <c r="D114" i="13" s="1"/>
  <c r="D115" i="13" s="1"/>
  <c r="D116" i="13" s="1"/>
  <c r="D117" i="13" s="1"/>
  <c r="D118" i="13" s="1"/>
  <c r="D119" i="13" s="1"/>
  <c r="D120" i="13" s="1"/>
  <c r="D121" i="13" s="1"/>
  <c r="D122" i="13" s="1"/>
  <c r="D123" i="13" s="1"/>
  <c r="D124" i="13" s="1"/>
  <c r="D125" i="13" s="1"/>
  <c r="D126" i="13" s="1"/>
  <c r="D127" i="13" s="1"/>
  <c r="D128" i="13" s="1"/>
  <c r="D129" i="13" s="1"/>
  <c r="D130" i="13" s="1"/>
  <c r="D131" i="13" s="1"/>
  <c r="D132" i="13" s="1"/>
  <c r="D133" i="13" s="1"/>
  <c r="D134" i="13" s="1"/>
  <c r="D135" i="13" s="1"/>
  <c r="D136" i="13" s="1"/>
  <c r="D137" i="13" s="1"/>
  <c r="D138" i="13" s="1"/>
  <c r="D139" i="13" s="1"/>
  <c r="D140" i="13" s="1"/>
  <c r="D141" i="13" s="1"/>
  <c r="D142" i="13" s="1"/>
  <c r="D143" i="13" s="1"/>
  <c r="D144" i="13" s="1"/>
  <c r="D145" i="13" s="1"/>
  <c r="D146" i="13" s="1"/>
  <c r="D147" i="13" s="1"/>
  <c r="D148" i="13" s="1"/>
  <c r="D149" i="13" s="1"/>
  <c r="D150" i="13" s="1"/>
  <c r="D151" i="13" s="1"/>
  <c r="D152" i="13" s="1"/>
  <c r="D153" i="13" s="1"/>
  <c r="D154" i="13" s="1"/>
  <c r="D155" i="13" s="1"/>
  <c r="D156" i="13" s="1"/>
  <c r="D157" i="13" s="1"/>
  <c r="D158" i="13" s="1"/>
  <c r="D159" i="13" s="1"/>
  <c r="D160" i="13" s="1"/>
  <c r="D161" i="13" s="1"/>
  <c r="D162" i="13" s="1"/>
  <c r="D163" i="13" s="1"/>
  <c r="D164" i="13" s="1"/>
  <c r="D165" i="13" s="1"/>
  <c r="D166" i="13" s="1"/>
  <c r="D167" i="13" s="1"/>
  <c r="D168" i="13" s="1"/>
  <c r="D169" i="13" s="1"/>
  <c r="D170" i="13" s="1"/>
  <c r="D171" i="13" s="1"/>
  <c r="D172" i="13" s="1"/>
  <c r="D173" i="13" s="1"/>
  <c r="D174" i="13" s="1"/>
  <c r="D175" i="13" s="1"/>
  <c r="D176" i="13" s="1"/>
  <c r="D177" i="13" s="1"/>
  <c r="D178" i="13" s="1"/>
  <c r="D179" i="13" s="1"/>
  <c r="D180" i="13" s="1"/>
  <c r="D181" i="13" s="1"/>
  <c r="D182" i="13" s="1"/>
  <c r="D183" i="13" s="1"/>
  <c r="D184" i="13" s="1"/>
  <c r="D185" i="13" s="1"/>
  <c r="D186" i="13" s="1"/>
  <c r="D187" i="13" s="1"/>
  <c r="D188" i="13" s="1"/>
  <c r="D189" i="13" s="1"/>
  <c r="D190" i="13" s="1"/>
  <c r="D191" i="13" s="1"/>
  <c r="D192" i="13" s="1"/>
  <c r="D193" i="13" s="1"/>
  <c r="D194" i="13" s="1"/>
  <c r="D195" i="13" s="1"/>
  <c r="D196" i="13" s="1"/>
  <c r="D197" i="13" s="1"/>
  <c r="D198" i="13" s="1"/>
  <c r="D199" i="13" s="1"/>
  <c r="D200" i="13" s="1"/>
  <c r="D201" i="13" s="1"/>
  <c r="D202" i="13" s="1"/>
  <c r="D203" i="13" s="1"/>
  <c r="D204" i="13" s="1"/>
  <c r="D205" i="13" s="1"/>
  <c r="D206" i="13" s="1"/>
  <c r="D207" i="13" s="1"/>
  <c r="D208" i="13" s="1"/>
  <c r="D209" i="13" s="1"/>
  <c r="D210" i="13" s="1"/>
  <c r="D211" i="13" s="1"/>
  <c r="D212" i="13" s="1"/>
  <c r="D213" i="13" s="1"/>
  <c r="D214" i="13" s="1"/>
  <c r="D215" i="13" s="1"/>
  <c r="D216" i="13" s="1"/>
  <c r="D217" i="13" s="1"/>
  <c r="D218" i="13" s="1"/>
  <c r="D219" i="13" s="1"/>
  <c r="D220" i="13" s="1"/>
  <c r="D221" i="13" s="1"/>
  <c r="D222" i="13" s="1"/>
  <c r="D223" i="13" s="1"/>
  <c r="D224" i="13" s="1"/>
  <c r="D225" i="13" s="1"/>
  <c r="D226" i="13" s="1"/>
  <c r="D227" i="13" s="1"/>
  <c r="D228" i="13" s="1"/>
  <c r="D229" i="13" s="1"/>
  <c r="D230" i="13" s="1"/>
  <c r="D231" i="13" s="1"/>
  <c r="D232" i="13" s="1"/>
  <c r="D233" i="13" s="1"/>
  <c r="D234" i="13" s="1"/>
  <c r="D235" i="13" s="1"/>
  <c r="D236" i="13" s="1"/>
  <c r="D237" i="13" s="1"/>
  <c r="D238" i="13" s="1"/>
  <c r="D239" i="13" s="1"/>
  <c r="D240" i="13" s="1"/>
  <c r="D241" i="13" s="1"/>
  <c r="D242" i="13" s="1"/>
  <c r="D243" i="13" s="1"/>
  <c r="D244" i="13" s="1"/>
  <c r="D245" i="13" s="1"/>
  <c r="D246" i="13" s="1"/>
  <c r="D247" i="13" s="1"/>
  <c r="D248" i="13" s="1"/>
  <c r="D249" i="13" s="1"/>
  <c r="D250" i="13" s="1"/>
  <c r="D251" i="13" s="1"/>
  <c r="D252" i="13" s="1"/>
  <c r="D253" i="13" s="1"/>
  <c r="D254" i="13" s="1"/>
  <c r="D255" i="13" s="1"/>
  <c r="D256" i="13" s="1"/>
  <c r="D257" i="13" s="1"/>
  <c r="D258" i="13" s="1"/>
  <c r="D259" i="13" s="1"/>
  <c r="D260" i="13" s="1"/>
  <c r="D261" i="13" s="1"/>
  <c r="D262" i="13" s="1"/>
  <c r="D263" i="13" s="1"/>
  <c r="D264" i="13" s="1"/>
  <c r="D265" i="13" s="1"/>
  <c r="D266" i="13" s="1"/>
  <c r="D267" i="13" s="1"/>
  <c r="D268" i="13" s="1"/>
  <c r="D269" i="13" s="1"/>
  <c r="D270" i="13" s="1"/>
  <c r="D271" i="13" s="1"/>
  <c r="D272" i="13" s="1"/>
  <c r="D273" i="13" s="1"/>
  <c r="D274" i="13" s="1"/>
  <c r="D275" i="13" s="1"/>
  <c r="D276" i="13" s="1"/>
  <c r="D277" i="13" s="1"/>
  <c r="D278" i="13" s="1"/>
  <c r="D279" i="13" s="1"/>
  <c r="D280" i="13" s="1"/>
  <c r="D281" i="13" s="1"/>
  <c r="D282" i="13" s="1"/>
  <c r="D283" i="13" s="1"/>
  <c r="D284" i="13" s="1"/>
  <c r="D285" i="13" s="1"/>
  <c r="D286" i="13" s="1"/>
  <c r="D287" i="13" s="1"/>
  <c r="D288" i="13" s="1"/>
  <c r="D289" i="13" s="1"/>
  <c r="D290" i="13" s="1"/>
  <c r="D291" i="13" s="1"/>
  <c r="D292" i="13" s="1"/>
  <c r="D293" i="13" s="1"/>
  <c r="D294" i="13" s="1"/>
  <c r="D295" i="13" s="1"/>
  <c r="D296" i="13" s="1"/>
  <c r="D297" i="13" s="1"/>
  <c r="D298" i="13" s="1"/>
  <c r="D299" i="13" s="1"/>
  <c r="D300" i="13" s="1"/>
  <c r="D301" i="13" s="1"/>
  <c r="D302" i="13" s="1"/>
  <c r="D303" i="13" s="1"/>
  <c r="D304" i="13" s="1"/>
  <c r="D305" i="13" s="1"/>
  <c r="D306" i="13" s="1"/>
  <c r="D307" i="13" s="1"/>
  <c r="D308" i="13" s="1"/>
  <c r="D309" i="13" s="1"/>
  <c r="D310" i="13" s="1"/>
  <c r="D311" i="13" s="1"/>
  <c r="D312" i="13" s="1"/>
  <c r="D313" i="13" s="1"/>
  <c r="D314" i="13" s="1"/>
  <c r="D315" i="13" s="1"/>
  <c r="D316" i="13" s="1"/>
  <c r="D317" i="13" s="1"/>
  <c r="D318" i="13" s="1"/>
  <c r="D319" i="13" s="1"/>
  <c r="D320" i="13" s="1"/>
  <c r="D321" i="13" s="1"/>
  <c r="D322" i="13" s="1"/>
  <c r="D323" i="13" s="1"/>
  <c r="D324" i="13" s="1"/>
  <c r="D325" i="13" s="1"/>
  <c r="D326" i="13" s="1"/>
  <c r="D327" i="13" s="1"/>
  <c r="D328" i="13" s="1"/>
  <c r="D329" i="13" s="1"/>
  <c r="D330" i="13" s="1"/>
  <c r="D331" i="13" s="1"/>
  <c r="D332" i="13" s="1"/>
  <c r="D333" i="13" s="1"/>
  <c r="D334" i="13" s="1"/>
  <c r="D335" i="13" s="1"/>
  <c r="D336" i="13" s="1"/>
  <c r="D337" i="13" s="1"/>
  <c r="D338" i="13" s="1"/>
  <c r="D339" i="13" s="1"/>
  <c r="D340" i="13" s="1"/>
  <c r="D341" i="13" s="1"/>
  <c r="D342" i="13" s="1"/>
  <c r="D343" i="13" s="1"/>
  <c r="D344" i="13" s="1"/>
  <c r="D345" i="13" s="1"/>
  <c r="D346" i="13" s="1"/>
  <c r="D347" i="13" s="1"/>
  <c r="D348" i="13" s="1"/>
  <c r="D349" i="13" s="1"/>
  <c r="D350" i="13" s="1"/>
  <c r="D351" i="13" s="1"/>
  <c r="D352" i="13" s="1"/>
  <c r="D353" i="13" s="1"/>
  <c r="D354" i="13" s="1"/>
  <c r="D355" i="13" s="1"/>
  <c r="D356" i="13" s="1"/>
  <c r="D357" i="13" s="1"/>
  <c r="D358" i="13" s="1"/>
  <c r="D359" i="13" s="1"/>
  <c r="D360" i="13" s="1"/>
  <c r="D361" i="13" s="1"/>
  <c r="D362" i="13" s="1"/>
  <c r="D363" i="13" s="1"/>
  <c r="D364" i="13" s="1"/>
  <c r="D365" i="13" s="1"/>
  <c r="D366" i="13" s="1"/>
  <c r="D367" i="13" s="1"/>
  <c r="D368" i="13" s="1"/>
  <c r="D369" i="13" s="1"/>
  <c r="D370" i="13" s="1"/>
  <c r="D371" i="13" s="1"/>
  <c r="D372" i="13" s="1"/>
  <c r="D373" i="13" s="1"/>
  <c r="D374" i="13" s="1"/>
  <c r="D375" i="13" s="1"/>
  <c r="D376" i="13" s="1"/>
  <c r="D377" i="13" s="1"/>
  <c r="D378" i="13" s="1"/>
  <c r="D379" i="13" s="1"/>
  <c r="D380" i="13" s="1"/>
  <c r="D381" i="13" s="1"/>
  <c r="D382" i="13" s="1"/>
  <c r="D383" i="13" s="1"/>
  <c r="D384" i="13" s="1"/>
  <c r="D385" i="13" s="1"/>
  <c r="D386" i="13" s="1"/>
  <c r="D387" i="13" s="1"/>
  <c r="D388" i="13" s="1"/>
  <c r="D389" i="13" s="1"/>
  <c r="D390" i="13" s="1"/>
  <c r="D391" i="13" s="1"/>
  <c r="D392" i="13" s="1"/>
  <c r="D393" i="13" s="1"/>
  <c r="D394" i="13" s="1"/>
  <c r="D395" i="13" s="1"/>
  <c r="D396" i="13" s="1"/>
  <c r="D397" i="13" s="1"/>
  <c r="D398" i="13" s="1"/>
  <c r="D399" i="13" s="1"/>
  <c r="D400" i="13" s="1"/>
  <c r="D401" i="13" s="1"/>
  <c r="D402" i="13" s="1"/>
  <c r="D403" i="13" s="1"/>
  <c r="D404" i="13" s="1"/>
  <c r="D405" i="13" s="1"/>
  <c r="D406" i="13" s="1"/>
  <c r="D407" i="13" s="1"/>
  <c r="D408" i="13" s="1"/>
  <c r="D409" i="13" s="1"/>
  <c r="D410" i="13" s="1"/>
  <c r="D411" i="13" s="1"/>
  <c r="D412" i="13" s="1"/>
  <c r="D413" i="13" s="1"/>
  <c r="D414" i="13" s="1"/>
  <c r="D415" i="13" s="1"/>
  <c r="D416" i="13" s="1"/>
  <c r="D417" i="13" s="1"/>
  <c r="D418" i="13" s="1"/>
  <c r="D419" i="13" s="1"/>
  <c r="D420" i="13" s="1"/>
  <c r="D421" i="13" s="1"/>
  <c r="D422" i="13" s="1"/>
  <c r="D423" i="13" s="1"/>
  <c r="D424" i="13" s="1"/>
  <c r="D425" i="13" s="1"/>
  <c r="D426" i="13" s="1"/>
  <c r="D427" i="13" s="1"/>
  <c r="D428" i="13" s="1"/>
  <c r="D429" i="13" s="1"/>
  <c r="D430" i="13" s="1"/>
  <c r="D431" i="13" s="1"/>
  <c r="D432" i="13" s="1"/>
  <c r="D433" i="13" s="1"/>
  <c r="D434" i="13" s="1"/>
  <c r="D435" i="13" s="1"/>
  <c r="D436" i="13" s="1"/>
  <c r="D437" i="13" s="1"/>
  <c r="D438" i="13" s="1"/>
  <c r="D439" i="13" s="1"/>
  <c r="D440" i="13" s="1"/>
  <c r="D441" i="13" s="1"/>
  <c r="D442" i="13" s="1"/>
  <c r="D443" i="13" s="1"/>
  <c r="D444" i="13" s="1"/>
  <c r="D445" i="13" s="1"/>
  <c r="D446" i="13" s="1"/>
  <c r="D447" i="13" s="1"/>
  <c r="D448" i="13" s="1"/>
  <c r="D449" i="13" s="1"/>
  <c r="D450" i="13" s="1"/>
  <c r="D451" i="13" s="1"/>
  <c r="D452" i="13" s="1"/>
  <c r="D453" i="13" s="1"/>
  <c r="D454" i="13" s="1"/>
  <c r="D455" i="13" s="1"/>
  <c r="D456" i="13" s="1"/>
  <c r="D457" i="13" s="1"/>
  <c r="D458" i="13" s="1"/>
  <c r="D459" i="13" s="1"/>
  <c r="D460" i="13" s="1"/>
  <c r="D461" i="13" s="1"/>
  <c r="D462" i="13" s="1"/>
  <c r="D463" i="13" s="1"/>
  <c r="D464" i="13" s="1"/>
  <c r="D465" i="13" s="1"/>
  <c r="D466" i="13" s="1"/>
  <c r="D467" i="13" s="1"/>
  <c r="D468" i="13" s="1"/>
  <c r="D469" i="13" s="1"/>
  <c r="D470" i="13" s="1"/>
  <c r="D471" i="13" s="1"/>
  <c r="D472" i="13" s="1"/>
  <c r="D473" i="13" s="1"/>
  <c r="D474" i="13" s="1"/>
  <c r="D475" i="13" s="1"/>
  <c r="D476" i="13" s="1"/>
  <c r="D477" i="13" s="1"/>
  <c r="D478" i="13" s="1"/>
  <c r="D479" i="13" s="1"/>
  <c r="D480" i="13" s="1"/>
  <c r="D481" i="13" s="1"/>
  <c r="D482" i="13" s="1"/>
  <c r="D483" i="13" s="1"/>
  <c r="D484" i="13" s="1"/>
  <c r="D485" i="13" s="1"/>
  <c r="D486" i="13" s="1"/>
  <c r="D487" i="13" s="1"/>
  <c r="D488" i="13" s="1"/>
  <c r="D489" i="13" s="1"/>
  <c r="D490" i="13" s="1"/>
  <c r="D491" i="13" s="1"/>
  <c r="D492" i="13" s="1"/>
  <c r="D493" i="13" s="1"/>
  <c r="D494" i="13" s="1"/>
  <c r="D495" i="13" s="1"/>
  <c r="D496" i="13" s="1"/>
  <c r="D497" i="13" s="1"/>
  <c r="D498" i="13" s="1"/>
  <c r="D499" i="13" s="1"/>
  <c r="D500" i="13" s="1"/>
  <c r="D501" i="13" s="1"/>
  <c r="D502" i="13" s="1"/>
  <c r="D503" i="13" s="1"/>
  <c r="D504" i="13" s="1"/>
  <c r="D505" i="13" s="1"/>
  <c r="D506" i="13" s="1"/>
  <c r="D507" i="13" s="1"/>
  <c r="D508" i="13" s="1"/>
  <c r="D509" i="13" s="1"/>
  <c r="D510" i="13" s="1"/>
  <c r="D511" i="13" s="1"/>
  <c r="D512" i="13" s="1"/>
  <c r="D513" i="13" s="1"/>
  <c r="D514" i="13" s="1"/>
  <c r="D515" i="13" s="1"/>
  <c r="D516" i="13" s="1"/>
  <c r="D517" i="13" s="1"/>
  <c r="D518" i="13" s="1"/>
  <c r="C4" i="13"/>
  <c r="C5" i="13" s="1"/>
  <c r="C6" i="13" s="1"/>
  <c r="C7" i="13" s="1"/>
  <c r="C8" i="13" s="1"/>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100" i="13" s="1"/>
  <c r="C101" i="13" s="1"/>
  <c r="C102" i="13" s="1"/>
  <c r="C103" i="13" s="1"/>
  <c r="C104" i="13" s="1"/>
  <c r="C105" i="13" s="1"/>
  <c r="C106" i="13" s="1"/>
  <c r="C107" i="13" s="1"/>
  <c r="C108" i="13" s="1"/>
  <c r="C109" i="13" s="1"/>
  <c r="C110" i="13" s="1"/>
  <c r="C111" i="13" s="1"/>
  <c r="C112" i="13" s="1"/>
  <c r="C113" i="13" s="1"/>
  <c r="C114" i="13" s="1"/>
  <c r="C115" i="13" s="1"/>
  <c r="C116" i="13" s="1"/>
  <c r="C117" i="13" s="1"/>
  <c r="C118" i="13" s="1"/>
  <c r="C119" i="13" s="1"/>
  <c r="C120" i="13" s="1"/>
  <c r="C121" i="13" s="1"/>
  <c r="C122" i="13" s="1"/>
  <c r="C123" i="13" s="1"/>
  <c r="C124" i="13" s="1"/>
  <c r="C125" i="13" s="1"/>
  <c r="C126" i="13" s="1"/>
  <c r="C127" i="13" s="1"/>
  <c r="C128" i="13" s="1"/>
  <c r="C129" i="13" s="1"/>
  <c r="C130" i="13" s="1"/>
  <c r="C131" i="13" s="1"/>
  <c r="C132" i="13" s="1"/>
  <c r="C133" i="13" s="1"/>
  <c r="C134" i="13" s="1"/>
  <c r="C135" i="13" s="1"/>
  <c r="C136" i="13" s="1"/>
  <c r="C137" i="13" s="1"/>
  <c r="C138" i="13" s="1"/>
  <c r="C139" i="13" s="1"/>
  <c r="C140" i="13" s="1"/>
  <c r="C141" i="13" s="1"/>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91" i="13" s="1"/>
  <c r="C192" i="13" s="1"/>
  <c r="C193" i="13" s="1"/>
  <c r="C194" i="13" s="1"/>
  <c r="C195" i="13" s="1"/>
  <c r="C196" i="13" s="1"/>
  <c r="C197" i="13" s="1"/>
  <c r="C198" i="13" s="1"/>
  <c r="C199" i="13" s="1"/>
  <c r="C200" i="13" s="1"/>
  <c r="C201" i="13" s="1"/>
  <c r="C202" i="13" s="1"/>
  <c r="C203" i="13" s="1"/>
  <c r="C204" i="13" s="1"/>
  <c r="C205" i="13" s="1"/>
  <c r="C206" i="13" s="1"/>
  <c r="C207" i="13" s="1"/>
  <c r="C208" i="13" s="1"/>
  <c r="C209" i="13" s="1"/>
  <c r="C210" i="13" s="1"/>
  <c r="C211" i="13" s="1"/>
  <c r="C212" i="13" s="1"/>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0" i="13" s="1"/>
  <c r="C241" i="13" s="1"/>
  <c r="C242" i="13" s="1"/>
  <c r="C243" i="13" s="1"/>
  <c r="C244" i="13" s="1"/>
  <c r="C245" i="13" s="1"/>
  <c r="C246" i="13" s="1"/>
  <c r="C247" i="13" s="1"/>
  <c r="C248" i="13" s="1"/>
  <c r="C249" i="13" s="1"/>
  <c r="C250" i="13" s="1"/>
  <c r="C251" i="13" s="1"/>
  <c r="C252" i="13" s="1"/>
  <c r="C253" i="13" s="1"/>
  <c r="C254" i="13" s="1"/>
  <c r="C255" i="13" s="1"/>
  <c r="C256" i="13" s="1"/>
  <c r="C257" i="13" s="1"/>
  <c r="C258" i="13" s="1"/>
  <c r="C259" i="13" s="1"/>
  <c r="C260" i="13" s="1"/>
  <c r="C261" i="13" s="1"/>
  <c r="C262" i="13" s="1"/>
  <c r="C263" i="13" s="1"/>
  <c r="C264" i="13" s="1"/>
  <c r="C265" i="13" s="1"/>
  <c r="C266" i="13" s="1"/>
  <c r="C267" i="13" s="1"/>
  <c r="C268" i="13" s="1"/>
  <c r="C269" i="13" s="1"/>
  <c r="C270" i="13" s="1"/>
  <c r="C271" i="13" s="1"/>
  <c r="C272" i="13" s="1"/>
  <c r="C273" i="13" s="1"/>
  <c r="C274" i="13" s="1"/>
  <c r="C275" i="13" s="1"/>
  <c r="C276" i="13" s="1"/>
  <c r="C277" i="13" s="1"/>
  <c r="C278" i="13" s="1"/>
  <c r="C279" i="13" s="1"/>
  <c r="C280" i="13" s="1"/>
  <c r="C281" i="13" s="1"/>
  <c r="C282" i="13" s="1"/>
  <c r="C283" i="13" s="1"/>
  <c r="C284" i="13" s="1"/>
  <c r="C285" i="13" s="1"/>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332" i="13" s="1"/>
  <c r="C333" i="13" s="1"/>
  <c r="C334" i="13" s="1"/>
  <c r="C335" i="13" s="1"/>
  <c r="C336" i="13" s="1"/>
  <c r="C337" i="13" s="1"/>
  <c r="C338" i="13" s="1"/>
  <c r="C339" i="13" s="1"/>
  <c r="C340" i="13" s="1"/>
  <c r="C341" i="13" s="1"/>
  <c r="C342" i="13" s="1"/>
  <c r="C343" i="13" s="1"/>
  <c r="C344" i="13" s="1"/>
  <c r="C345" i="13" s="1"/>
  <c r="C346" i="13" s="1"/>
  <c r="C347" i="13" s="1"/>
  <c r="C348" i="13" s="1"/>
  <c r="C349" i="13" s="1"/>
  <c r="C350" i="13" s="1"/>
  <c r="C351" i="13" s="1"/>
  <c r="C352" i="13" s="1"/>
  <c r="C353" i="13" s="1"/>
  <c r="C354" i="13" s="1"/>
  <c r="C355" i="13" s="1"/>
  <c r="C356" i="13" s="1"/>
  <c r="C357" i="13" s="1"/>
  <c r="C358" i="13" s="1"/>
  <c r="C359" i="13" s="1"/>
  <c r="C360" i="13" s="1"/>
  <c r="C361" i="13" s="1"/>
  <c r="C362" i="13" s="1"/>
  <c r="C363" i="13" s="1"/>
  <c r="C364" i="13" s="1"/>
  <c r="C365" i="13" s="1"/>
  <c r="C366" i="13" s="1"/>
  <c r="C367" i="13" s="1"/>
  <c r="C368" i="13" s="1"/>
  <c r="C369" i="13" s="1"/>
  <c r="C370" i="13" s="1"/>
  <c r="C371" i="13" s="1"/>
  <c r="C372" i="13" s="1"/>
  <c r="C373" i="13" s="1"/>
  <c r="C374" i="13" s="1"/>
  <c r="C375" i="13" s="1"/>
  <c r="C376" i="13" s="1"/>
  <c r="C377" i="13" s="1"/>
  <c r="C378" i="13" s="1"/>
  <c r="C379" i="13" s="1"/>
  <c r="C380" i="13" s="1"/>
  <c r="C381" i="13" s="1"/>
  <c r="C382" i="13" s="1"/>
  <c r="C383" i="13" s="1"/>
  <c r="C384" i="13" s="1"/>
  <c r="C385" i="13" s="1"/>
  <c r="C386" i="13" s="1"/>
  <c r="C387" i="13" s="1"/>
  <c r="C388" i="13" s="1"/>
  <c r="C389" i="13" s="1"/>
  <c r="C390" i="13" s="1"/>
  <c r="C391" i="13" s="1"/>
  <c r="C392" i="13" s="1"/>
  <c r="C393" i="13" s="1"/>
  <c r="C394" i="13" s="1"/>
  <c r="C395" i="13" s="1"/>
  <c r="C396" i="13" s="1"/>
  <c r="C397" i="13" s="1"/>
  <c r="C398" i="13" s="1"/>
  <c r="C399" i="13" s="1"/>
  <c r="C400" i="13" s="1"/>
  <c r="C401" i="13" s="1"/>
  <c r="C402" i="13" s="1"/>
  <c r="C403" i="13" s="1"/>
  <c r="C404" i="13" s="1"/>
  <c r="C405" i="13" s="1"/>
  <c r="C406" i="13" s="1"/>
  <c r="C407" i="13" s="1"/>
  <c r="C408" i="13" s="1"/>
  <c r="C409" i="13" s="1"/>
  <c r="C410" i="13" s="1"/>
  <c r="C411" i="13" s="1"/>
  <c r="C412" i="13" s="1"/>
  <c r="C413" i="13" s="1"/>
  <c r="C414" i="13" s="1"/>
  <c r="C415" i="13" s="1"/>
  <c r="C416" i="13" s="1"/>
  <c r="C417" i="13" s="1"/>
  <c r="C418" i="13" s="1"/>
  <c r="C419" i="13" s="1"/>
  <c r="C420" i="13" s="1"/>
  <c r="C421" i="13" s="1"/>
  <c r="C422" i="13" s="1"/>
  <c r="C423" i="13" s="1"/>
  <c r="C424" i="13" s="1"/>
  <c r="C425" i="13" s="1"/>
  <c r="C426" i="13" s="1"/>
  <c r="C427" i="13" s="1"/>
  <c r="C428" i="13" s="1"/>
  <c r="C429" i="13" s="1"/>
  <c r="C430" i="13" s="1"/>
  <c r="C431" i="13" s="1"/>
  <c r="C432" i="13" s="1"/>
  <c r="C433" i="13" s="1"/>
  <c r="C434" i="13" s="1"/>
  <c r="C435" i="13" s="1"/>
  <c r="C436" i="13" s="1"/>
  <c r="C437" i="13" s="1"/>
  <c r="C438" i="13" s="1"/>
  <c r="C439" i="13" s="1"/>
  <c r="C440" i="13" s="1"/>
  <c r="C441" i="13" s="1"/>
  <c r="C442" i="13" s="1"/>
  <c r="C443" i="13" s="1"/>
  <c r="C444" i="13" s="1"/>
  <c r="C445" i="13" s="1"/>
  <c r="C446" i="13" s="1"/>
  <c r="C447" i="13" s="1"/>
  <c r="C448" i="13" s="1"/>
  <c r="C449" i="13" s="1"/>
  <c r="C450" i="13" s="1"/>
  <c r="C451" i="13" s="1"/>
  <c r="C452" i="13" s="1"/>
  <c r="C453" i="13" s="1"/>
  <c r="C454" i="13" s="1"/>
  <c r="C455" i="13" s="1"/>
  <c r="C456" i="13" s="1"/>
  <c r="C457" i="13" s="1"/>
  <c r="C458" i="13" s="1"/>
  <c r="C459" i="13" s="1"/>
  <c r="C460" i="13" s="1"/>
  <c r="C461" i="13" s="1"/>
  <c r="C462" i="13" s="1"/>
  <c r="C463" i="13" s="1"/>
  <c r="C464" i="13" s="1"/>
  <c r="C465" i="13" s="1"/>
  <c r="C466" i="13" s="1"/>
  <c r="C467" i="13" s="1"/>
  <c r="C468" i="13" s="1"/>
  <c r="C469" i="13" s="1"/>
  <c r="C470" i="13" s="1"/>
  <c r="C471" i="13" s="1"/>
  <c r="C472" i="13" s="1"/>
  <c r="C473" i="13" s="1"/>
  <c r="C474" i="13" s="1"/>
  <c r="C475" i="13" s="1"/>
  <c r="C476" i="13" s="1"/>
  <c r="C477" i="13" s="1"/>
  <c r="C478" i="13" s="1"/>
  <c r="C479" i="13" s="1"/>
  <c r="C480" i="13" s="1"/>
  <c r="C481" i="13" s="1"/>
  <c r="C482" i="13" s="1"/>
  <c r="C483" i="13" s="1"/>
  <c r="C484" i="13" s="1"/>
  <c r="C485" i="13" s="1"/>
  <c r="C486" i="13" s="1"/>
  <c r="C487" i="13" s="1"/>
  <c r="C488" i="13" s="1"/>
  <c r="C489" i="13" s="1"/>
  <c r="C490" i="13" s="1"/>
  <c r="C491" i="13" s="1"/>
  <c r="C492" i="13" s="1"/>
  <c r="C493" i="13" s="1"/>
  <c r="C494" i="13" s="1"/>
  <c r="C495" i="13" s="1"/>
  <c r="C496" i="13" s="1"/>
  <c r="C497" i="13" s="1"/>
  <c r="C498" i="13" s="1"/>
  <c r="C499" i="13" s="1"/>
  <c r="C500" i="13" s="1"/>
  <c r="C501" i="13" s="1"/>
  <c r="C502" i="13" s="1"/>
  <c r="C503" i="13" s="1"/>
  <c r="C504" i="13" s="1"/>
  <c r="C505" i="13" s="1"/>
  <c r="C506" i="13" s="1"/>
  <c r="C507" i="13" s="1"/>
  <c r="C508" i="13" s="1"/>
  <c r="C509" i="13" s="1"/>
  <c r="C510" i="13" s="1"/>
  <c r="C511" i="13" s="1"/>
  <c r="C512" i="13" s="1"/>
  <c r="C513" i="13" s="1"/>
  <c r="C514" i="13" s="1"/>
  <c r="C515" i="13" s="1"/>
  <c r="C516" i="13" s="1"/>
  <c r="C517" i="13" s="1"/>
  <c r="C518" i="13" s="1"/>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O410" i="13"/>
  <c r="O411" i="13"/>
  <c r="O412" i="13"/>
  <c r="O413" i="13"/>
  <c r="O414" i="13"/>
  <c r="O415" i="13"/>
  <c r="O416" i="13"/>
  <c r="O417" i="13"/>
  <c r="O418" i="13"/>
  <c r="O419" i="13"/>
  <c r="O420" i="13"/>
  <c r="O421" i="13"/>
  <c r="O422" i="13"/>
  <c r="O423" i="13"/>
  <c r="O424" i="13"/>
  <c r="O425" i="13"/>
  <c r="O426" i="13"/>
  <c r="O427" i="13"/>
  <c r="O428" i="13"/>
  <c r="O429" i="13"/>
  <c r="O430" i="13"/>
  <c r="O431" i="13"/>
  <c r="O432" i="13"/>
  <c r="O433" i="13"/>
  <c r="O434" i="13"/>
  <c r="O435" i="13"/>
  <c r="O436" i="13"/>
  <c r="O437" i="13"/>
  <c r="O438" i="13"/>
  <c r="O439" i="13"/>
  <c r="O440" i="13"/>
  <c r="O441" i="13"/>
  <c r="O442" i="13"/>
  <c r="O443" i="13"/>
  <c r="O444" i="13"/>
  <c r="O445" i="13"/>
  <c r="O446" i="13"/>
  <c r="O447" i="13"/>
  <c r="O448" i="13"/>
  <c r="O449" i="13"/>
  <c r="O450" i="13"/>
  <c r="O451" i="13"/>
  <c r="O452" i="13"/>
  <c r="O453" i="13"/>
  <c r="O454" i="13"/>
  <c r="O455" i="13"/>
  <c r="O456" i="13"/>
  <c r="O457" i="13"/>
  <c r="O458" i="13"/>
  <c r="O459" i="13"/>
  <c r="O460" i="13"/>
  <c r="O461" i="13"/>
  <c r="O462" i="13"/>
  <c r="O463" i="13"/>
  <c r="O464" i="13"/>
  <c r="O465" i="13"/>
  <c r="O466" i="13"/>
  <c r="O467" i="13"/>
  <c r="O468" i="13"/>
  <c r="O469" i="13"/>
  <c r="O470" i="13"/>
  <c r="O471" i="13"/>
  <c r="O472" i="13"/>
  <c r="O473" i="13"/>
  <c r="O474" i="13"/>
  <c r="O475" i="13"/>
  <c r="O476" i="13"/>
  <c r="O477" i="13"/>
  <c r="O478" i="13"/>
  <c r="O479" i="13"/>
  <c r="O480" i="13"/>
  <c r="O481" i="13"/>
  <c r="O482" i="13"/>
  <c r="O483" i="13"/>
  <c r="O484" i="13"/>
  <c r="O485" i="13"/>
  <c r="O486" i="13"/>
  <c r="O487" i="13"/>
  <c r="O488" i="13"/>
  <c r="O489" i="13"/>
  <c r="O490" i="13"/>
  <c r="O491" i="13"/>
  <c r="O492" i="13"/>
  <c r="O493" i="13"/>
  <c r="O494" i="13"/>
  <c r="O495" i="13"/>
  <c r="O496" i="13"/>
  <c r="O497" i="13"/>
  <c r="O498" i="13"/>
  <c r="O499" i="13"/>
  <c r="O500" i="13"/>
  <c r="O501" i="13"/>
  <c r="O502" i="13"/>
  <c r="O503" i="13"/>
  <c r="O504" i="13"/>
  <c r="O505" i="13"/>
  <c r="O506" i="13"/>
  <c r="O507" i="13"/>
  <c r="O508" i="13"/>
  <c r="O509" i="13"/>
  <c r="O510" i="13"/>
  <c r="O511" i="13"/>
  <c r="O512" i="13"/>
  <c r="O513" i="13"/>
  <c r="O514" i="13"/>
  <c r="O515" i="13"/>
  <c r="O516" i="13"/>
  <c r="O517" i="13"/>
  <c r="O518" i="13"/>
  <c r="L5" i="13"/>
  <c r="L4"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L474" i="13"/>
  <c r="L475" i="13"/>
  <c r="L476" i="13"/>
  <c r="L477" i="13"/>
  <c r="L478" i="13"/>
  <c r="L479" i="13"/>
  <c r="L480" i="13"/>
  <c r="L481" i="13"/>
  <c r="L482" i="13"/>
  <c r="L483" i="13"/>
  <c r="L484" i="13"/>
  <c r="L485" i="13"/>
  <c r="L486" i="13"/>
  <c r="L487" i="13"/>
  <c r="L488" i="13"/>
  <c r="L489" i="13"/>
  <c r="L490" i="13"/>
  <c r="L491" i="13"/>
  <c r="L492" i="13"/>
  <c r="L493" i="13"/>
  <c r="L494" i="13"/>
  <c r="L495" i="13"/>
  <c r="L496" i="13"/>
  <c r="L497" i="13"/>
  <c r="L498" i="13"/>
  <c r="L499" i="13"/>
  <c r="L500" i="13"/>
  <c r="L501" i="13"/>
  <c r="L502" i="13"/>
  <c r="L503" i="13"/>
  <c r="L504" i="13"/>
  <c r="L505" i="13"/>
  <c r="L506" i="13"/>
  <c r="L507" i="13"/>
  <c r="L508" i="13"/>
  <c r="L509" i="13"/>
  <c r="L510" i="13"/>
  <c r="L511" i="13"/>
  <c r="L512" i="13"/>
  <c r="L513" i="13"/>
  <c r="L514" i="13"/>
  <c r="L515" i="13"/>
  <c r="L516" i="13"/>
  <c r="L517" i="13"/>
  <c r="L518" i="13"/>
  <c r="K2" i="13"/>
  <c r="AB2" i="12"/>
  <c r="AB3"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AG101" i="10"/>
  <c r="AG19" i="10"/>
  <c r="AG20" i="10"/>
  <c r="O2" i="3" l="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N2" i="3"/>
  <c r="P2" i="3" s="1"/>
  <c r="N3" i="3"/>
  <c r="P3" i="3" s="1"/>
  <c r="N4" i="3"/>
  <c r="P4" i="3" s="1"/>
  <c r="N5" i="3"/>
  <c r="P5" i="3" s="1"/>
  <c r="N6" i="3"/>
  <c r="P6" i="3" s="1"/>
  <c r="N7" i="3"/>
  <c r="P7" i="3" s="1"/>
  <c r="N8" i="3"/>
  <c r="P8" i="3" s="1"/>
  <c r="N9" i="3"/>
  <c r="P9" i="3" s="1"/>
  <c r="N10" i="3"/>
  <c r="P10" i="3" s="1"/>
  <c r="N11" i="3"/>
  <c r="P11" i="3" s="1"/>
  <c r="N12" i="3"/>
  <c r="P12" i="3" s="1"/>
  <c r="N13" i="3"/>
  <c r="P13" i="3" s="1"/>
  <c r="N14" i="3"/>
  <c r="P14" i="3" s="1"/>
  <c r="N15" i="3"/>
  <c r="P15" i="3" s="1"/>
  <c r="N16" i="3"/>
  <c r="P16" i="3" s="1"/>
  <c r="N17" i="3"/>
  <c r="P17" i="3" s="1"/>
  <c r="N18" i="3"/>
  <c r="P18" i="3" s="1"/>
  <c r="N19" i="3"/>
  <c r="P19" i="3" s="1"/>
  <c r="N20" i="3"/>
  <c r="P20" i="3" s="1"/>
  <c r="N21" i="3"/>
  <c r="P21" i="3" s="1"/>
  <c r="N22" i="3"/>
  <c r="P22" i="3" s="1"/>
  <c r="N23" i="3"/>
  <c r="P23" i="3" s="1"/>
  <c r="N24" i="3"/>
  <c r="P24" i="3" s="1"/>
  <c r="N25" i="3"/>
  <c r="P25" i="3" s="1"/>
  <c r="N26" i="3"/>
  <c r="P26" i="3" s="1"/>
  <c r="N27" i="3"/>
  <c r="P27" i="3" s="1"/>
  <c r="N28" i="3"/>
  <c r="P28" i="3" s="1"/>
  <c r="N29" i="3"/>
  <c r="P29" i="3" s="1"/>
  <c r="N30" i="3"/>
  <c r="P30" i="3" s="1"/>
  <c r="N31" i="3"/>
  <c r="P31" i="3" s="1"/>
  <c r="N32" i="3"/>
  <c r="P32" i="3" s="1"/>
  <c r="N33" i="3"/>
  <c r="P33" i="3" s="1"/>
  <c r="N34" i="3"/>
  <c r="P34" i="3" s="1"/>
  <c r="N35" i="3"/>
  <c r="P35" i="3" s="1"/>
  <c r="N36" i="3"/>
  <c r="P36" i="3" s="1"/>
  <c r="N37" i="3"/>
  <c r="P37" i="3" s="1"/>
  <c r="N38" i="3"/>
  <c r="P38" i="3" s="1"/>
  <c r="N39" i="3"/>
  <c r="P39" i="3" s="1"/>
  <c r="N40" i="3"/>
  <c r="P40" i="3" s="1"/>
  <c r="N41" i="3"/>
  <c r="P41" i="3" s="1"/>
  <c r="N42" i="3"/>
  <c r="P42" i="3" s="1"/>
  <c r="N43" i="3"/>
  <c r="P43" i="3" s="1"/>
  <c r="N44" i="3"/>
  <c r="P44" i="3" s="1"/>
  <c r="N45" i="3"/>
  <c r="P45" i="3" s="1"/>
  <c r="N46" i="3"/>
  <c r="P46" i="3" s="1"/>
  <c r="N47" i="3"/>
  <c r="P47" i="3" s="1"/>
  <c r="N48" i="3"/>
  <c r="P48" i="3" s="1"/>
  <c r="N49" i="3"/>
  <c r="P49" i="3" s="1"/>
  <c r="N50" i="3"/>
  <c r="P50" i="3" s="1"/>
  <c r="N51" i="3"/>
  <c r="P51" i="3" s="1"/>
  <c r="N52" i="3"/>
  <c r="P52" i="3" s="1"/>
  <c r="N53" i="3"/>
  <c r="P53" i="3" s="1"/>
  <c r="N54" i="3"/>
  <c r="P54" i="3" s="1"/>
  <c r="N55" i="3"/>
  <c r="P55" i="3" s="1"/>
  <c r="N56" i="3"/>
  <c r="P56" i="3" s="1"/>
  <c r="N57" i="3"/>
  <c r="P57" i="3" s="1"/>
  <c r="N58" i="3"/>
  <c r="P58" i="3" s="1"/>
  <c r="N59" i="3"/>
  <c r="P59" i="3" s="1"/>
  <c r="N60" i="3"/>
  <c r="P60" i="3" s="1"/>
  <c r="N61" i="3"/>
  <c r="P61" i="3" s="1"/>
  <c r="N62" i="3"/>
  <c r="P62" i="3" s="1"/>
  <c r="N63" i="3"/>
  <c r="P63" i="3" s="1"/>
  <c r="N64" i="3"/>
  <c r="P64" i="3" s="1"/>
  <c r="N65" i="3"/>
  <c r="P65" i="3" s="1"/>
  <c r="N66" i="3"/>
  <c r="P66" i="3" s="1"/>
  <c r="N67" i="3"/>
  <c r="P67" i="3" s="1"/>
  <c r="N68" i="3"/>
  <c r="P68" i="3" s="1"/>
  <c r="N69" i="3"/>
  <c r="P69" i="3" s="1"/>
  <c r="N70" i="3"/>
  <c r="P70" i="3" s="1"/>
  <c r="N71" i="3"/>
  <c r="P71" i="3" s="1"/>
  <c r="N72" i="3"/>
  <c r="P72" i="3" s="1"/>
  <c r="N73" i="3"/>
  <c r="P73" i="3" s="1"/>
  <c r="N74" i="3"/>
  <c r="P74" i="3" s="1"/>
  <c r="N75" i="3"/>
  <c r="P75" i="3" s="1"/>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2" i="12"/>
  <c r="V3" i="12"/>
  <c r="V4" i="12"/>
  <c r="V5" i="12"/>
  <c r="V6" i="12"/>
  <c r="V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V38" i="12"/>
  <c r="V39" i="12"/>
  <c r="V40" i="12"/>
  <c r="V41" i="12"/>
  <c r="V42" i="12"/>
  <c r="V43" i="12"/>
  <c r="V44" i="12"/>
  <c r="V45" i="12"/>
  <c r="V46" i="12"/>
  <c r="V47" i="12"/>
  <c r="V48" i="12"/>
  <c r="V49" i="12"/>
  <c r="V50" i="12"/>
  <c r="V51" i="12"/>
  <c r="V52" i="12"/>
  <c r="V53" i="12"/>
  <c r="V54" i="12"/>
  <c r="V55" i="12"/>
  <c r="V56" i="12"/>
  <c r="V57" i="12"/>
  <c r="V58" i="12"/>
  <c r="V59" i="12"/>
  <c r="V60" i="12"/>
  <c r="V61" i="12"/>
  <c r="V62" i="12"/>
  <c r="V63" i="12"/>
  <c r="V64" i="12"/>
  <c r="V65" i="12"/>
  <c r="V66" i="12"/>
  <c r="V67" i="12"/>
  <c r="V68" i="12"/>
  <c r="V69" i="12"/>
  <c r="V70" i="12"/>
  <c r="V71" i="12"/>
  <c r="V72" i="12"/>
  <c r="V73" i="12"/>
  <c r="S2" i="12"/>
  <c r="S3" i="12" s="1"/>
  <c r="S4" i="12" s="1"/>
  <c r="S5" i="12" s="1"/>
  <c r="S6" i="12" s="1"/>
  <c r="S7" i="12" s="1"/>
  <c r="S8" i="12" s="1"/>
  <c r="S9" i="12" s="1"/>
  <c r="S10" i="12" s="1"/>
  <c r="S11" i="12" s="1"/>
  <c r="S12" i="12" s="1"/>
  <c r="S13" i="12" s="1"/>
  <c r="S14" i="12" s="1"/>
  <c r="S15" i="12" s="1"/>
  <c r="S16" i="12" s="1"/>
  <c r="S17" i="12" s="1"/>
  <c r="S18" i="12" s="1"/>
  <c r="S19" i="12" s="1"/>
  <c r="S20" i="12" s="1"/>
  <c r="S21" i="12" s="1"/>
  <c r="S22" i="12" s="1"/>
  <c r="S23" i="12" s="1"/>
  <c r="S24" i="12" s="1"/>
  <c r="S25" i="12" s="1"/>
  <c r="S26" i="12" s="1"/>
  <c r="S27" i="12" s="1"/>
  <c r="S28" i="12" s="1"/>
  <c r="S29" i="12" s="1"/>
  <c r="S30" i="12" s="1"/>
  <c r="S31" i="12" s="1"/>
  <c r="S32" i="12" s="1"/>
  <c r="S33" i="12" s="1"/>
  <c r="S34" i="12" s="1"/>
  <c r="S35" i="12" s="1"/>
  <c r="S36" i="12" s="1"/>
  <c r="S37" i="12" s="1"/>
  <c r="S38" i="12" s="1"/>
  <c r="S39" i="12" s="1"/>
  <c r="S40" i="12" s="1"/>
  <c r="S41" i="12" s="1"/>
  <c r="S42" i="12" s="1"/>
  <c r="S43" i="12" s="1"/>
  <c r="S44" i="12" s="1"/>
  <c r="S45" i="12" s="1"/>
  <c r="S46" i="12" s="1"/>
  <c r="S47" i="12" s="1"/>
  <c r="S48" i="12" s="1"/>
  <c r="S49" i="12" s="1"/>
  <c r="S50" i="12" s="1"/>
  <c r="S51" i="12" s="1"/>
  <c r="S52" i="12" s="1"/>
  <c r="S53" i="12" s="1"/>
  <c r="S54" i="12" s="1"/>
  <c r="S55" i="12" s="1"/>
  <c r="S56" i="12" s="1"/>
  <c r="S57" i="12" s="1"/>
  <c r="S58" i="12" s="1"/>
  <c r="S59" i="12" s="1"/>
  <c r="S60" i="12" s="1"/>
  <c r="S61" i="12" s="1"/>
  <c r="S62" i="12" s="1"/>
  <c r="S63" i="12" s="1"/>
  <c r="S64" i="12" s="1"/>
  <c r="S65" i="12" s="1"/>
  <c r="S66" i="12" s="1"/>
  <c r="S67" i="12" s="1"/>
  <c r="S68" i="12" s="1"/>
  <c r="S69" i="12" s="1"/>
  <c r="S70" i="12" s="1"/>
  <c r="S71" i="12" s="1"/>
  <c r="S72" i="12" s="1"/>
  <c r="S73" i="12" s="1"/>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M2" i="10"/>
  <c r="M3" i="10" s="1"/>
  <c r="M4" i="10" s="1"/>
  <c r="M5" i="10" s="1"/>
  <c r="M6" i="10" s="1"/>
  <c r="M7" i="10" s="1"/>
  <c r="M8" i="10" s="1"/>
  <c r="M9" i="10" s="1"/>
  <c r="M10" i="10" s="1"/>
  <c r="M11" i="10" s="1"/>
  <c r="M12" i="10" s="1"/>
  <c r="M13" i="10" s="1"/>
  <c r="M14" i="10" s="1"/>
  <c r="M15" i="10" s="1"/>
  <c r="M16" i="10" s="1"/>
  <c r="M17" i="10" s="1"/>
  <c r="M18" i="10" s="1"/>
  <c r="M19" i="10" s="1"/>
  <c r="M20" i="10" s="1"/>
  <c r="M21" i="10" s="1"/>
  <c r="M22" i="10" s="1"/>
  <c r="M23" i="10" s="1"/>
  <c r="M24" i="10" s="1"/>
  <c r="M25" i="10" s="1"/>
  <c r="M26" i="10" s="1"/>
  <c r="M27" i="10" s="1"/>
  <c r="M28" i="10" s="1"/>
  <c r="M29" i="10" s="1"/>
  <c r="M30" i="10" s="1"/>
  <c r="M31" i="10" s="1"/>
  <c r="M32" i="10" s="1"/>
  <c r="M33" i="10" s="1"/>
  <c r="M34" i="10" s="1"/>
  <c r="M35" i="10" s="1"/>
  <c r="M36" i="10" s="1"/>
  <c r="M37" i="10" s="1"/>
  <c r="M38" i="10" s="1"/>
  <c r="M39" i="10" s="1"/>
  <c r="M40" i="10" s="1"/>
  <c r="M41" i="10" s="1"/>
  <c r="M42" i="10" s="1"/>
  <c r="M43" i="10" s="1"/>
  <c r="M44" i="10" s="1"/>
  <c r="M45" i="10" s="1"/>
  <c r="M46" i="10" s="1"/>
  <c r="M47" i="10" s="1"/>
  <c r="M48" i="10" s="1"/>
  <c r="M49" i="10" s="1"/>
  <c r="M50" i="10" s="1"/>
  <c r="M51" i="10" s="1"/>
  <c r="M52" i="10" s="1"/>
  <c r="M53" i="10" s="1"/>
  <c r="M54" i="10" s="1"/>
  <c r="M55" i="10" s="1"/>
  <c r="M56" i="10" s="1"/>
  <c r="M57" i="10" s="1"/>
  <c r="M58" i="10" s="1"/>
  <c r="M59" i="10" s="1"/>
  <c r="M60" i="10" s="1"/>
  <c r="M61" i="10" s="1"/>
  <c r="M62" i="10" s="1"/>
  <c r="M63" i="10" s="1"/>
  <c r="M64" i="10" s="1"/>
  <c r="M65" i="10" s="1"/>
  <c r="M66" i="10" s="1"/>
  <c r="M67" i="10" s="1"/>
  <c r="M68" i="10" s="1"/>
  <c r="M69" i="10" s="1"/>
  <c r="M70" i="10" s="1"/>
  <c r="M71" i="10" s="1"/>
  <c r="M72" i="10" s="1"/>
  <c r="M73" i="10" s="1"/>
  <c r="M74" i="10" s="1"/>
  <c r="M75" i="10" s="1"/>
  <c r="M76" i="10" s="1"/>
  <c r="M77" i="10" s="1"/>
  <c r="M78" i="10" s="1"/>
  <c r="M79" i="10" s="1"/>
  <c r="M80" i="10" s="1"/>
  <c r="M81" i="10" s="1"/>
  <c r="M82" i="10" s="1"/>
  <c r="M83" i="10" s="1"/>
  <c r="M84" i="10" s="1"/>
  <c r="M85" i="10" s="1"/>
  <c r="M86" i="10" s="1"/>
  <c r="M87" i="10" s="1"/>
  <c r="M88" i="10" s="1"/>
  <c r="M89" i="10" s="1"/>
  <c r="M90" i="10" s="1"/>
  <c r="M91" i="10" s="1"/>
  <c r="M92" i="10" s="1"/>
  <c r="M93" i="10" s="1"/>
  <c r="M94" i="10" s="1"/>
  <c r="M95" i="10" s="1"/>
  <c r="M96" i="10" s="1"/>
  <c r="M97" i="10" s="1"/>
  <c r="M98" i="10" s="1"/>
  <c r="M99" i="10" s="1"/>
  <c r="M100" i="10" s="1"/>
  <c r="M101" i="10" s="1"/>
  <c r="M102" i="10" s="1"/>
  <c r="M103" i="10" s="1"/>
  <c r="M104" i="10" s="1"/>
  <c r="M105" i="10" s="1"/>
  <c r="M106" i="10" s="1"/>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593"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M2" i="13" l="1"/>
  <c r="Y5" i="13" l="1"/>
  <c r="Y9" i="13"/>
  <c r="Y13" i="13"/>
  <c r="Y17" i="13"/>
  <c r="Y21" i="13"/>
  <c r="Y25" i="13"/>
  <c r="Y29" i="13"/>
  <c r="Y33" i="13"/>
  <c r="Y37" i="13"/>
  <c r="Y41" i="13"/>
  <c r="Y45" i="13"/>
  <c r="Y49" i="13"/>
  <c r="Y53" i="13"/>
  <c r="Y57" i="13"/>
  <c r="Y61" i="13"/>
  <c r="Y65" i="13"/>
  <c r="Y69" i="13"/>
  <c r="Y73" i="13"/>
  <c r="Y77" i="13"/>
  <c r="Y81" i="13"/>
  <c r="Y85" i="13"/>
  <c r="Y89" i="13"/>
  <c r="Y93" i="13"/>
  <c r="Y97" i="13"/>
  <c r="Y101" i="13"/>
  <c r="Y105" i="13"/>
  <c r="Y109" i="13"/>
  <c r="Y113" i="13"/>
  <c r="Y117" i="13"/>
  <c r="Y121" i="13"/>
  <c r="Y125" i="13"/>
  <c r="Y129" i="13"/>
  <c r="Y133" i="13"/>
  <c r="Y137" i="13"/>
  <c r="Y141" i="13"/>
  <c r="Y145" i="13"/>
  <c r="Y149" i="13"/>
  <c r="Y153" i="13"/>
  <c r="Y157" i="13"/>
  <c r="Y161" i="13"/>
  <c r="Y165" i="13"/>
  <c r="Y169" i="13"/>
  <c r="Y173" i="13"/>
  <c r="Y177" i="13"/>
  <c r="Y181" i="13"/>
  <c r="Y185" i="13"/>
  <c r="Y189" i="13"/>
  <c r="Y193" i="13"/>
  <c r="Y197" i="13"/>
  <c r="Y201" i="13"/>
  <c r="Y205" i="13"/>
  <c r="Y209" i="13"/>
  <c r="Y213" i="13"/>
  <c r="Y217" i="13"/>
  <c r="Y221" i="13"/>
  <c r="Y225" i="13"/>
  <c r="Y229" i="13"/>
  <c r="Y233" i="13"/>
  <c r="Y237" i="13"/>
  <c r="Y241" i="13"/>
  <c r="Y245" i="13"/>
  <c r="Y249" i="13"/>
  <c r="Y253" i="13"/>
  <c r="Y257" i="13"/>
  <c r="Y261" i="13"/>
  <c r="Y265" i="13"/>
  <c r="Y269" i="13"/>
  <c r="Y273" i="13"/>
  <c r="Y277" i="13"/>
  <c r="Y281" i="13"/>
  <c r="Y285" i="13"/>
  <c r="Y289" i="13"/>
  <c r="Y293" i="13"/>
  <c r="Y297" i="13"/>
  <c r="Y301" i="13"/>
  <c r="Y305" i="13"/>
  <c r="Y309" i="13"/>
  <c r="Y313" i="13"/>
  <c r="Y317" i="13"/>
  <c r="Y321" i="13"/>
  <c r="Y325" i="13"/>
  <c r="Y329" i="13"/>
  <c r="Y333" i="13"/>
  <c r="Y337" i="13"/>
  <c r="Y341" i="13"/>
  <c r="Y6" i="13"/>
  <c r="Y10" i="13"/>
  <c r="Y14" i="13"/>
  <c r="Y18" i="13"/>
  <c r="Y22" i="13"/>
  <c r="Y26" i="13"/>
  <c r="Y30" i="13"/>
  <c r="Y34" i="13"/>
  <c r="Y38" i="13"/>
  <c r="Y42" i="13"/>
  <c r="Y46" i="13"/>
  <c r="Y7" i="13"/>
  <c r="Y11" i="13"/>
  <c r="Y15" i="13"/>
  <c r="Y19" i="13"/>
  <c r="Y23" i="13"/>
  <c r="Y27" i="13"/>
  <c r="Y31" i="13"/>
  <c r="Y35" i="13"/>
  <c r="Y39" i="13"/>
  <c r="Y43" i="13"/>
  <c r="Y47" i="13"/>
  <c r="Y51" i="13"/>
  <c r="Y55" i="13"/>
  <c r="Y59" i="13"/>
  <c r="Y63" i="13"/>
  <c r="Y67" i="13"/>
  <c r="Y71" i="13"/>
  <c r="Y75" i="13"/>
  <c r="Y79" i="13"/>
  <c r="Y83" i="13"/>
  <c r="Y87" i="13"/>
  <c r="Y91" i="13"/>
  <c r="Y95" i="13"/>
  <c r="Y99" i="13"/>
  <c r="Y103" i="13"/>
  <c r="Y107" i="13"/>
  <c r="Y111" i="13"/>
  <c r="Y115" i="13"/>
  <c r="Y119" i="13"/>
  <c r="Y123" i="13"/>
  <c r="Y127" i="13"/>
  <c r="Y131" i="13"/>
  <c r="Y135" i="13"/>
  <c r="Y139" i="13"/>
  <c r="Y143" i="13"/>
  <c r="Y147" i="13"/>
  <c r="Y151" i="13"/>
  <c r="Y155" i="13"/>
  <c r="Y159" i="13"/>
  <c r="Y163" i="13"/>
  <c r="Y167" i="13"/>
  <c r="Y171" i="13"/>
  <c r="Y175" i="13"/>
  <c r="Y179" i="13"/>
  <c r="Y183" i="13"/>
  <c r="Y187" i="13"/>
  <c r="Y191" i="13"/>
  <c r="Y195" i="13"/>
  <c r="Y199" i="13"/>
  <c r="Y203" i="13"/>
  <c r="Y207" i="13"/>
  <c r="Y211" i="13"/>
  <c r="Y215" i="13"/>
  <c r="Y219" i="13"/>
  <c r="Y223" i="13"/>
  <c r="Y227" i="13"/>
  <c r="Y231" i="13"/>
  <c r="Y235" i="13"/>
  <c r="Y239" i="13"/>
  <c r="Y243" i="13"/>
  <c r="Y247" i="13"/>
  <c r="Y251" i="13"/>
  <c r="Y255" i="13"/>
  <c r="Y259" i="13"/>
  <c r="Y263" i="13"/>
  <c r="Y267" i="13"/>
  <c r="Y271" i="13"/>
  <c r="Y275" i="13"/>
  <c r="Y279" i="13"/>
  <c r="Y283" i="13"/>
  <c r="Y287" i="13"/>
  <c r="Y291" i="13"/>
  <c r="Y295" i="13"/>
  <c r="Y299" i="13"/>
  <c r="Y303" i="13"/>
  <c r="Y307" i="13"/>
  <c r="Y311" i="13"/>
  <c r="Y315" i="13"/>
  <c r="Y319" i="13"/>
  <c r="Y323" i="13"/>
  <c r="Y327" i="13"/>
  <c r="Y331" i="13"/>
  <c r="Y335" i="13"/>
  <c r="Y339" i="13"/>
  <c r="Y343" i="13"/>
  <c r="Y4" i="13"/>
  <c r="Y8" i="13"/>
  <c r="Y12" i="13"/>
  <c r="Y16" i="13"/>
  <c r="Y20" i="13"/>
  <c r="Y24" i="13"/>
  <c r="Y28" i="13"/>
  <c r="Y32" i="13"/>
  <c r="Y36" i="13"/>
  <c r="Y40" i="13"/>
  <c r="Y44" i="13"/>
  <c r="Y48" i="13"/>
  <c r="Y52" i="13"/>
  <c r="Y56" i="13"/>
  <c r="Y60" i="13"/>
  <c r="Y64" i="13"/>
  <c r="Y68" i="13"/>
  <c r="Y72" i="13"/>
  <c r="Y76" i="13"/>
  <c r="Y80" i="13"/>
  <c r="Y84" i="13"/>
  <c r="Y88" i="13"/>
  <c r="Y92" i="13"/>
  <c r="Y96" i="13"/>
  <c r="Y100" i="13"/>
  <c r="Y104" i="13"/>
  <c r="Y108" i="13"/>
  <c r="Y112" i="13"/>
  <c r="Y116" i="13"/>
  <c r="Y120" i="13"/>
  <c r="Y124" i="13"/>
  <c r="Y128" i="13"/>
  <c r="Y132" i="13"/>
  <c r="Y136" i="13"/>
  <c r="Y140" i="13"/>
  <c r="Y144" i="13"/>
  <c r="Y148" i="13"/>
  <c r="Y152" i="13"/>
  <c r="Y156" i="13"/>
  <c r="Y160" i="13"/>
  <c r="Y164" i="13"/>
  <c r="Y168" i="13"/>
  <c r="Y172" i="13"/>
  <c r="Y176" i="13"/>
  <c r="Y180" i="13"/>
  <c r="Y184" i="13"/>
  <c r="Y188" i="13"/>
  <c r="Y192" i="13"/>
  <c r="Y196" i="13"/>
  <c r="Y200" i="13"/>
  <c r="Y204" i="13"/>
  <c r="Y208" i="13"/>
  <c r="Y212" i="13"/>
  <c r="Y216" i="13"/>
  <c r="Y220" i="13"/>
  <c r="Y224" i="13"/>
  <c r="Y228" i="13"/>
  <c r="Y232" i="13"/>
  <c r="Y236" i="13"/>
  <c r="Y240" i="13"/>
  <c r="Y244" i="13"/>
  <c r="Y248" i="13"/>
  <c r="Y252" i="13"/>
  <c r="Y256" i="13"/>
  <c r="Y54" i="13"/>
  <c r="Y70" i="13"/>
  <c r="Y86" i="13"/>
  <c r="Y102" i="13"/>
  <c r="Y118" i="13"/>
  <c r="Y134" i="13"/>
  <c r="Y150" i="13"/>
  <c r="Y166" i="13"/>
  <c r="Y182" i="13"/>
  <c r="Y198" i="13"/>
  <c r="Y214" i="13"/>
  <c r="Y230" i="13"/>
  <c r="Y246" i="13"/>
  <c r="Y260" i="13"/>
  <c r="Y268" i="13"/>
  <c r="Y276" i="13"/>
  <c r="Y284" i="13"/>
  <c r="Y292" i="13"/>
  <c r="Y300" i="13"/>
  <c r="Y308" i="13"/>
  <c r="Y316" i="13"/>
  <c r="Y324" i="13"/>
  <c r="Y332" i="13"/>
  <c r="Y340" i="13"/>
  <c r="Y346" i="13"/>
  <c r="Y350" i="13"/>
  <c r="Y354" i="13"/>
  <c r="Y358" i="13"/>
  <c r="Y362" i="13"/>
  <c r="Y366" i="13"/>
  <c r="Y370" i="13"/>
  <c r="Y374" i="13"/>
  <c r="Y378" i="13"/>
  <c r="Y382" i="13"/>
  <c r="Y386" i="13"/>
  <c r="Y390" i="13"/>
  <c r="Y394" i="13"/>
  <c r="Y398" i="13"/>
  <c r="Y402" i="13"/>
  <c r="Y406" i="13"/>
  <c r="Y410" i="13"/>
  <c r="Y414" i="13"/>
  <c r="Y418" i="13"/>
  <c r="Y422" i="13"/>
  <c r="Y426" i="13"/>
  <c r="Y430" i="13"/>
  <c r="Y434" i="13"/>
  <c r="Y438" i="13"/>
  <c r="Y442" i="13"/>
  <c r="Y446" i="13"/>
  <c r="Y450" i="13"/>
  <c r="Y454" i="13"/>
  <c r="Y458" i="13"/>
  <c r="Y462" i="13"/>
  <c r="Y466" i="13"/>
  <c r="Y470" i="13"/>
  <c r="Y474" i="13"/>
  <c r="Y478" i="13"/>
  <c r="Y482" i="13"/>
  <c r="Y486" i="13"/>
  <c r="Y490" i="13"/>
  <c r="Y494" i="13"/>
  <c r="Y502" i="13"/>
  <c r="Y506" i="13"/>
  <c r="Y510" i="13"/>
  <c r="Y514" i="13"/>
  <c r="Y518" i="13"/>
  <c r="Y58" i="13"/>
  <c r="Y74" i="13"/>
  <c r="Y90" i="13"/>
  <c r="Y106" i="13"/>
  <c r="Y122" i="13"/>
  <c r="Y138" i="13"/>
  <c r="Y154" i="13"/>
  <c r="Y170" i="13"/>
  <c r="Y186" i="13"/>
  <c r="Y202" i="13"/>
  <c r="Y218" i="13"/>
  <c r="Y234" i="13"/>
  <c r="Y250" i="13"/>
  <c r="Y262" i="13"/>
  <c r="Y270" i="13"/>
  <c r="Y278" i="13"/>
  <c r="Y286" i="13"/>
  <c r="Y294" i="13"/>
  <c r="Y302" i="13"/>
  <c r="Y310" i="13"/>
  <c r="Y318" i="13"/>
  <c r="Y326" i="13"/>
  <c r="Y334" i="13"/>
  <c r="Y342" i="13"/>
  <c r="Y347" i="13"/>
  <c r="Y351" i="13"/>
  <c r="Y355" i="13"/>
  <c r="Y359" i="13"/>
  <c r="Y363" i="13"/>
  <c r="Y367" i="13"/>
  <c r="Y371" i="13"/>
  <c r="Y375" i="13"/>
  <c r="Y379" i="13"/>
  <c r="Y383" i="13"/>
  <c r="Y387" i="13"/>
  <c r="Y391" i="13"/>
  <c r="Y395" i="13"/>
  <c r="Y399" i="13"/>
  <c r="Y403" i="13"/>
  <c r="Y407" i="13"/>
  <c r="Y411" i="13"/>
  <c r="Y415" i="13"/>
  <c r="Y419" i="13"/>
  <c r="Y423" i="13"/>
  <c r="Y427" i="13"/>
  <c r="Y431" i="13"/>
  <c r="Y435" i="13"/>
  <c r="Y439" i="13"/>
  <c r="Y443" i="13"/>
  <c r="Y447" i="13"/>
  <c r="Y451" i="13"/>
  <c r="Y455" i="13"/>
  <c r="Y459" i="13"/>
  <c r="Y463" i="13"/>
  <c r="Y467" i="13"/>
  <c r="Y471" i="13"/>
  <c r="Y475" i="13"/>
  <c r="Y479" i="13"/>
  <c r="Y483" i="13"/>
  <c r="Y487" i="13"/>
  <c r="Y491" i="13"/>
  <c r="Y495" i="13"/>
  <c r="Y499" i="13"/>
  <c r="Y503" i="13"/>
  <c r="Y507" i="13"/>
  <c r="Y511" i="13"/>
  <c r="Y515" i="13"/>
  <c r="Y500" i="13"/>
  <c r="Y62" i="13"/>
  <c r="Y78" i="13"/>
  <c r="Y94" i="13"/>
  <c r="Y110" i="13"/>
  <c r="Y126" i="13"/>
  <c r="Y142" i="13"/>
  <c r="Y158" i="13"/>
  <c r="Y174" i="13"/>
  <c r="Y190" i="13"/>
  <c r="Y206" i="13"/>
  <c r="Y222" i="13"/>
  <c r="Y238" i="13"/>
  <c r="Y254" i="13"/>
  <c r="Y264" i="13"/>
  <c r="Y272" i="13"/>
  <c r="Y280" i="13"/>
  <c r="Y288" i="13"/>
  <c r="Y296" i="13"/>
  <c r="Y304" i="13"/>
  <c r="Y312" i="13"/>
  <c r="Y320" i="13"/>
  <c r="Y328" i="13"/>
  <c r="Y336" i="13"/>
  <c r="Y344" i="13"/>
  <c r="Y348" i="13"/>
  <c r="Y352" i="13"/>
  <c r="Y356" i="13"/>
  <c r="Y360" i="13"/>
  <c r="Y364" i="13"/>
  <c r="Y368" i="13"/>
  <c r="Y372" i="13"/>
  <c r="Y376" i="13"/>
  <c r="Y380" i="13"/>
  <c r="Y384" i="13"/>
  <c r="Y388" i="13"/>
  <c r="Y392" i="13"/>
  <c r="Y396" i="13"/>
  <c r="Y400" i="13"/>
  <c r="Y404" i="13"/>
  <c r="Y408" i="13"/>
  <c r="Y412" i="13"/>
  <c r="Y416" i="13"/>
  <c r="Y420" i="13"/>
  <c r="Y424" i="13"/>
  <c r="Y428" i="13"/>
  <c r="Y432" i="13"/>
  <c r="Y436" i="13"/>
  <c r="Y440" i="13"/>
  <c r="Y444" i="13"/>
  <c r="Y448" i="13"/>
  <c r="Y452" i="13"/>
  <c r="Y456" i="13"/>
  <c r="Y460" i="13"/>
  <c r="Y464" i="13"/>
  <c r="Y468" i="13"/>
  <c r="Y472" i="13"/>
  <c r="Y476" i="13"/>
  <c r="Y480" i="13"/>
  <c r="Y484" i="13"/>
  <c r="Y488" i="13"/>
  <c r="Y492" i="13"/>
  <c r="Y496" i="13"/>
  <c r="Y504" i="13"/>
  <c r="Y508" i="13"/>
  <c r="Y512" i="13"/>
  <c r="Y516" i="13"/>
  <c r="Y50" i="13"/>
  <c r="Y66" i="13"/>
  <c r="Y82" i="13"/>
  <c r="Y98" i="13"/>
  <c r="Y114" i="13"/>
  <c r="Y130" i="13"/>
  <c r="Y146" i="13"/>
  <c r="Y162" i="13"/>
  <c r="Y178" i="13"/>
  <c r="Y194" i="13"/>
  <c r="Y210" i="13"/>
  <c r="Y226" i="13"/>
  <c r="Y242" i="13"/>
  <c r="Y258" i="13"/>
  <c r="Y266" i="13"/>
  <c r="Y274" i="13"/>
  <c r="Y282" i="13"/>
  <c r="Y290" i="13"/>
  <c r="Y298" i="13"/>
  <c r="Y306" i="13"/>
  <c r="Y314" i="13"/>
  <c r="Y322" i="13"/>
  <c r="Y330" i="13"/>
  <c r="Y338" i="13"/>
  <c r="Y345" i="13"/>
  <c r="Y349" i="13"/>
  <c r="Y353" i="13"/>
  <c r="Y357" i="13"/>
  <c r="Y361" i="13"/>
  <c r="Y365" i="13"/>
  <c r="Y369" i="13"/>
  <c r="Y373" i="13"/>
  <c r="Y377" i="13"/>
  <c r="Y381" i="13"/>
  <c r="Y385" i="13"/>
  <c r="Y389" i="13"/>
  <c r="Y393" i="13"/>
  <c r="Y397" i="13"/>
  <c r="Y401" i="13"/>
  <c r="Y405" i="13"/>
  <c r="Y409" i="13"/>
  <c r="Y413" i="13"/>
  <c r="Y417" i="13"/>
  <c r="Y421" i="13"/>
  <c r="Y425" i="13"/>
  <c r="Y429" i="13"/>
  <c r="Y433" i="13"/>
  <c r="Y437" i="13"/>
  <c r="Y441" i="13"/>
  <c r="Y445" i="13"/>
  <c r="Y449" i="13"/>
  <c r="Y453" i="13"/>
  <c r="Y457" i="13"/>
  <c r="Y461" i="13"/>
  <c r="Y465" i="13"/>
  <c r="Y469" i="13"/>
  <c r="Y473" i="13"/>
  <c r="Y477" i="13"/>
  <c r="Y481" i="13"/>
  <c r="Y485" i="13"/>
  <c r="Y489" i="13"/>
  <c r="Y493" i="13"/>
  <c r="Y497" i="13"/>
  <c r="Y501" i="13"/>
  <c r="Y505" i="13"/>
  <c r="Y509" i="13"/>
  <c r="Y513" i="13"/>
  <c r="Y517" i="13"/>
  <c r="Y498"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G1" authorId="0" shapeId="0">
      <text>
        <r>
          <rPr>
            <b/>
            <sz val="9"/>
            <color indexed="81"/>
            <rFont val="Tahoma"/>
            <family val="2"/>
          </rPr>
          <t>Snoeyink, Jack S.:</t>
        </r>
        <r>
          <rPr>
            <sz val="9"/>
            <color indexed="81"/>
            <rFont val="Tahoma"/>
            <family val="2"/>
          </rPr>
          <t xml:space="preserve">
Click link to send email to project lead PI
</t>
        </r>
      </text>
    </comment>
    <comment ref="AI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6" name="RAMailMerge"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so.','mail','merge','formatting','works..',@olddate_x000d__x000a_,0,-0.99999999,'NRFP','NRFP','NRFP','templateFilename_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72027','p170288','p180207','p18020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<sst xmlns="http://schemas.openxmlformats.org/spreadsheetml/2006/main" count="22992" uniqueCount="2216">
  <si>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</si>
  <si>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</si>
  <si>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</si>
  <si>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</si>
  <si>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</si>
  <si>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</si>
  <si>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</si>
  <si>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</si>
  <si>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</si>
  <si>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</si>
  <si>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</si>
  <si>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</si>
  <si>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</si>
  <si>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</si>
  <si>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</si>
  <si>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</si>
  <si>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</si>
  <si>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</si>
  <si>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</si>
  <si>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</si>
  <si>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</si>
  <si>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</si>
  <si>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</si>
  <si>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</si>
  <si>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</si>
  <si>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</si>
  <si>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</si>
  <si>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</si>
  <si>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</si>
  <si>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</si>
  <si>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</si>
  <si>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</si>
  <si>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</si>
  <si>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</si>
  <si>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</si>
  <si>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</si>
  <si>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</si>
  <si>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</si>
  <si>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</si>
  <si>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</si>
  <si>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</si>
  <si>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</si>
  <si>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</si>
  <si>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</si>
  <si>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</si>
  <si>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</si>
  <si>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</si>
  <si>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</si>
  <si>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</si>
  <si>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</si>
  <si>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</si>
  <si>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</si>
  <si>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</si>
  <si>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</si>
  <si>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</si>
  <si>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</si>
  <si>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</si>
  <si>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</si>
  <si>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</si>
  <si>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</si>
  <si>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</si>
  <si>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</si>
  <si>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</si>
  <si>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</si>
  <si>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</si>
  <si>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</si>
  <si>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</si>
  <si>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</si>
  <si>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</si>
  <si>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</si>
  <si>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</si>
  <si>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</si>
  <si>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</si>
  <si>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</si>
  <si>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</si>
  <si>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</si>
  <si>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</si>
  <si>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</si>
  <si>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</si>
  <si>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</si>
  <si>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</si>
  <si>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</si>
  <si>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</si>
  <si>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</si>
  <si>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</si>
  <si>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</si>
  <si>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</si>
  <si>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</si>
  <si>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</si>
  <si>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</si>
  <si>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</si>
  <si>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</si>
  <si>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</si>
  <si>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</si>
  <si>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</si>
  <si>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</si>
  <si>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</si>
  <si>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</si>
  <si>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</si>
  <si>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</si>
  <si>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</si>
  <si>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</si>
  <si>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</si>
  <si>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</si>
  <si>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</si>
  <si>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</si>
  <si>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</si>
  <si>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</si>
  <si>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</si>
  <si>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</si>
  <si>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</si>
  <si>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</si>
  <si>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</si>
  <si>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</si>
  <si>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</si>
  <si>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</si>
  <si>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</si>
  <si>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</si>
  <si>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</si>
  <si>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</si>
  <si>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</si>
  <si>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</si>
  <si>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</si>
  <si>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</si>
  <si>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</si>
  <si>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</si>
  <si>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</si>
  <si>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</si>
  <si>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</si>
  <si>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</si>
  <si>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</si>
  <si>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</si>
  <si>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</si>
  <si>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</si>
  <si>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</si>
  <si>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</si>
  <si>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</si>
  <si>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</si>
  <si>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</si>
  <si>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</si>
  <si>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</si>
  <si>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</si>
  <si>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</si>
  <si>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</si>
  <si>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</si>
  <si>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</si>
  <si>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</si>
  <si>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</si>
  <si>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</si>
  <si>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</si>
  <si>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</si>
  <si>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</si>
  <si>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</si>
  <si>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</si>
  <si>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</si>
  <si>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</si>
  <si>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</si>
  <si>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</si>
  <si>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</si>
  <si>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</si>
  <si>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</si>
  <si>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</si>
  <si>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</si>
  <si>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</si>
  <si>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</si>
  <si>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</si>
  <si>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</si>
  <si>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</si>
  <si>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</si>
  <si>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</si>
  <si>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</si>
  <si>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</si>
  <si>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</si>
  <si>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</si>
  <si>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</si>
  <si>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</si>
  <si>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</si>
  <si>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</si>
  <si>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</si>
  <si>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</si>
  <si>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</si>
  <si>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</si>
  <si>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</si>
  <si>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</si>
  <si>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</si>
  <si>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</si>
  <si>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</si>
  <si>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</si>
  <si>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</si>
  <si>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</si>
  <si>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</si>
  <si>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</si>
  <si>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</si>
  <si>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</si>
  <si>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</si>
  <si>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</si>
  <si>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</si>
  <si>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</si>
  <si>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</si>
  <si>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</si>
  <si>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</si>
  <si>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</si>
  <si>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</si>
  <si>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</si>
  <si>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</si>
  <si>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</si>
  <si>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</si>
  <si>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</si>
  <si>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</si>
  <si>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</si>
  <si>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</si>
  <si>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</si>
  <si>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</si>
  <si>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</si>
  <si>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</si>
  <si>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</si>
  <si>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</si>
  <si>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</si>
  <si>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</si>
  <si>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</si>
  <si>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SUNY Buffalo</t>
  </si>
  <si>
    <t>F/P</t>
  </si>
  <si>
    <t>05010000</t>
  </si>
  <si>
    <t>MIT</t>
  </si>
  <si>
    <t>CCF</t>
  </si>
  <si>
    <t>Division of Computing and Communication Foundations</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</si>
  <si>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</si>
  <si>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</si>
  <si>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</si>
  <si>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</si>
  <si>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</si>
  <si>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</si>
  <si>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</si>
  <si>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</si>
  <si>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</si>
  <si>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</si>
  <si>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</si>
  <si>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</si>
  <si>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</si>
  <si>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</si>
  <si>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</si>
  <si>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</si>
  <si>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</si>
  <si>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</si>
  <si>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</si>
  <si>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</si>
  <si>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</si>
  <si>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</si>
  <si>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</si>
  <si>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</si>
  <si>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</si>
  <si>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</si>
  <si>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</si>
  <si>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</si>
  <si>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</si>
  <si>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</si>
  <si>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</si>
  <si>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</si>
  <si>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</si>
  <si>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</si>
  <si>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</si>
  <si>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</si>
  <si>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</si>
  <si>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</si>
  <si>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</si>
  <si>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</si>
  <si>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</si>
  <si>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</si>
  <si>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</si>
  <si>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</si>
  <si>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</si>
  <si>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</si>
  <si>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</si>
  <si>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</si>
  <si>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</si>
  <si>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CO</t>
  </si>
  <si>
    <t>PA</t>
  </si>
  <si>
    <t>WI</t>
  </si>
  <si>
    <t>WA</t>
  </si>
  <si>
    <t>CA</t>
  </si>
  <si>
    <t>MA</t>
  </si>
  <si>
    <t>NY</t>
  </si>
  <si>
    <t>MD</t>
  </si>
  <si>
    <t>GA</t>
  </si>
  <si>
    <t>9</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</si>
  <si>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</si>
  <si>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</si>
  <si>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</si>
  <si>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</si>
  <si>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</si>
  <si>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</si>
  <si>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</si>
  <si>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</si>
  <si>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</si>
  <si>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</si>
  <si>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</si>
  <si>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</si>
  <si>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</si>
  <si>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</si>
  <si>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</si>
  <si>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</si>
  <si>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</si>
  <si>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</si>
  <si>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</si>
  <si>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</si>
  <si>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</si>
  <si>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</si>
  <si>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</si>
  <si>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</si>
  <si>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</si>
  <si>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</si>
  <si>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</si>
  <si>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</si>
  <si>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</si>
  <si>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</si>
  <si>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</si>
  <si>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</si>
  <si>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</si>
  <si>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</si>
  <si>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</si>
  <si>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</si>
  <si>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</si>
  <si>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</si>
  <si>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</si>
  <si>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</si>
  <si>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</si>
  <si>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</si>
  <si>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</si>
  <si>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</si>
  <si>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</si>
  <si>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</si>
  <si>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</si>
  <si>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</si>
  <si>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</si>
  <si>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</si>
  <si>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</si>
  <si>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</si>
  <si>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</si>
  <si>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</si>
  <si>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</si>
  <si>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</si>
  <si>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</si>
  <si>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</si>
  <si>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</si>
  <si>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</si>
  <si>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</si>
  <si>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</si>
  <si>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</si>
  <si>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</si>
  <si>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</si>
  <si>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</si>
  <si>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</si>
  <si>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</si>
  <si>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</si>
  <si>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</si>
  <si>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</si>
  <si>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</si>
  <si>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</si>
  <si>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</si>
  <si>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</si>
  <si>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</si>
  <si>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</si>
  <si>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</si>
  <si>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</si>
  <si>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</si>
  <si>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</si>
  <si>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</si>
  <si>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</si>
  <si>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</si>
  <si>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</si>
  <si>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</si>
  <si>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</si>
  <si>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</si>
  <si>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</si>
  <si>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</si>
  <si>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</si>
  <si>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</si>
  <si>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</si>
  <si>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</si>
  <si>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</si>
  <si>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</si>
  <si>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</si>
  <si>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</si>
  <si>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</si>
  <si>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</si>
  <si>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</si>
  <si>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</si>
  <si>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</si>
  <si>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</si>
  <si>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</si>
  <si>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</si>
  <si>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</si>
  <si>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</si>
  <si>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</si>
  <si>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</si>
  <si>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</si>
  <si>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</si>
  <si>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</si>
  <si>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</si>
  <si>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</si>
  <si>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</si>
  <si>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</si>
  <si>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</si>
  <si>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</si>
  <si>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</si>
  <si>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</si>
  <si>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</si>
  <si>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</si>
  <si>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</si>
  <si>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</si>
  <si>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</si>
  <si>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</si>
  <si>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</si>
  <si>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</si>
  <si>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</si>
  <si>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</si>
  <si>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</si>
  <si>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</si>
  <si>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</si>
  <si>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</si>
  <si>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</si>
  <si>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</si>
  <si>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</si>
  <si>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</si>
  <si>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</si>
  <si>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</si>
  <si>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</si>
  <si>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</si>
  <si>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</si>
  <si>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</si>
  <si>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</si>
  <si>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</si>
  <si>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</si>
  <si>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</si>
  <si>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</si>
  <si>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</si>
  <si>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</si>
  <si>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</si>
  <si>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</si>
  <si>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</si>
  <si>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</si>
  <si>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</si>
  <si>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</si>
  <si>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</si>
  <si>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</si>
  <si>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</si>
  <si>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</si>
  <si>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</si>
  <si>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</si>
  <si>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</si>
  <si>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</si>
  <si>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</si>
  <si>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</si>
  <si>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</si>
  <si>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</si>
  <si>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</si>
  <si>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</si>
  <si>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</si>
  <si>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</si>
  <si>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</si>
  <si>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</si>
  <si>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</si>
  <si>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</si>
  <si>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</si>
  <si>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</si>
  <si>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</si>
  <si>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</si>
  <si>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</si>
  <si>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</si>
  <si>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</si>
  <si>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</si>
  <si>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</si>
  <si>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</si>
  <si>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</si>
  <si>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</si>
  <si>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</si>
  <si>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</si>
  <si>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</si>
  <si>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</si>
  <si>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</si>
  <si>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</si>
  <si>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</si>
  <si>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</si>
  <si>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</si>
  <si>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</si>
  <si>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</si>
  <si>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</si>
  <si>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</si>
  <si>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</si>
  <si>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</si>
  <si>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</si>
  <si>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</si>
  <si>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</si>
  <si>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</si>
  <si>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</si>
  <si>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</si>
  <si>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</si>
  <si>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</si>
  <si>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</si>
  <si>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</si>
  <si>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</si>
  <si>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</si>
  <si>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</si>
  <si>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</si>
  <si>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</si>
  <si>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</si>
  <si>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</si>
  <si>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</si>
  <si>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</si>
  <si>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</si>
  <si>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</si>
  <si>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</si>
  <si>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</si>
  <si>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</si>
  <si>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</si>
  <si>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</si>
  <si>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</si>
  <si>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</si>
  <si>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</si>
  <si>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</si>
  <si>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</si>
  <si>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</si>
  <si>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</si>
  <si>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</si>
  <si>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</si>
  <si>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</si>
  <si>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</si>
  <si>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</si>
  <si>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</si>
  <si>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</si>
  <si>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</si>
  <si>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</si>
  <si>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</si>
  <si>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</si>
  <si>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</si>
  <si>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</si>
  <si>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</si>
  <si>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</si>
  <si>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</si>
  <si>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</si>
  <si>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</si>
  <si>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</si>
  <si>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</si>
  <si>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</si>
  <si>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</si>
  <si>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</si>
  <si>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</si>
  <si>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</si>
  <si>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</si>
  <si>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</si>
  <si>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</si>
  <si>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</si>
  <si>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</si>
  <si>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</si>
  <si>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</si>
  <si>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</si>
  <si>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</si>
  <si>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</si>
  <si>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</si>
  <si>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</si>
  <si>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</si>
  <si>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</si>
  <si>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</si>
  <si>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</si>
  <si>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</si>
  <si>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</si>
  <si>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</si>
  <si>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</si>
  <si>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</si>
  <si>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</si>
  <si>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</si>
  <si>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</si>
  <si>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</si>
  <si>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</si>
  <si>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</si>
  <si>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</si>
  <si>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</si>
  <si>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</si>
  <si>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</si>
  <si>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</si>
  <si>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</si>
  <si>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</si>
  <si>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</si>
  <si>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</si>
  <si>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</si>
  <si>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</si>
  <si>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</si>
  <si>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</si>
  <si>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</si>
  <si>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</si>
  <si>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</si>
  <si>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</si>
  <si>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</si>
  <si>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</si>
  <si>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</si>
  <si>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</si>
  <si>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</si>
  <si>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</si>
  <si>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</si>
  <si>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</si>
  <si>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</si>
  <si>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</si>
  <si>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</si>
  <si>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</si>
  <si>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</si>
  <si>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</si>
  <si>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</si>
  <si>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</si>
  <si>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</si>
  <si>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</si>
  <si>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</si>
  <si>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</si>
  <si>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</si>
  <si>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</si>
  <si>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</si>
  <si>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</si>
  <si>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</si>
  <si>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</si>
  <si>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</si>
  <si>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</si>
  <si>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</si>
  <si>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</si>
  <si>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</si>
  <si>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</si>
  <si>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</si>
  <si>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</si>
  <si>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</si>
  <si>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</si>
  <si>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</si>
  <si>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</si>
  <si>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</si>
  <si>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</si>
  <si>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</si>
  <si>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</si>
  <si>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</si>
  <si>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</si>
  <si>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</si>
  <si>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</si>
  <si>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</si>
  <si>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</si>
  <si>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</si>
  <si>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</si>
  <si>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</si>
  <si>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</si>
  <si>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</si>
  <si>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</si>
  <si>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</si>
  <si>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</si>
  <si>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</si>
  <si>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</si>
  <si>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</si>
  <si>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</si>
  <si>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</si>
  <si>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</si>
  <si>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</si>
  <si>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</si>
  <si>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</si>
  <si>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</si>
  <si>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</si>
  <si>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</si>
  <si>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</si>
  <si>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</si>
  <si>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</si>
  <si>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</si>
  <si>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</si>
  <si>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</si>
  <si>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</si>
  <si>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</si>
  <si>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</si>
  <si>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</si>
  <si>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</si>
  <si>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</si>
  <si>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</si>
  <si>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</si>
  <si>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</si>
  <si>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</si>
  <si>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</si>
  <si>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</si>
  <si>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</si>
  <si>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</si>
  <si>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</si>
  <si>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</si>
  <si>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</si>
  <si>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</si>
  <si>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</si>
  <si>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</si>
  <si>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</si>
  <si>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</si>
  <si>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</si>
  <si>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</si>
  <si>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</si>
  <si>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</si>
  <si>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</si>
  <si>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</si>
  <si>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</si>
  <si>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</si>
  <si>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</si>
  <si>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</si>
  <si>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</si>
  <si>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</si>
  <si>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</si>
  <si>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</si>
  <si>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</si>
  <si>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</si>
  <si>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</si>
  <si>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</si>
  <si>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</si>
  <si>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</si>
  <si>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</si>
  <si>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</si>
  <si>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</si>
  <si>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</si>
  <si>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</si>
  <si>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</si>
  <si>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</si>
  <si>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</si>
  <si>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</si>
  <si>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</si>
  <si>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</si>
  <si>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</si>
  <si>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</si>
  <si>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</si>
  <si>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</si>
  <si>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</si>
  <si>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</si>
  <si>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</si>
  <si>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</si>
  <si>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</si>
  <si>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</si>
  <si>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</si>
  <si>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</si>
  <si>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</si>
  <si>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</si>
  <si>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</si>
  <si>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</si>
  <si>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</si>
  <si>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</si>
  <si>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</si>
  <si>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</si>
  <si>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</si>
  <si>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</si>
  <si>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</si>
  <si>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</si>
  <si>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</si>
  <si>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</si>
  <si>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</si>
  <si>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</si>
  <si>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</si>
  <si>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</si>
  <si>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</si>
  <si>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</si>
  <si>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</si>
  <si>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</si>
  <si>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</si>
  <si>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</si>
  <si>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</si>
  <si>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</si>
  <si>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</si>
  <si>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</si>
  <si>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</si>
  <si>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</si>
  <si>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</si>
  <si>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</si>
  <si>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</si>
  <si>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</si>
  <si>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</si>
  <si>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</si>
  <si>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</si>
  <si>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</si>
  <si>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</si>
  <si>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</si>
  <si>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</si>
  <si>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</si>
  <si>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</si>
  <si>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</si>
  <si>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</si>
  <si>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</si>
  <si>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</si>
  <si>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</si>
  <si>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</si>
  <si>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</si>
  <si>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</si>
  <si>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</si>
  <si>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</si>
  <si>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</si>
  <si>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</si>
  <si>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</si>
  <si>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</si>
  <si>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</si>
  <si>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</si>
  <si>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</si>
  <si>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</si>
  <si>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</si>
  <si>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</si>
  <si>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</si>
  <si>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</si>
  <si>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</si>
  <si>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</si>
  <si>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</si>
  <si>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</si>
  <si>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</si>
  <si>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</si>
  <si>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</si>
  <si>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</si>
  <si>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</si>
  <si>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</si>
  <si>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</si>
  <si>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</si>
  <si>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</si>
  <si>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</si>
  <si>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</si>
  <si>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</si>
  <si>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</si>
  <si>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</si>
  <si>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</si>
  <si>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</si>
  <si>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</si>
  <si>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</si>
  <si>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</si>
  <si>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</si>
  <si>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</si>
  <si>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</si>
  <si>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</si>
  <si>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</si>
  <si>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</si>
  <si>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</si>
  <si>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</si>
  <si>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</si>
  <si>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</si>
  <si>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</si>
  <si>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</si>
  <si>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</si>
  <si>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</si>
  <si>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</si>
  <si>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</si>
  <si>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</si>
  <si>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</si>
  <si>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</si>
  <si>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</si>
  <si>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</si>
  <si>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</si>
  <si>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</si>
  <si>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</si>
  <si>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</si>
  <si>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</si>
  <si>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</si>
  <si>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</si>
  <si>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</si>
  <si>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</si>
  <si>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</si>
  <si>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</si>
  <si>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</si>
  <si>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</si>
  <si>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</si>
  <si>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</si>
  <si>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</si>
  <si>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</si>
  <si>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</si>
  <si>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</si>
  <si>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</si>
  <si>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</si>
  <si>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</si>
  <si>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</si>
  <si>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</si>
  <si>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</si>
  <si>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</si>
  <si>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</si>
  <si>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</si>
  <si>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</si>
  <si>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</si>
  <si>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</si>
  <si>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</si>
  <si>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</si>
  <si>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</si>
  <si>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</si>
  <si>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</si>
  <si>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</si>
  <si>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</si>
  <si>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</si>
  <si>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</si>
  <si>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</si>
  <si>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</si>
  <si>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</si>
  <si>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</si>
  <si>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</si>
  <si>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</si>
  <si>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</si>
  <si>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</si>
  <si>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</si>
  <si>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</si>
  <si>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</si>
  <si>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</si>
  <si>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</si>
  <si>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</si>
  <si>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</si>
  <si>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</si>
  <si>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</si>
  <si>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</si>
  <si>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</si>
  <si>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</si>
  <si>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</si>
  <si>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</si>
  <si>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</si>
  <si>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</si>
  <si>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</si>
  <si>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</si>
  <si>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</si>
  <si>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</si>
  <si>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</si>
  <si>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</si>
  <si>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</si>
  <si>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</si>
  <si>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</si>
  <si>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</si>
  <si>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</si>
  <si>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</si>
  <si>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</si>
  <si>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</si>
  <si>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</si>
  <si>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</si>
  <si>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</si>
  <si>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</si>
  <si>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</si>
  <si>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</si>
  <si>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</si>
  <si>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</si>
  <si>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</si>
  <si>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</si>
  <si>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</si>
  <si>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</si>
  <si>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</si>
  <si>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</si>
  <si>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</si>
  <si>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</si>
  <si>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</si>
  <si>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</si>
  <si>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</si>
  <si>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</si>
  <si>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</si>
  <si>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</si>
  <si>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</si>
  <si>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</si>
  <si>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</si>
  <si>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</si>
  <si>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</si>
  <si>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</si>
  <si>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</si>
  <si>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</si>
  <si>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</si>
  <si>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</si>
  <si>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</si>
  <si>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</si>
  <si>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</si>
  <si>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</si>
  <si>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</si>
  <si>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</si>
  <si>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</si>
  <si>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</si>
  <si>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</si>
  <si>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</si>
  <si>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</si>
  <si>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</si>
  <si>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STND</t>
  </si>
  <si>
    <t>pi_email</t>
  </si>
  <si>
    <t>OTH_AGCY_SUBM_FLAG</t>
  </si>
  <si>
    <t>N</t>
  </si>
  <si>
    <t xml:space="preserve">Finland; Hungary      </t>
  </si>
  <si>
    <t xml:space="preserve">Czech Republic; Finland; Swaziland     </t>
  </si>
  <si>
    <t>Pend</t>
  </si>
  <si>
    <t xml:space="preserve">Germany       </t>
  </si>
  <si>
    <t xml:space="preserve">Worldwide       </t>
  </si>
  <si>
    <t>using mail merge to fill  RAtemplates with reportserver data.</t>
  </si>
  <si>
    <t/>
  </si>
  <si>
    <t>Decline, DDConcurred</t>
  </si>
  <si>
    <t>CAR16-17</t>
  </si>
  <si>
    <t>NSF 15-555</t>
  </si>
  <si>
    <t>DECL</t>
  </si>
  <si>
    <t>1651369</t>
  </si>
  <si>
    <t>Zhang</t>
  </si>
  <si>
    <t>Qin</t>
  </si>
  <si>
    <t>Indiana University</t>
  </si>
  <si>
    <t>IN</t>
  </si>
  <si>
    <t>qzhangcs@indiana.edu</t>
  </si>
  <si>
    <t>1045 7926 7934</t>
  </si>
  <si>
    <t>E,E/V,V,V/G</t>
  </si>
  <si>
    <t>CAREER: A Foundation of Communication-Efficient Distributed Data Streams Monitoring</t>
  </si>
  <si>
    <t>1651432</t>
  </si>
  <si>
    <t>CAREER: Strong Linear Programs and Rounding in Combinatorial Optimization</t>
  </si>
  <si>
    <t>1651569</t>
  </si>
  <si>
    <t>E/V,E/V,V,V</t>
  </si>
  <si>
    <t>1651631</t>
  </si>
  <si>
    <t>Proposal has been awarded</t>
  </si>
  <si>
    <t>AWD</t>
  </si>
  <si>
    <t>1651838</t>
  </si>
  <si>
    <t>Williams</t>
  </si>
  <si>
    <t>Virginia</t>
  </si>
  <si>
    <t>virgi@mit.edu</t>
  </si>
  <si>
    <t>E,E,V,V,P</t>
  </si>
  <si>
    <t>CAREER:Matrix Products: Algorithms and Applications</t>
  </si>
  <si>
    <t>1651861</t>
  </si>
  <si>
    <t>Rothvoss</t>
  </si>
  <si>
    <t>Thomas</t>
  </si>
  <si>
    <t>rothvoss@uw.edu</t>
  </si>
  <si>
    <t>E,E,E/V,G</t>
  </si>
  <si>
    <t>CAREER: Approximation Algorithms via SDP hierarchies</t>
  </si>
  <si>
    <t>1651932</t>
  </si>
  <si>
    <t>E,V,V,V/G</t>
  </si>
  <si>
    <t>CAREER: Geometric Summaries and Beyond -- Achieving Speed, Shape and Storage</t>
  </si>
  <si>
    <t>1651949</t>
  </si>
  <si>
    <t>Haeupler</t>
  </si>
  <si>
    <t>Bernhard</t>
  </si>
  <si>
    <t>haeupler@cs.cmu.edu</t>
  </si>
  <si>
    <t>1045 7926 7927 7934 7935</t>
  </si>
  <si>
    <t>E/V,V,V,V</t>
  </si>
  <si>
    <t>CAREER: A Mathematical and Computational Theory of Reliable Interactive Communication</t>
  </si>
  <si>
    <t>1651952</t>
  </si>
  <si>
    <t>Juba</t>
  </si>
  <si>
    <t>Brendan</t>
  </si>
  <si>
    <t>Washington University</t>
  </si>
  <si>
    <t>bjuba@wustl.edu</t>
  </si>
  <si>
    <t>1045 7926 9150</t>
  </si>
  <si>
    <t>V,V/G,P</t>
  </si>
  <si>
    <t>CAREER: Integrated Knowledge Discovery and Analysis Using Sum-of-Squares Proofs</t>
  </si>
  <si>
    <t>1651964</t>
  </si>
  <si>
    <t>CAREER:Breaking the Theoretical Frontiers of Resource Allocation with Transformative  Algorithms, Analysis Techniques and Models</t>
  </si>
  <si>
    <t>1651970</t>
  </si>
  <si>
    <t>Ullman</t>
  </si>
  <si>
    <t>Jonathan</t>
  </si>
  <si>
    <t>Northeastern University</t>
  </si>
  <si>
    <t>jullman@ccs.neu.edu</t>
  </si>
  <si>
    <t>CAREER: A Stable Foundation for Trustworthy Data Analysis</t>
  </si>
  <si>
    <t>1651987</t>
  </si>
  <si>
    <t>Ge</t>
  </si>
  <si>
    <t>Rong</t>
  </si>
  <si>
    <t>rongge@cs.duke.edu</t>
  </si>
  <si>
    <t>E,E/V,V,G</t>
  </si>
  <si>
    <t>CAREER: Understanding Non-convex Optimization for Machine Learning</t>
  </si>
  <si>
    <t>1651999</t>
  </si>
  <si>
    <t>Peng</t>
  </si>
  <si>
    <t>Yang</t>
  </si>
  <si>
    <t>Georgia Tech Research Corp</t>
  </si>
  <si>
    <t>rpeng@cc.gatech.edu</t>
  </si>
  <si>
    <t>E/V,V/G,V/G,G</t>
  </si>
  <si>
    <t>CAREER: Algorithm Frameworks Based on Adaptive Sampling</t>
  </si>
  <si>
    <t>1652063</t>
  </si>
  <si>
    <t>Nguyen</t>
  </si>
  <si>
    <t>Huy</t>
  </si>
  <si>
    <t>hu.nguyen@neu.edu</t>
  </si>
  <si>
    <t>CAREER: Faster and Smaller Sketches for Bigger Data</t>
  </si>
  <si>
    <t>1652218</t>
  </si>
  <si>
    <t>Sheehy</t>
  </si>
  <si>
    <t>Donald</t>
  </si>
  <si>
    <t>Univ of Connecticut</t>
  </si>
  <si>
    <t>CT</t>
  </si>
  <si>
    <t>donald@engr.uconn.edu</t>
  </si>
  <si>
    <t>E/V,E/V,E/V,E/V</t>
  </si>
  <si>
    <t>CAREER: Algorithmic Challenges and Opportunities in Spatial Data Analysis</t>
  </si>
  <si>
    <t>1652235</t>
  </si>
  <si>
    <t>De</t>
  </si>
  <si>
    <t>Anindya</t>
  </si>
  <si>
    <t>Northwestern University</t>
  </si>
  <si>
    <t>anindya.de1@northwestern.edu</t>
  </si>
  <si>
    <t>1045 7927</t>
  </si>
  <si>
    <t>V,V,V/G,V/G</t>
  </si>
  <si>
    <t>CAREER: Analysis in Derandomization and Learning</t>
  </si>
  <si>
    <t>1652250</t>
  </si>
  <si>
    <t>1652257</t>
  </si>
  <si>
    <t>Braverman</t>
  </si>
  <si>
    <t>Vladimir</t>
  </si>
  <si>
    <t>vova@cs.jhu.edu</t>
  </si>
  <si>
    <t>E/V,V,V,V,V/G</t>
  </si>
  <si>
    <t>CAREER: New Methods for Central Streaming Problems</t>
  </si>
  <si>
    <t>1652303</t>
  </si>
  <si>
    <t>Saha</t>
  </si>
  <si>
    <t>Barna</t>
  </si>
  <si>
    <t>U of Massachusetts Amherst</t>
  </si>
  <si>
    <t>barna@cs.umass.edu</t>
  </si>
  <si>
    <t>E/V,E/V,E/V,V</t>
  </si>
  <si>
    <t>CAREER: Efficient Fine-grained Algorithms</t>
  </si>
  <si>
    <t>1652346</t>
  </si>
  <si>
    <t>Seshadhri</t>
  </si>
  <si>
    <t>C.</t>
  </si>
  <si>
    <t>U of Cal Santa Cruz</t>
  </si>
  <si>
    <t>sesh@ucsc.edu</t>
  </si>
  <si>
    <t>CAREER: Provable Algorithmics for Massive Data Analysis using Sublinear Algorithms</t>
  </si>
  <si>
    <t>1652491</t>
  </si>
  <si>
    <t>Vijayaraghavan</t>
  </si>
  <si>
    <t>Aravindan</t>
  </si>
  <si>
    <t>aravindv@northwestern.edu</t>
  </si>
  <si>
    <t>CAREER: Beyond Worst-Case Analysis: New Approaches in Approximation Algorithms and Machine Learning</t>
  </si>
  <si>
    <t>1652640</t>
  </si>
  <si>
    <t>Zeng</t>
  </si>
  <si>
    <t>Wei</t>
  </si>
  <si>
    <t>Florida International Univ</t>
  </si>
  <si>
    <t>wzeng@cs.fiu.edu</t>
  </si>
  <si>
    <t>E,V,V,V,P</t>
  </si>
  <si>
    <t>CAREER: Computational Differential Geometric Methods for Shape Registration and Analysis</t>
  </si>
  <si>
    <t>1652695</t>
  </si>
  <si>
    <t>E,E,V,G</t>
  </si>
  <si>
    <t>CAREER: Simulation and Design of Thin Objects using Discrete Differential Geometry Algorithms</t>
  </si>
  <si>
    <t>1652845</t>
  </si>
  <si>
    <t>Price</t>
  </si>
  <si>
    <t>Eric</t>
  </si>
  <si>
    <t>ecprice@cs.utexas.edu</t>
  </si>
  <si>
    <t>CAREER: Sample Complexities of Fundamental Problems</t>
  </si>
  <si>
    <t>1652857</t>
  </si>
  <si>
    <t>E,V,V,F</t>
  </si>
  <si>
    <t>CAREER: Fresh Takes on Classic Visibility Problems</t>
  </si>
  <si>
    <t>1652862</t>
  </si>
  <si>
    <t>Diakonikolas</t>
  </si>
  <si>
    <t>Ilias</t>
  </si>
  <si>
    <t>U of Southern California</t>
  </si>
  <si>
    <t>diakonik@usc.edu</t>
  </si>
  <si>
    <t>CAREER: Efficient Algorithms for Learning and Testing Structured Probabilistic Models</t>
  </si>
  <si>
    <t>1652983</t>
  </si>
  <si>
    <t>G,G,G/F,G/F</t>
  </si>
  <si>
    <t>DMSCAR2017</t>
  </si>
  <si>
    <t>03040000</t>
  </si>
  <si>
    <t>1271</t>
  </si>
  <si>
    <t>PSESHAI</t>
  </si>
  <si>
    <t>DMS</t>
  </si>
  <si>
    <t>1654086</t>
  </si>
  <si>
    <t>Crane</t>
  </si>
  <si>
    <t>Keenan</t>
  </si>
  <si>
    <t>kmcrane@cs.cmu.edu</t>
  </si>
  <si>
    <t>V,V,V,V/G,G,G,F</t>
  </si>
  <si>
    <t>CAREER: Discrete Geometric Representations for Shape Acquisition, Analysis, and Fabrication</t>
  </si>
  <si>
    <t>1654261</t>
  </si>
  <si>
    <t>Oeding</t>
  </si>
  <si>
    <t>Luke</t>
  </si>
  <si>
    <t>Auburn University</t>
  </si>
  <si>
    <t>lukeoeding@gmail.com</t>
  </si>
  <si>
    <t>1045 7933 9150</t>
  </si>
  <si>
    <t>V,G,G,G/F,F</t>
  </si>
  <si>
    <t>CAREER: Algebraic Vision and Collaborative Navigation</t>
  </si>
  <si>
    <t>FY17TRIPOD</t>
  </si>
  <si>
    <t>NSF 16-615</t>
  </si>
  <si>
    <t>041Y</t>
  </si>
  <si>
    <t>1740547</t>
  </si>
  <si>
    <t>Shub</t>
  </si>
  <si>
    <t>CUNY City College</t>
  </si>
  <si>
    <t>mshub@ccny.cuny.edu</t>
  </si>
  <si>
    <t>047Z 062Z</t>
  </si>
  <si>
    <t>Dynamics,stability,complexity,and statistical inference of data-defined networks with emphasis on biology</t>
  </si>
  <si>
    <t>1740562</t>
  </si>
  <si>
    <t>L</t>
  </si>
  <si>
    <t>Crainiceanu</t>
  </si>
  <si>
    <t>Ciprian</t>
  </si>
  <si>
    <t>ccraini1@jhu.edu</t>
  </si>
  <si>
    <t>G,G,F</t>
  </si>
  <si>
    <t>Methodological approaches for very large -omics, wearable computing and neuroimaging data</t>
  </si>
  <si>
    <t>1740596</t>
  </si>
  <si>
    <t>Smirnova</t>
  </si>
  <si>
    <t>Ekaterina</t>
  </si>
  <si>
    <t>University of Montana</t>
  </si>
  <si>
    <t>ekaterina.smirnova@mso.umt.edu</t>
  </si>
  <si>
    <t>047Z 062Z 9102 9150</t>
  </si>
  <si>
    <t>1740613</t>
  </si>
  <si>
    <t>Jafari</t>
  </si>
  <si>
    <t>Farhad</t>
  </si>
  <si>
    <t>University of Wyoming</t>
  </si>
  <si>
    <t>fjafari@uwyo.edu</t>
  </si>
  <si>
    <t>047Z 062Z 9150</t>
  </si>
  <si>
    <t>1740576</t>
  </si>
  <si>
    <t>Sellers</t>
  </si>
  <si>
    <t>Kimberly</t>
  </si>
  <si>
    <t>Georgetown University</t>
  </si>
  <si>
    <t>DC</t>
  </si>
  <si>
    <t>kfs7@georgetown.edu</t>
  </si>
  <si>
    <t>G,F,F</t>
  </si>
  <si>
    <t>Collaborative Research: BiGeorge Data Science Institute (BiG DATA: Georgetown-George Washington Data Science Institute)</t>
  </si>
  <si>
    <t>1740516</t>
  </si>
  <si>
    <t>Monteleoni</t>
  </si>
  <si>
    <t>Claire</t>
  </si>
  <si>
    <t>George Washington Univ</t>
  </si>
  <si>
    <t>cmontel@gwu.edu</t>
  </si>
  <si>
    <t>047Z 062Z 9102</t>
  </si>
  <si>
    <t>1740605</t>
  </si>
  <si>
    <t>Ravishanker</t>
  </si>
  <si>
    <t>Nalini</t>
  </si>
  <si>
    <t>nalini.ravishanker@uconn.edu</t>
  </si>
  <si>
    <t>G,G,G/F</t>
  </si>
  <si>
    <t>Collaborative Research: TRIPODS: NE Consortium for the Advancement of Data Science (NECADS)-Foundations of High Performance Techniques for High-Dimensional &amp; High-Frequency Data</t>
  </si>
  <si>
    <t>1740565</t>
  </si>
  <si>
    <t>Laubenbacher</t>
  </si>
  <si>
    <t>Reinhard</t>
  </si>
  <si>
    <t>U of Conn Health Center</t>
  </si>
  <si>
    <t>laubenbacher@uchc.edu</t>
  </si>
  <si>
    <t>TRIPODS: New England Consortium for the Advancement of Data Science (NECADS): Foundations of High Performance Techniques for High-Dimensional and High-Frequency Data</t>
  </si>
  <si>
    <t>1740800</t>
  </si>
  <si>
    <t>Lavine</t>
  </si>
  <si>
    <t>lavine@math.umass.edu</t>
  </si>
  <si>
    <t>1740736</t>
  </si>
  <si>
    <t>Daniels</t>
  </si>
  <si>
    <t>Noah</t>
  </si>
  <si>
    <t>U of Rhode Island</t>
  </si>
  <si>
    <t>noah_daniels@uri.edu</t>
  </si>
  <si>
    <t>F,P,P</t>
  </si>
  <si>
    <t>Institute for Foundations of Data Science</t>
  </si>
  <si>
    <t>1740741</t>
  </si>
  <si>
    <t>Brock</t>
  </si>
  <si>
    <t>Jeffrey</t>
  </si>
  <si>
    <t>Brown University</t>
  </si>
  <si>
    <t>Jeff_Brock@brown.edu</t>
  </si>
  <si>
    <t>047Z 060Z 062Z 9150</t>
  </si>
  <si>
    <t>E/V,V,V</t>
  </si>
  <si>
    <t>Foundations of Model Driven Discovery from Massive Data</t>
  </si>
  <si>
    <t>1740748</t>
  </si>
  <si>
    <t>Edelman</t>
  </si>
  <si>
    <t>Alan</t>
  </si>
  <si>
    <t>EDELMAN@MATH.MIT.EDU</t>
  </si>
  <si>
    <t>Collaborative Research: Center for Scalable Data Analysis</t>
  </si>
  <si>
    <t>1740642</t>
  </si>
  <si>
    <t>Quackenbush</t>
  </si>
  <si>
    <t>John</t>
  </si>
  <si>
    <t>Dana-Farber Cancer Inst</t>
  </si>
  <si>
    <t>johnq@jimmy.harvard.edu</t>
  </si>
  <si>
    <t>1740744</t>
  </si>
  <si>
    <t>Gelman</t>
  </si>
  <si>
    <t>Andrew</t>
  </si>
  <si>
    <t>Columbia University</t>
  </si>
  <si>
    <t>gelman@stat.columbia.edu</t>
  </si>
  <si>
    <t>1740751</t>
  </si>
  <si>
    <t>Indyk</t>
  </si>
  <si>
    <t>Piotr</t>
  </si>
  <si>
    <t>indyk@mit.edu</t>
  </si>
  <si>
    <t>E/V,V,V/G</t>
  </si>
  <si>
    <t>TRIPODS: Institute for Foundations of Data Science (IFDS)</t>
  </si>
  <si>
    <t>1740752</t>
  </si>
  <si>
    <t>Davison</t>
  </si>
  <si>
    <t>Brian</t>
  </si>
  <si>
    <t>Lehigh University</t>
  </si>
  <si>
    <t>brian@cse.lehigh.edu</t>
  </si>
  <si>
    <t>G/F,G/F,F</t>
  </si>
  <si>
    <t>Institute for Interdisciplinary Data Science</t>
  </si>
  <si>
    <t>1740769</t>
  </si>
  <si>
    <t>Wasserman</t>
  </si>
  <si>
    <t>Larry</t>
  </si>
  <si>
    <t>larry@stat.cmu.edu</t>
  </si>
  <si>
    <t>V/G,V/G,G/F</t>
  </si>
  <si>
    <t>Carnegie Mellon Institute for the Foundations of Data Science (CMU-IFDS)</t>
  </si>
  <si>
    <t>NAKANNA</t>
  </si>
  <si>
    <t>1740776</t>
  </si>
  <si>
    <t>Huo</t>
  </si>
  <si>
    <t>Xiaoming</t>
  </si>
  <si>
    <t>xiaoming@isye.gatech.edu</t>
  </si>
  <si>
    <t>TRIPODS: Transdisciplinary Research Institute for Advancing Data Science (TRIAD)</t>
  </si>
  <si>
    <t>1740779</t>
  </si>
  <si>
    <t>Carbonara</t>
  </si>
  <si>
    <t>Joaquin</t>
  </si>
  <si>
    <t>SUNY Col Buffalo</t>
  </si>
  <si>
    <t>carbonjo@buffalostate.edu</t>
  </si>
  <si>
    <t>G,G,P</t>
  </si>
  <si>
    <t>Collaborative Research: SUNY Data Science Institute (SUNY-DSI)</t>
  </si>
  <si>
    <t>1740731</t>
  </si>
  <si>
    <t>Sperhac</t>
  </si>
  <si>
    <t>Jeanette</t>
  </si>
  <si>
    <t>jsperhac@buffalo.edu</t>
  </si>
  <si>
    <t>1740743</t>
  </si>
  <si>
    <t>Bichindaritz</t>
  </si>
  <si>
    <t>Isabelle</t>
  </si>
  <si>
    <t>SUNY Oswego</t>
  </si>
  <si>
    <t>ibichind@oswego.edu</t>
  </si>
  <si>
    <t>1740745</t>
  </si>
  <si>
    <t>Walters</t>
  </si>
  <si>
    <t>Lisa</t>
  </si>
  <si>
    <t>SUNY Fredonia</t>
  </si>
  <si>
    <t>lisa.walters@fredonia.edu</t>
  </si>
  <si>
    <t>Collaborative Research: SUNY-Data Science Institute (SUNY-DSI)</t>
  </si>
  <si>
    <t>1740774</t>
  </si>
  <si>
    <t>Dang</t>
  </si>
  <si>
    <t>Sanjeena</t>
  </si>
  <si>
    <t>SUNY Binghamton</t>
  </si>
  <si>
    <t>sdang@binghamton.edu</t>
  </si>
  <si>
    <t>1740780</t>
  </si>
  <si>
    <t>Michailidis</t>
  </si>
  <si>
    <t>George</t>
  </si>
  <si>
    <t>University of Florida</t>
  </si>
  <si>
    <t>gmichail@ufl.edu</t>
  </si>
  <si>
    <t>V/G,V/G,V/G</t>
  </si>
  <si>
    <t>TRIPODS: UF Institute for Learning from Higher Structured Data</t>
  </si>
  <si>
    <t>1740796</t>
  </si>
  <si>
    <t>Scheinberg</t>
  </si>
  <si>
    <t>Katya</t>
  </si>
  <si>
    <t>kas410@lehigh.edu</t>
  </si>
  <si>
    <t>V,V,V/G</t>
  </si>
  <si>
    <t>Collaborative Research:  TRIPODS Institute for Optimization and Learning</t>
  </si>
  <si>
    <t>1740735</t>
  </si>
  <si>
    <t>Liu</t>
  </si>
  <si>
    <t>Han</t>
  </si>
  <si>
    <t>hanliu@princeton.edu</t>
  </si>
  <si>
    <t>Collaborative Research: TRIPODS Institute for Optimization and Learning</t>
  </si>
  <si>
    <t>1740762</t>
  </si>
  <si>
    <t>Orabona</t>
  </si>
  <si>
    <t xml:space="preserve"> Francesco</t>
  </si>
  <si>
    <t>SUNY Stony Brook</t>
  </si>
  <si>
    <t>francesco@cs.stonybrook.edu</t>
  </si>
  <si>
    <t>1740797</t>
  </si>
  <si>
    <t>Embree</t>
  </si>
  <si>
    <t>Mark</t>
  </si>
  <si>
    <t>embree@vt.edu</t>
  </si>
  <si>
    <t>TRIPODS: Institute for Data, Models, and Algorithms Across Scales</t>
  </si>
  <si>
    <t>1740799</t>
  </si>
  <si>
    <t>Vidal</t>
  </si>
  <si>
    <t>Rene</t>
  </si>
  <si>
    <t>rvidal@cis.jhu.edu</t>
  </si>
  <si>
    <t>The Johns Hopkins Mathematical Institute for Data Science (MINDS)</t>
  </si>
  <si>
    <t>1740803</t>
  </si>
  <si>
    <t>Mukherjee</t>
  </si>
  <si>
    <t>Sayan</t>
  </si>
  <si>
    <t>sayan@stat.duke.edu</t>
  </si>
  <si>
    <t>E/V,V/G,F</t>
  </si>
  <si>
    <t>Geometric Data Science</t>
  </si>
  <si>
    <t>1740807</t>
  </si>
  <si>
    <t>Abbe</t>
  </si>
  <si>
    <t>Emmanuel</t>
  </si>
  <si>
    <t>Princeton University</t>
  </si>
  <si>
    <t>NJ</t>
  </si>
  <si>
    <t>eabbe@princeton.edu</t>
  </si>
  <si>
    <t>Structure, Randomness, and Information in Data Science</t>
  </si>
  <si>
    <t>1740810</t>
  </si>
  <si>
    <t>Mitzenmacher</t>
  </si>
  <si>
    <t>Harvard University</t>
  </si>
  <si>
    <t>michaelm@eecs.harvard.edu</t>
  </si>
  <si>
    <t>V,F,F</t>
  </si>
  <si>
    <t>Data Science (DS) Principles Center</t>
  </si>
  <si>
    <t>1740811</t>
  </si>
  <si>
    <t>Mishra</t>
  </si>
  <si>
    <t>Bhubaneswar</t>
  </si>
  <si>
    <t>New York University</t>
  </si>
  <si>
    <t>mishra@cs.nyu.edu</t>
  </si>
  <si>
    <t>F,F,F</t>
  </si>
  <si>
    <t>Collaborative Research: TRIPODS: Foundations of Data Science through the Lens of Creolization</t>
  </si>
  <si>
    <t>1740789</t>
  </si>
  <si>
    <t>Mitter</t>
  </si>
  <si>
    <t>Sanjoy</t>
  </si>
  <si>
    <t>mitter@mit.edu</t>
  </si>
  <si>
    <t>1740813</t>
  </si>
  <si>
    <t>Anderson</t>
  </si>
  <si>
    <t>College of Charleston</t>
  </si>
  <si>
    <t>andersonpe2@cofc.edu</t>
  </si>
  <si>
    <t>G,F/P,F/P</t>
  </si>
  <si>
    <t>TRIPODS: Phase I: Institute on Graph Analytics and Rankability in Data Science (IGARDS)</t>
  </si>
  <si>
    <t>1740822</t>
  </si>
  <si>
    <t>Weinberger</t>
  </si>
  <si>
    <t>Kilian</t>
  </si>
  <si>
    <t>Cornell University</t>
  </si>
  <si>
    <t>kilianweinberger@cornell.edu</t>
  </si>
  <si>
    <t>E,E,E/V</t>
  </si>
  <si>
    <t>TRIPODS: Data Science for Improved Decision-Making: Learning in the Context of Uncertainty, Causality, Privacy, and Network Structures</t>
  </si>
  <si>
    <t>1740825</t>
  </si>
  <si>
    <t>Fernandez Granda</t>
  </si>
  <si>
    <t>Carlos</t>
  </si>
  <si>
    <t>cfg3@nyu.edu</t>
  </si>
  <si>
    <t>E/V,V/G,G</t>
  </si>
  <si>
    <t>Building the Foundations of Data Science</t>
  </si>
  <si>
    <t>1740828</t>
  </si>
  <si>
    <t>McGregor</t>
  </si>
  <si>
    <t>mcgregor@cs.umass.edu</t>
  </si>
  <si>
    <t>Fundamental Trade-offs Throughout the Data Science Lifecycle</t>
  </si>
  <si>
    <t>1740829</t>
  </si>
  <si>
    <t>Lahiri</t>
  </si>
  <si>
    <t>Parthasarathi</t>
  </si>
  <si>
    <t>U of MD College Park</t>
  </si>
  <si>
    <t>plahiri@umd.edu</t>
  </si>
  <si>
    <t>V,G,G</t>
  </si>
  <si>
    <t>Institute for Data Integration and Linkage</t>
  </si>
  <si>
    <t>1740831</t>
  </si>
  <si>
    <t>Ramachandran</t>
  </si>
  <si>
    <t>Kandethody</t>
  </si>
  <si>
    <t>ram@usf.edu</t>
  </si>
  <si>
    <t>G,G,G,F,F/P</t>
  </si>
  <si>
    <t>TRIPODS: Interdisciplinary Data Sciences Institute (IDSI)</t>
  </si>
  <si>
    <t>1740833</t>
  </si>
  <si>
    <t>Wright</t>
  </si>
  <si>
    <t>jw2966@columbia.edu</t>
  </si>
  <si>
    <t>E/V,E/V,G</t>
  </si>
  <si>
    <t>TRIPODS: From Foundations to Practice of Data Science and Back</t>
  </si>
  <si>
    <t>1740834</t>
  </si>
  <si>
    <t>Mischaikow</t>
  </si>
  <si>
    <t>Konstantin</t>
  </si>
  <si>
    <t>Rutgers Univ New Brunswick</t>
  </si>
  <si>
    <t>mischaik@math.rutgers.edu</t>
  </si>
  <si>
    <t>Institute for Theoretical Advancements in Data Science (ITADS)</t>
  </si>
  <si>
    <t>1740835</t>
  </si>
  <si>
    <t>Orecchia</t>
  </si>
  <si>
    <t>Lorenzo</t>
  </si>
  <si>
    <t>orecchia@bu.edu</t>
  </si>
  <si>
    <t>TRIPODS: Boston University's Institute for Transdisciplinary Research in Principles of Data Science</t>
  </si>
  <si>
    <t>1740904</t>
  </si>
  <si>
    <t>Yener</t>
  </si>
  <si>
    <t>Bulent</t>
  </si>
  <si>
    <t>Rensselaer Polytech Inst</t>
  </si>
  <si>
    <t>byener@gmail.com</t>
  </si>
  <si>
    <t>V,V,P</t>
  </si>
  <si>
    <t>Collaborative Research: TRIPODS: A Theoretical Framework for Solving Structured Missing Data Problems</t>
  </si>
  <si>
    <t>1740792</t>
  </si>
  <si>
    <t>Kafadar</t>
  </si>
  <si>
    <t>Karen</t>
  </si>
  <si>
    <t>University of Virginia</t>
  </si>
  <si>
    <t>kk3ab@virginia.edu</t>
  </si>
  <si>
    <t xml:space="preserve">SELECT DISTINCT p.prop_id, p.lead_prop_id, p.pi_id, p.inst_id, p.pm_ibm_logn_id as PO, _x000D_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</si>
  <si>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</si>
  <si>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</si>
  <si>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</si>
  <si>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</si>
  <si>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line.','.please.','keep','.so.','mail','merge','formatting','works..',@olddate_x000D_
,0,-0.99999999,'NRFP','NRFP','NRFP','templateFilename_RAt.docx'_x000D_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</si>
  <si>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</si>
  <si>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#myProp pid_x000D_
JOIN csd.prop p ON p.prop_id = pid.prop_id_x000D_
LEFT OUTER JOIN #myPRCs prc ON prc.prop_id = pid.prop_id_x000D_
ORDER BY pid.lead, pid.ILN, pid.prop_id, eb.budg_seq_yr _x000D_
</t>
  </si>
  <si>
    <t>RA_pidCreate</t>
  </si>
  <si>
    <t xml:space="preserve">SET NOCOUNT ON _x000D_
CREATE TABLE #myPid (prop_id char(7) primary key, lead_prop_id char(7) null, pi_id char(9), inst_id char(10), PO char(7), RAtemplate varchar(63))_x000D_
INSERT INTO #myPid _x000D_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</si>
  <si>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</si>
  <si>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</si>
  <si>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047Z</t>
  </si>
  <si>
    <t>TRIPODS Phase 1</t>
  </si>
  <si>
    <t>060Z</t>
  </si>
  <si>
    <t>Convergent Research</t>
  </si>
  <si>
    <t>062Z</t>
  </si>
  <si>
    <t>Harnessing the Data Revolution</t>
  </si>
  <si>
    <t>7927</t>
  </si>
  <si>
    <t>COMPLEXITY &amp; CRYPTOGRAPHY</t>
  </si>
  <si>
    <t>7935</t>
  </si>
  <si>
    <t>COMM &amp; INFORMATION THEORY</t>
  </si>
  <si>
    <t>9102</t>
  </si>
  <si>
    <t>WOMEN, MINORITY, DISABLED, NEC</t>
  </si>
  <si>
    <t>P170288</t>
  </si>
  <si>
    <t xml:space="preserve"> AF CAREER Panel</t>
  </si>
  <si>
    <t>18</t>
  </si>
  <si>
    <t xml:space="preserve"> Panel Summary       
  SUMMARY OF PROPOSED RESEARCH ACTIVITY _x000D_
_x000D_
This proposal is based on the Distributed monitoring model where massive amounts of data are received on a set of communicating servers, one of which serves as a distinguished coordinator and computes a function of all the data. The main overall goal is to minimize communication between servers. _x000D_
_x000D_
The agenda includes improved bounds for central problems such as computing frequency moments, extending techniques to other types of problems such as distributed clustering and distributed PCA. _x000D_
_x000D_
INTELLECTUAL MERIT _x000D_
_x000D_
+ The proposal addresses fundamental, interesting and practically well-motivated problems in distributed monitoring. _x000D_
+ It develops strong connections between distributed algorithms and communication complexity._x000D_
+ It has the potential to significantly advance the field, and is novel and exciting. _x000D_
+ PI has a strong track record_x000D_
_x000D_
- The proposal could make a stronger case for the overall importance of this research ("big picture"). _x000D_
- The section about the connection to distributed data structures was underdeveloped and should be strengthened. _x000D_
- The proposal does not mention technical ideas on how the goals will be approached. Some details would be helpful._x000D_
_x000D_
_x000D_
BROADER IMPACTS_x000D_
_x000D_
+ long-term broader impacts from the technical material _x000D_
+ Plans to release an open-source library of communication-efficient algorithms for distributed monitoring _x000D_
+ design a trio of courses related to the project. _x000D_
+ mid-west theory day._x000D_
_x000D_
Arguably, the PI could have further emphasized the practical motivation and applicability of the research that will come out of this project. _x000D_
_x000D_
CAREER SOLICITATION-SPECIFIC REMARKS: _x000D_
_x000D_
Letter of institutional commitment: Included. _x000D_
_x000D_
Integration of research and education: This component includes the development of a sequence of 3 courses related to this project, mentoring undergraduate and graduate students with special attention to minorities and women, involvement in the mid-west theory day organization and releasing public software based on the results of the project._x000D_
_x000D_
ADDITIONAL REMARKS _x000D_
_x000D_
Data Management Plan: Adequate. _x000D_
_x000D_
Results of prior support: Clearly stated. _x000D_
_x000D_
_x000D_
SUMMARY STATEMENT _x000D_
_x000D_
This is a strong proposal about basic problems in distributed monitoring. The PI has a strong record in the field, having state-of-the-art algorithms as well as communication-complexity based lower bounds. The research is likely to have an impact in practice. The panel felt that the proposal was missing a vision/big picture and could use more description of how the proposed goals would be reached._x000D_
_x000D_
The recommendation of the panel is _x000D_
___ Highly Competitive_x000D_
___ Competitive_x000D_
_X_ Low Competitive_x000D_
___ Not Competitive_x000D_
 _x000D_
The panelists concur that the Panel Summary accurately reflects the panel discussion._x000D_
</t>
  </si>
  <si>
    <t>XU0880525</t>
  </si>
  <si>
    <t>Cormode</t>
  </si>
  <si>
    <t>G.Cormode@warwick.ac.uk</t>
  </si>
  <si>
    <t xml:space="preserve">In the context of the five review elements, please _x000D_
evaluate the strengths and weaknesses of the proposal with respect to intellectual merit._x000D_
_x000D_
The proposal is in the area of theoretical computer science, with the potential to affect related areas of applied algorithms, data management, and networks.  The proposal is to address recently emerged models of computation that sit between single-site high volume data analysis ("streaming"), and multi-site, highly-connected and resourced analysis ("cluster computing").  The model of distributed streams is where data arrives at high velocity to a number of different processing entities, who can communicate amongst each other to coordinate and share partial information, but where storage of the streamed data, or centralization, is not practical.  This model is an intuitive one, and has some attractions: notably, that protocols developed in this model can also be deployed in other models, and are typically quite lightweight compared to MapReduce-style computations, which are usually batch, and can involve intensive communication (shuffle) and coordination phases.  _x000D_
_x000D_
A key aspect of this model, along with its precursor streaming models, is that exact computation is typically not feasible, and approximate randomized solutions are needed.  This means that even seemingly "basic" computations (aggregation and function evaluation, e.g. measuring the empirical entropy of the arriving data) need novel solutions as the trivial exact algorithms are not feasible under the assumed resource limitations. _x000D_
_x000D_
The proposal describes a large program of work addressing this model and its variations.  The model has been proposed in various forms since about 15 years ago, and has had bursts of activity over the least ten years.  Yet, most of this work has been piecemeal -- identifying individual problems and proposing specific protocols.  The aim here is to provide a more general framework, and to abstract from the specific protocols known already some broader principles which can be applied to a larger class of functions.  Some plausible conjectures are made here about what functions are amenable to tracking, and how a generic algorithm might look.  Other problems under consideration are to address more general questions than those that can be modeled as vector aggregation, such as computational geometry, machine learning, and numerical linear algebra.  In each case, some sensible first steps are outlined.  Further variations to consider include different communication topologies, and connections to distributed data structures (distributed hash tables, and structures within SDN devices).  These last directions are perhaps the most tentative, but any proposal must include some less developed ideas, to be enhanced as the initial portions of the work is carried out. _x000D_
_x000D_
The work has the potential to signficantly advance the state of the art around distributed communication, streaming algorithms and communication complexity.  The PI has a strong track record in generating such results and publishing them in the top theory conferences, with some overspill to data management venues.  _x000D_
The proposed work is novel and exciting.  I have no doubt that the PI will be able to deliver on these promises, and produce a string of groundbreaking papers on these topics.  He has a strong collaboration network of top researchers, and a growing history of leading graduate students into producing good work.  _x000D_
_x000D_
_x000D_
_x000D_
_x000D_
In the context of the five review elements, please _x000D_
evaluate the strengths and weaknesses of the proposal with respect to broader impacts._x000D_
_x000D_
The broader impacts of any theoretically grounded proposal have to be seen in the long term: it can take ten years or more for the ideas that are developed to propagate and see real impact.  However, the questions addressed here are sufficiently foundational and general, that one can anticipate good impact across future generations of distributed computation and networked data analysis.  The activities around developing and releasing code libraries of reference implementations will help in this regard.  _x000D_
_x000D_
This line of work has yet to have significant influence on the networking community which should by rights take an interest; certainly, there has been limited take up of the developed algorithms into network elements.  The wider availiability of Software Defined Networking elements has the potential to change this, or at least to allow prototype evaluations "in the wild". _x000D_
_x000D_
The proposal's focus on broader impacts tends to look mostly at the development of diverse STEM talent, and influence on teaching.  Some of the commentary on teaching is perhaps too specific to the context of the PI's home institution; the fact that the materials developed are being made more widely available is of more general value.  _x000D_
_x000D_
The PI has already developed a good reputation for teaching, mentoring and presenting material at international venues.  This gives good confidence the planned broader impacts will be achieved._x000D_
_x000D_
Please evaluate the strengths and _x000D_
weaknesses of the proposal with respect to any additional solicitation-specific review criteria, if _x000D_
applicable_x000D_
_x000D_
NA_x000D_
_x000D_
Summary Statement_x000D_
_x000D_
This is a very strong proposal in theoretical computer science, that addresses practical questions of real relevance, and promises to provide novel results with wide-ranging influence.  The PI is very well-qualified to deliver on this promise, and has a strong track record in related areas.  I would strongly recommend this proposal for funding._x000D_
_x000D_
</t>
  </si>
  <si>
    <t>UU0824515</t>
  </si>
  <si>
    <t>Ergun</t>
  </si>
  <si>
    <t>fergun@indiana.edu</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</si>
  <si>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t>
  </si>
  <si>
    <t>PS0995216</t>
  </si>
  <si>
    <t>Kane</t>
  </si>
  <si>
    <t>dakane@eng.ucsd.edu</t>
  </si>
  <si>
    <t xml:space="preserve">In the context of the five review elements, please _x000D_
evaluate the strengths and weaknesses of the proposal with respect to intellectual merit._x000D_
_x000D_
The proposal is to study problems related to distributed monitoring. The basic model is that several communicating stations receive data streams and a central server needs to maintaining accurate statistics on the union of this data. The primary goal of these algorithms are to minimize total communication and minimize memory usage at each node. This model takes ideas from communication complexity and streaming algorithms. In particular, specific problems to be considered include:_x000D_
1) Trying to understand the complexity of a number of functions of interest in this model._x000D_
2) Trying to understand the differences between the complexity of monitoring and the one-time communication complexity of problems._x000D_
3) Trying to understand when data summaries stored at individual nodes can be efficiently merged._x000D_
4) Trying to understand how these problems are affected by network topology._x000D_
These all seem like viable problems, and have a good mixture of long-term and short-term projects._x000D_
_x000D_
In the context of the five review elements, please _x000D_
evaluate the strengths and weaknesses of the proposal with respect to broader impacts._x000D_
_x000D_
This proposal has several sources of broader impact:_x000D_
1) These algorithms do seem potentially amenable to applications, thought the proposal mentions no specific efforts to apply them to specific problems. The PI however is attempting to build up standard code libraries for these types of problems, which might make application of these ideas easier in the future._x000D_
2) Mentoring projects, many with women and minorities._x000D_
3) Course development, a relatively substantial effort compared to many proposals._x000D_
These efforts seem approximately in line with typical proposals in this area._x000D_
_x000D_
Please evaluate the strengths and _x000D_
weaknesses of the proposal with respect to any additional solicitation-specific review criteria, if _x000D_
applicable_x000D_
_x000D_
The proposed research studies an interesting topic with the potential for several applications, though it is not clear how much change this work has for being truly transformative (though future versions of the proposal might focus some time on the potential applications were the research wildly successful). The PI seems well versed in the field and the program is well thought out with many problems of varying difficulty to work on. It would be nice though if the proposal could talk a little more about what technical ideas the PI sees as being applicable to these problems._x000D_
_x000D_
Summary Statement_x000D_
_x000D_
A generally strong proposal. Considers a number of important problems in a new field, in a well organized manner. Would be good to go into slightly more technical detail and discuss a bit more what successes in this project might lead to._x000D_
_x000D_
_x000D_
</t>
  </si>
  <si>
    <t>EH0803379</t>
  </si>
  <si>
    <t>Vempala</t>
  </si>
  <si>
    <t>vempala@cc.gatech.edu</t>
  </si>
  <si>
    <t xml:space="preserve">In the context of the five review elements, please _x000D_
evaluate the strengths and weaknesses of the proposal with respect to intellectual merit._x000D_
_x000D_
This proposal seeks to address problems in distributed computation, specifically distributed monitoring, learning and approximation. The focus is on efficient algorithms with communication being the most precious resource. There is a large body of work on this topic, for many problems of broad interest, including computing moments and other functions of element frequencies, distribution k-means and k-median approximation and distributed low-rank approximation. Besides algorithms, the field has developed strong lower bounds on the communication complexity, in some cases the bounds are tight. The PI has contributed very significantly to the existing body of work on distributed computation, both upper and lower bounds. The question of which functions of element frequencies are "trackable" in the distributed setting, i.e., they can be approximated with communication polynomial in the number of servers and log of the number of distinct elements, appears to be very fundamental. The same question for the streaming model has lead to a surprising characterization._x000D_
_x000D_
In the context of the five review elements, please _x000D_
evaluate the strengths and weaknesses of the proposal with respect to broader impacts._x000D_
_x000D_
Besides raising some basic questions about distributed monitoring, the PI plans to develop practical tools for this topic, which are likely to be used by many application areas. _x000D_
_x000D_
The proposal suggest that the PI is not aware of existing work on distributed k-median and distributed PCA. These are not completely solved problems, but as the PI plans to address them it would be good to highlight novel ideas._x000D_
_x000D_
Please evaluate the strengths and _x000D_
weaknesses of the proposal with respect to any additional solicitation-specific review criteria, if _x000D_
applicable_x000D_
_x000D_
_x000D_
_x000D_
Summary Statement_x000D_
_x000D_
Distributed monitoring and learning are of wide interest and their study has lead to the development of both interesting new algorithms and communication lower bounds. The PI has contributed to many of these developments (several in collaboration with David Woodruff)._x000D_
_x000D_
</t>
  </si>
  <si>
    <t>DY0986341</t>
  </si>
  <si>
    <t>Welch</t>
  </si>
  <si>
    <t>welch@cse.tamu.edu</t>
  </si>
  <si>
    <t xml:space="preserve">In the context of the five review elements, please _x000D_
evaluate the strengths and weaknesses of the proposal with respect to intellectual merit._x000D_
_x000D_
The PI proposes to study the distributed monitoring model, in which_x000D_
numerous sites observe continuous streams of a massive amount of data_x000D_
in real time and a distinguished coordinator should compute a function_x000D_
of the data up to the present time.  The challenge is to minimize the_x000D_
amount of information that has to be communicated between the sites_x000D_
and the coordinator.  The focus will be on characterizing which_x000D_
statistical functions can be tracked efficiently; extending the_x000D_
current state of the art to handle matrices and point sets in metric_x000D_
spaces; and looking for connections to other areas such as communication _x000D_
complexity and distributed data structures._x000D_
_x000D_
The distributed monitoring model is well-motivated in practice_x000D_
(network routers, web-caching servers, etc.) yet most approaches have_x000D_
been ad hoc or incomplete.  This work can provide benefits in the "big_x000D_
data" landscape of databases, networking, data mining, and machine_x000D_
learning._x000D_
_x000D_
Specifically, the PI will consider the following problems:_x000D_
* characterization of which statistical functions are trackable and _x000D_
finding algorithms to do so_x000D_
* lower bounds on the communication complexity for distributed monitoring_x000D_
* finding good algorithms for range-counting, clustering functions, and_x000D_
low-rank approximations of matrices_x000D_
For all of the above, fairly detailed and credible explanations are _x000D_
given for how the PI will tackle the problem._x000D_
_x000D_
The PI will also consider generalizations of the model to where the_x000D_
sites and coordinator are connected in an arbitrary topology instead of_x000D_
a star, or where communication can only flow in one direction.  _x000D_
Finally, some possible connections with distributed data structures_x000D_
are discussed, but in much less detail.  This section of the proposal_x000D_
was a bit under-developed:  I don't see how on-demand monitoring and_x000D_
SDN fit under the umbrella of "distributed data structures".  Also, I_x000D_
am not convinced that the analogy with synchronizing "classic" distributed _x000D_
data structures bears that much relationship to distributed monitoring,_x000D_
exactly because of the asymmetry mentioned._x000D_
_x000D_
Although no explicit metric for success is given, success will occur if_x000D_
the desired algorithms and lower bounds can be obtained._x000D_
_x000D_
The proposed work is creative and original, frequently based on prior_x000D_
work of the PI, and will be of benefit to the discipline and more_x000D_
widely.  The plan is well-organized.  The PI is highly qualified to_x000D_
undertake this work, as he has published many papers that have already_x000D_
contributed to the area.  Institutional resources are adequate._x000D_
_x000D_
Strengths:  The problems being considered are important and timely, and_x000D_
the first steps toward solutions are credible._x000D_
_x000D_
Weaknesses: The last section of the proposal (3.5) is only loosely_x000D_
related._x000D_
_x000D_
Suggestions for Improvement:_x000D_
_x000D_
Either develop the last section more or perhaps consider dropping it._x000D_
There is a lot of work already being proposed._x000D_
_x000D_
_x000D_
_x000D_
In the context of the five review elements, please _x000D_
evaluate the strengths and weaknesses of the proposal with respect to broader impacts._x000D_
_x000D_
The PI proposes to build an open source library of communication-efficient _x000D_
algorithms for distributed monitoring.  On the educational side, he will _x000D_
develop three new courses on related topics as part of a new Data Science _x000D_
program at Indiana University.  He will work with the university's Office _x000D_
of Diversity and Education to recruit minority students into his research _x000D_
group._x000D_
_x000D_
There is no explicit discussion of how to measure success of the broader _x000D_
impacts activities._x000D_
_x000D_
The PI is well-qualified to perform the broader impacts activities and_x000D_
the institution is supporting with adequate resources._x000D_
_x000D_
Strengths:  The code library can benefit other researchers and_x000D_
practitioners as well as providing projects for students to contribute_x000D_
to the code base.  Improving educational opportunities in data_x000D_
sciences is valuable for all students, and the focus on recruiting_x000D_
minority students is laudable._x000D_
_x000D_
Weaknesses:  There is no explicit mechanism for measure the success of_x000D_
the broader impacts._x000D_
_x000D_
Suggestions for Improvement:  Add a way to measure success._x000D_
_x000D_
Please evaluate the strengths and _x000D_
weaknesses of the proposal with respect to any additional solicitation-specific review criteria, if _x000D_
applicable_x000D_
_x000D_
_x000D_
_x000D_
Summary Statement_x000D_
_x000D_
This is an excellent proposal with respect to intellectual merit and_x000D_
very good with respect to broader impacts.  The topic of distributed_x000D_
monitoring from a theoretical perspective is timely and the PI has the_x000D_
background to make significant progress in the area.  Metrics for_x000D_
evaluating success of broader impacts could be added._x000D_
_x000D_
</t>
  </si>
  <si>
    <t>In many modern data-management applications, data is distributed in different sites and is continuously evolving. However, we still want to maintain a centralized view of the global data (mathematically speaking, some function defined on the global dataset) by communicating with the sites. Examples can be found in large-scale environmental monitoring, wildlife tracking, user-mobility data analysis, network security monitoring, distributed web-caching load balancing, etc. These applications have the following common features: data is massive, distributed, and continuous, but the computational resources -- mainly, network bandwidth and power/energy -- are often very limited. These facts motivate us to design communication-efficient algorithms and pinpoint the underlying complexities for various distributed data monitoring tasks. _x000D_
_x000D_
The significance of studying the distributed data monitoring model is two-fold. On the theoretical side, it can be thought of as a combination of the well-studied data stream model and the multi-party computation models (including MapReduce and the Bulk Synchronous Parallel model), but it generalizes both. On the practical side, it abstracts the key challenges in handling real-time computation on distributed streaming data. In fact, this model was first studied in the network and database communities, although not many theoretical bounds have been established there. Despite a decade of research, almost all algorithmic solutions are designed for tracking specific functions, and the vast majority of research focuses only on statistical functions. Thus, a systematic study on distributed data monitoring is of great need._x000D_
_x000D_
The proposed research is intended to lay a solid theoretical foundation for distributed data monitoring, including (1) giving a characterization of efficiently trackable statistical functions; (2) extending the current study to functions defined on matrices and point sets in metric spaces; and (3) examining related models and exploring their connections to multi-party communication complexity and distributed data structures.This research intends to extend the recent success of massive data processing by strictly generalizing the data stream model and the multi-party computation models. The main focus shifts to minimizing the communication cost while still keeping the local computational cost and space usage reasonably small. A systematic theory on communication-efficient solutions and limitations in distributed data monitoring will bring us new techniques, perspectives, and insights to a wide range of rapidly developing areas in theoretical foundations of big data, including streaming algorithms, sketching algorithms, parallel and distributed computing, and data structures. It will also deepen our understanding of communication complexity and information theory in theoretical computer science and mathematics.The PI is going to build an algorithmic toolkit and an open-source code library for resource-efficient, large-scale monitoring that can be used in emerging real-world applications. If successful, it will have a broad impact on a wide range of practical areas including databases, networks, data mining, and machine learning. _x000D_
_x000D_
The educational plan includes the development of a trilogy of graduate/undergraduate courses on algorithms, databases, and data mining using the introduction of state-of-the-art computational models and algorithmic techniques for big data analytics as the common thread. This trilogy will well fit the new Data Science program initiated by the School of Informatics and Computing (SoIC) at Indiana University Bloomington (IUB). All course materials will be made freely available online. The educational plan also includes training undergraduate and Master's students via summer research projects and independent studies related to the proposed research, and working with the Office of Diversity and Education in SoIC/IUB to recruit students from minority and other under-represented groups to the PI's research program. The PI will disseminate research outcomes by giving talks at conferences/workshops, universities, and industrial labs.</t>
  </si>
  <si>
    <t>14</t>
  </si>
  <si>
    <t xml:space="preserve"> Panel Summary       
 SUMMARY OF PROPOSED RESEARCH ACTIVITY_x000D_
_x000D_
The proposal deals with several excellent and timely questions_x000D_
related to combinatorial optimization problems. The proposal has_x000D_
a fairly broad focus in its scope._x000D_
_x000D_
 - use of Sherali-Adams hierarcies_x000D_
 - Solving LP's quickly_x000D_
 - Unifying many LP rounding techniques_x000D_
_x000D_
_x000D_
INTELLECTUAL MERIT_x000D_
_x000D_
strengths:_x000D_
These were viewed by the panel as several _x000D_
- the problems addressed are important and useful _x000D_
- the PI is well suited to attack these problems and _x000D_
   based on the PIs past work, we are confident that_x000D_
  the PI will make progress on several of these problems._x000D_
_x000D_
_x000D_
weaknesses &amp; suggestions for improvement:_x000D_
_x000D_
Little evidence was presented for unifying the LP rounding techniques._x000D_
These methods have been widely used, and applied to many_x000D_
interesting problems and new problems are always being discovered to_x000D_
which these methods apply. It would be great to see examples of_x000D_
such unification._x000D_
_x000D_
It was not clear if the framework from [GK04] referred here would actually _x000D_
be applicable._x000D_
_x000D_
_x000D_
BROADER IMPACTS_x000D_
The PI has a strong industrial background from IBM, good mentoring_x000D_
and the work done deals with problems of interest._x000D_
_x000D_
CAREER SOLICITATION-SPECIFIC REMARKS:_x000D_
_x000D_
Letter of institutional commitment. Submitted._x000D_
_x000D_
Integration of Research and Education:_x000D_
The PI has mentored several excellent researchers and plans to develop_x000D_
some new courses in addition. The tutorials organized are note worthy._x000D_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Upon successful completion, the results will advance our knowledge of_x000D_
algorithmic analysis and can potentially transform how we attack_x000D_
several problems._x000D_
_x000D_
_x000D_
SUMMARY STATEMENT_x000D_
_x000D_
An excellent proposal on very popular problems and overall found to be_x000D_
very good, with a few minor issues._x000D_
 _x000D_
The recommendation of the panel is_x000D_
___ Highly Competitive_x000D_
_X_ Competitive_x000D_
___ Low Competitive_x000D_
___ Not Competitive_x000D_
_x000D_
_x000D_
The panelists concur that the Panel Summary accurately reflects the panel_x000D_
discussion._x000D_
_x000D_
</t>
  </si>
  <si>
    <t>YB0995214</t>
  </si>
  <si>
    <t>Bateni</t>
  </si>
  <si>
    <t>bateni@google.com</t>
  </si>
  <si>
    <t xml:space="preserve">In the context of the five review elements, please _x000D_
evaluate the strengths and weaknesses of the proposal with respect to intellectual merit._x000D_
_x000D_
strengths:_x000D_
- goals/directions are important and timely.  LP rounding is everywhere and the method of choice for many optimization problems.  of late there have been some positive results using Sherali-Adams hierarchies, though the history had mostly shed a negative light on them.  it is important, in particular, to extend our toolkit to work with global constraints (goal 1).  now that a stream of positive results is coming out of this approach, it's necessary to solve such LPs quickly (goal 3).  combining various LP rounding techniques to obtain better guarantees than any one specific idea gives sounds very interesting, and the PI has already gotten some initial promising results here (goal 2)._x000D_
- a good set of nine specific questions (not too broad, not too specific) makes it easy to start projects, specially for graduate students, who tend to work on short-term tasks._x000D_
- PI has expertise in the area and has recently produced some results in these directions._x000D_
- designing fast approximate solvers for S.A. lifts of packing/covering LPs is a novel idea that we should explore since these LPs now seem to be the method of choice for some problems and solving the LP is the bottleneck in the running time._x000D_
- combining different rounding methods to obtain better guarantees is a creative approach to improving the algorithms._x000D_
_x000D_
weaknesses:_x000D_
- more details for the timeline (say, an annual plan for addressing the questions) should have been given.  that would have helped with assessment, as well._x000D_
- industrial/practical applications could have been explained better._x000D_
_x000D_
_x000D_
In the context of the five review elements, please _x000D_
evaluate the strengths and weaknesses of the proposal with respect to broader impacts._x000D_
_x000D_
strengths:_x000D_
- education plan is decent (grad/undergrad/high school students, course design, give/host talks), and targets multiple departments._x000D_
- PI has good mentorship experience (particularly, in prior affiliation) and a multidisciplinary education (able to reach out to or speak the language of a wider audience)._x000D_
- problems are of interest to the society (say, for transportation networks or cloud computing)._x000D_
_x000D_
weaknesses:_x000D_
- could have put more emphasis on diversity and underrepresented students._x000D_
_x000D_
Please evaluate the strengths and _x000D_
weaknesses of the proposal with respect to any additional solicitation-specific review criteria, if _x000D_
applicable_x000D_
_x000D_
_x000D_
_x000D_
Summary Statement_x000D_
_x000D_
In summary, I think this is a well-written proposal with potential to advance our knowledge of LP rounding methods, with practical applications._x000D_
_x000D_
The proposal aims to explore three directions for improving_x000D_
LP-based approximation algorithms.  These include (1) use of_x000D_
Sherali-Adams hierarchy, (2) mixing different rounding_x000D_
techniques, and (3) designing fast approximate LP solvers._x000D_
_x000D_
The "mechanical" LP/SDP hierarchies (S.A., Lassere, etc.) have_x000D_
received significant attention in the past decade but we have_x000D_
mostly seen negative results.  In the past couple of years,_x000D_
some positive results have been produced, as well, and the PI_x000D_
hopes to continue this for certain problems (extending our_x000D_
techniques) and, in particular, find ways to handle "global"_x000D_
constraints.  This is very important and a fruitful direction._x000D_
_x000D_
The third goal set out in the proposal is also very important_x000D_
in the transition from theory to practice.  These hiararchies_x000D_
have mostly been of theoretical interest because of their_x000D_
prohibitive running times.  Now that they have borne some_x000D_
theoretical fruit, it's high time to think about solving such_x000D_
LPs quickly, as this is usually the bottleneck for running_x000D_
time.  The PI proposes extending fast approximate LP solvers_x000D_
that work, e.g., with packing/covering LPs to the case of_x000D_
having exponentially many constraints (through an oracle)_x000D_
which is applicable, for instance, to Sherali-Adams LPs._x000D_
_x000D_
The second direction to combine several LP rounding techniques_x000D_
to obtain better solutions is creative and has the potential_x000D_
to be transformative.  Usually such methods are not easy_x000D_
to combine, and the best we know is to try them all separately_x000D_
and report the best result.  The PI aims to look at unifying_x000D_
this general approach and has three/four specific problems in_x000D_
mind._x000D_
_x000D_
The PI is an expert in design of approximation algorithms_x000D_
and LP rounding, and has throughout his career (as a student,_x000D_
or in research labs) worked on this area successfully.  _x000D_
His recent results (in particular, for using the Sherali-Adams_x000D_
hierarchies, or combining several LP rounding techniques) shows he is at a good position to lead these directions and obtain the desired results._x000D_
_x000D_
</t>
  </si>
  <si>
    <t>HP0609978</t>
  </si>
  <si>
    <t>Khuller</t>
  </si>
  <si>
    <t>samir@cs.umd.edu</t>
  </si>
  <si>
    <t xml:space="preserve">In the context of the five review elements, please _x000D_
evaluate the strengths and weaknesses of the proposal with respect to intellectual merit._x000D_
_x000D_
This proposal addresses a variety of problems related to combinatorial optimization - problems such as Max Cut, constraint satisfaction, quadratic assignment (GraphMap),_x000D_
directed Steiner trees, optimal decision trees, TSP with time windows, Inventory Routing, etc. One of the high level goals is to employ higher order LP relaxations such as the well studied Sherali-Adams hierarchy, together with trying to develop techniques to develop faster algorithms for finding the fractional solutions before they are rounded. _x000D_
_x000D_
I especially liked the work on MAX CUT with side constraints and the recent work_x000D_
by the PI and others where they are imposing conditions on the set S (the graph is_x000D_
partitioned into S, V-S). I wonder if it is possible to get combinatorial algorithms for_x000D_
this problem._x000D_
_x000D_
The PI also plans to unify a collection of LP rounding methods that have been developed over the last three decades such as randomized rounding, independent rounding, thresholding, discrepancy rounding, and iterative rounding. I do not know how realistic this is, but its definitely something to think about. I have not seen much evidence suggesting that this is likely._x000D_
_x000D_
The GraphMap framework presented is very powerful and captures a variety of_x000D_
different problems using node congestion very nicely and I strongly encourage the_x000D_
building and development of such general frameworks._x000D_
_x000D_
_x000D_
The only minor complaint I had is that several papers are cited in the text but those references are missing in the bibliography for example [CEK09] [ACEW16]._x000D_
_x000D_
In the context of the five review elements, please _x000D_
evaluate the strengths and weaknesses of the proposal with respect to broader impacts._x000D_
_x000D_
The PI has been working with graduate students but there was no strong evidence of mentoring undergraduates or High School engagement. The industrial connections are_x000D_
great and while the problems are well motivated especially problems like TSP with time windows, I suspect the developed algorithms will have limited practical utility._x000D_
_x000D_
_x000D_
_x000D_
Please evaluate the strengths and _x000D_
weaknesses of the proposal with respect to any additional solicitation-specific review criteria, if _x000D_
applicable_x000D_
_x000D_
_x000D_
_x000D_
Summary Statement_x000D_
_x000D_
Overall a solid proposal, well worth supporting. The PI has done excellent work in the_x000D_
last 5 years in the area of approximation algorithms and shown significant leadership skills by giving tutorials etc as well._x000D_
_x000D_
</t>
  </si>
  <si>
    <t>PG0868284</t>
  </si>
  <si>
    <t>Kleinberg</t>
  </si>
  <si>
    <t>rdk@cs.cornell.edu</t>
  </si>
  <si>
    <t xml:space="preserve">In the context of the five review elements, please _x000D_
evaluate the strengths and weaknesses of the proposal with respect to intellectual merit._x000D_
_x000D_
The proposal focuses on enhancing our understanding of the theory of LP-based approximation algorithms. The three main topics are algorithms based on Sherali-Adams hierarchies, design and analysis of rounding schemes, and faster approximation algorithms for solving certain types of linear programs._x000D_
_x000D_
Potential to advance knowledge: _x000D_
_x000D_
1. Sherali-Adams hierarchies are a general-purpose method for strengthening linear programming relaxations of combinatorial optimization problems, while preserving computational tractability. While there are many theorems attesting to the limitations or Sherali-Adams hierarchies in addressing core approximation problems, e.g. unconstrained MAX-CSP problems, there have also been some successes, e.g. some of the problems detailed in the proposal. The PI intends to explore the potential to obtain improved approximation algorithms for graph-constrained MAX-CSP, graph mapping with node-congestion, directed Steiner tree, and optimal decision tree, using Sherali-Adams relaxations. Some of these goals are thematically related. For example, in the cases of graph mapping and directed Steiner tree, the main obstacle that needs to be overcome is obtaining polynomial "oracle access" to the solution of the quasi-polynomial-sized LP defined by the O(log n) level of the Sherali-Adams hierarchy. _x000D_
_x000D_
2. Many types of randomized rounding algorithms exist in the literature on LP-based approximation algorithms. The proposed research aims to overcome the limitations of existing rounding schemes by developing "unified rounding algorithms" that simultaneously achieve the benefits of two or more known rounding algorithms. If successful, these unified rounding algorithms will be applied to obtain improved approximation guarantees for a number of problems. However, I felt that the goals of this section of the proposal came across as ill-defined. What does it mean for a rounding scheme to be "unified"? In the description of the research goals, it appeared that "unified" was being used as a synonym for "better than existing algorithms". To assess the potential of this research to advance knowledge, I feel I would need a sharper definition of the type of "unification" that the research seeks to achieve._x000D_
_x000D_
3. Faster algorithms for solving Sherali-Adams relaxations of packing/covering problems and for solving mixed packing/covering LPs given a separation oracle. The research plans for this section are not very well fleshed out._x000D_
_x000D_
Creativity/originality/transformativeness: _x000D_
_x000D_
The proposed research requires considerable creativity and originality. The project description does not give me reason to believe that the research will produce outcomes that could be described as transformative. _x000D_
_x000D_
Plan for carrying out the activities:_x000D_
_x000D_
The plan is quite soundly described in Sections 2 and 3 (on Sherali-Adams and rounding algorithms). In Section 4 on fast algorithms for solving certain types of linear programs, the plan for carrying out the activities is not really indicated._x000D_
_x000D_
Qualifications of the PI: _x000D_
_x000D_
The PI is excellently qualified for this type of research. He has published numerous papers on approximation algorithms in the top venues for this type of research (STOC, FOCS, and SODA) including some of the most significant contributions to date on several of the problems that the proposal centers on._x000D_
_x000D_
Resources available to the PI: 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project description cites the following among broader impacts._x000D_
_x000D_
* Industry collaborations, e.g. with Bloomberg, IBM, and Microsoft._x000D_
_x000D_
* Advising students at all levels, including reaching out specifically to students from underrepresented groups_x000D_
_x000D_
* Participating in the University of Michigan's Summer Engineering Exploration camp for high school students. _x000D_
_x000D_
* Making course notes available online for a new graduate course on approximation algorithms highlighting many of the themes of the proposal._x000D_
_x000D_
_x000D_
Please evaluate the strengths and _x000D_
weaknesses of the proposal with respect to any additional solicitation-specific review criteria, if _x000D_
applicable_x000D_
_x000D_
_x000D_
_x000D_
Summary Statement_x000D_
_x000D_
I feel that the proposal focuses on valuable problems, and that progress on these problems can be expected to lead to high-quality publications at the level of the PI's past research. Overall, the research plan struck me as a little less ambitious than what I would ideally like to see in an NSF CAREER proposal. Sections 3 and 4 suffered from a lack of specificity that has been noted under "Intellectual Merits"._x000D_
_x000D_
_x000D_
</t>
  </si>
  <si>
    <t xml:space="preserve">In the context of the five review elements, please _x000D_
evaluate the strengths and weaknesses of the proposal with respect to intellectual merit._x000D_
_x000D_
The focus of this proposal are LP-based approaches to approximation algorithm design, with a particular emphasis on the Sherali-Adams LP hierarchy, a popular framework for generating progressively stronger LP relaxations. _x000D_
_x000D_
The PI is an expert in approximation algorithms and he aims to pursue three directions: (a) applying Sherali-Adams LP relaxation to tackle a number of specific problems in approximation algorithms; (b) unifying and improving the major existing LP rounding techniques; (c) developing fast approximation schemes for solving Sherali-Adams and related LP relaxations._x000D_
_x000D_
These are important directions. In contrast to Lasserre SDP hierarchies, which received a lot of attention recently, Sherali-Adams framework is a bit less studied. Still, remedying that trend and trying to understand better the power and limitations of the latter framework is a very worthwhile goal. (Note that Lasserre hierarchies are, in general, stronger than Sherali-Adams but the ability to deal with and analyze LPs instead of SDPs is very desirable sometimes.) _x000D_
_x000D_
Also, even though most of our LP-rounding techniques is quite mature and well-developed by now, understanding their connection to the recently developed discrepancy-based rounding would be very interesting and could potentially lead to breakthrough results.  _x000D_
_x000D_
The specific goals outlined for each of these directions are, however, a bit of a mixed bag. Some of these goals, such as tackling the Beck-Fiala conjecture or obtaining a polylogarithmic approximation algorithm for the directed Steiner tree problem are ambitious - progress on them would be a major development. _x000D_
_x000D_
Some of the other goals though seem to be a bit less clearly motivated. Each one of them stems from the previous work of the PI, generalizes some very fundamental and well-studied problem, such as Max CSP, or TSP, and aims to capture some practical scenario. But these generalizations feel slightly contrived and convoluted. Consequently, even if a new combination of the existing LP rounding techniques will indeed lead to progress on these problems, it is still unclear if that will directly affect the key open problems in the field. _x000D_
_x000D_
Some of the specific goal seem to not be completely thought out too. For instance, the PI is planning to attack direction (c) by leveraging the existing work on Lagrange relaxation based fast approximation scheme for fairly general variants of the packing/covering LPs. In particular, he cites "linear-time" algorithms developed in [GK'04] for handling packing/covering LPS with negative entries. He views this work as promising in context of tackling Sherali-Adams LP formulations, as the latter have at most one negative coefficient per constraint. Unfortunately, this is somewhat misleading. First of all, the algorithm in [GK'04] is *not* linear-time - it just makes at most (close to) linear number of calls to an oracle that returns the most violated constraint for a given solution. Secondly, in Sherali-Adams LPs, the constraints with at most one negative entry are equality constraints. It is not hard to see though that such equality constraints enable one to convert *any* LP to an LP that has at most one negative entry per constraint. (One just need to group all the negatively occurring variables in each constraint and assign a separate new variable for each such group.) It is thus unclear if the approach from [GK'04] would be all that helpful here._x000D_
_x000D_
In the context of the five review elements, please _x000D_
evaluate the strengths and weaknesses of the proposal with respect to broader impacts._x000D_
_x000D_
The problems and techniques described in this proposal could have significant impact on a number of applications domains, especially, in telecommunication, supply-chain management, and robotics. In particular, the proposed development of fast approximation schemes for the Sherali-Adams LP hierarchies would be a significant step towards bringing these hierarchies closer to practice._x000D_
_x000D_
The PI intends to forge collaborations with the industry to implement the new ideas that emerge during the course of the project. He will be building here on his experience working in a research lab that has a long tradition of performing this kind of technology transfer. _x000D_
_x000D_
Finally, the PI also outlined a compelling outreach and educational program that focuses on exposing high school and undergraduate students to basic notions and hands-on experience in optimization._x000D_
_x000D_
Please evaluate the strengths and _x000D_
weaknesses of the proposal with respect to any additional solicitation-specific review criteria, if _x000D_
applicable_x000D_
_x000D_
_x000D_
_x000D_
Summary Statement_x000D_
_x000D_
In summary, this is an interesting proposal that addresses important challenges in approximation algorithms, and discrete mathematics. Some of the more specific aspects of the outlined plan, however, seem a bit less clearly motivated and thought out._x000D_
_x000D_
</t>
  </si>
  <si>
    <t>Numerous applications in areas such as logistics, telecommunication, robotics, machine learning  and health- care are routinely modeled and solved as combinatorial optimization problems. In today's digital age, data collection and storage is inexpensive. The bottleneck lies in our ability to solve increasingly larger problem instances, which is a fundamental difficulty because most of these optimization problems are NP-hard. Approximation algorithms offer a way around this intractability: these are efficient (polynomial time) algorithms that compute provably near-optimal solutions. Despite the wide range of possible problems, one of the most common and powerful algorithmic approaches is linear programming and rounding. This proposal will develop  new techniques for LP-based approximation algorithms by investigating:_x000D_
1. Use of the Sherali-Adams LP hierarchy to overcome large integrality gaps of basic LP relaxations. 2. Unified LP rounding methods that achieve stronger performance than the single  best method. 3. Fast approximation schemes for structured LPs that enable faster LP-based algorithms. _x000D_
This proposal involves building theory (designing general algorithmic techniques and identifying  problem classes to which these apply) as well as solving specific open problems (obtaining tight  approximation ratios for important problems such as directed Steiner tree and constrained versions of TSP and MAX-CSP). _x000D_
Keywords: approximation algorithms, linear programming, optimization, rounding, network design.This proposal will develop new techniques in linear programming and rounding, which play a central role in combinatorial optimization. If successful, this would resolve important open questions in approximation algorithms and also expand the applicability of these techniques to  areas such as combinatorics, machine learning and operations research. Our approach will establish and strengthen connections of theoretical computer science to various fields of mathematics such as discrepancy theory, geometry, graph theory, integer programming, linear  algebra and probability.The specific problems studied here are directly relevant to applications in cloud computing,  active learning, telecommunication, robotics and supply-chain management. For these applications, the PI will collaborate with several industry colleagues to disseminate the research  and assess its practical impact. The educational aspect of this proposal involves the training of  undergraduate, masters and Ph.D. students, to produce the next generation of researchers and practitioners in algorithms. The PI will design a new class on approximation algorithms which will incorporate results from the research output of this proposal.</t>
  </si>
  <si>
    <t xml:space="preserve"> Panel Summary       
 SUMMARY OF PROPOSED RESEARCH ACTIVITY_x000D_
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today._x000D_
_x000D_
_x000D_
INTELLECTUAL MERIT_x000D_
_x000D_
+ The proposal presents a large variety of problems to be investigated.  The problems are all related to shortest paths, in one way or another._x000D_
_x000D_
+ The PI is well-qualified to perform this research.  He is the current leader in the area of 2-D shortest path algorithms, with lots of relevant publications._x000D_
_x000D_
+ The proposal provides highly detailed sketches of how the problems will be attacked.  There are a couple of very nice ideas that are used multiple times, including the "extended corridor structure" and analysis of cells of the VP-equivalence decomposition.  It seems clear that the PI is on a research path that will lead to solutions for many of the proposed problems._x000D_
_x000D_
- A couple of the detailed sketches have flaws that weaken the proposal.  The plan of attack, as stated, will not work in these cases.  (See the individual reviews for details.)  Paradoxically, a less detailed proposal would have appeared stronger, because the flaws would not be so evident.  It is not that full details are to be avoided; rather, if full details are given, they should be prepared with care. _x000D_
_x000D_
- In fact, some panelists thought that the detailed sketches were almost full solutions, and thought that the proposal should be more ambitious in proposing problems that are not so nearly solved._x000D_
_x000D_
- Some panelists thought that perhaps approximation algorithms would be more practical than the high-complexity exact algorithms studied in this proposal, e.g., problems for which the proposed research would improve the running time from O(n^{11}) to O(n^6).  Other panelists thought the proposal just needed to clarify why it is interesting and important to solve the problem exactly._x000D_
_x000D_
- The proposal would be better if it spent more focus introducing the problems and explaining why they are important.  Why are the variants chosen for solution important; in what way would their solution be transformative in computational geometry?_x000D_
_x000D_
- Some panelists wondered whether the proposed research was too "consolidative," rather than transformative._x000D_
_x000D_
_x000D_
BROADER IMPACTS_x000D_
_x000D_
+ The PI reaches students in rural Utah through the university's RCDE program._x000D_
_x000D_
+ Research and teaching are well integrated._x000D_
_x000D_
+ The PI reaches out to high school students through USU's "Engineering State" summer program._x000D_
_x000D_
+ The PI plans to seek broader impact by presenting seminars at and collaborating with Space Dynamics Laboratory at USU._x000D_
_x000D_
+ The problems that the PI works on are easy to pose and visually appealing, which makes it easier to engage the interest and enthusiasm of students and the public.  The PI plans to prepare a monthly poster for the department bulletin board on computational geometry topics, presented to engage general interest._x000D_
_x000D_
_x000D_
CAREER SOLICITATION-SPECIFIC REMARKS:_x000D_
_x000D_
Letter of institutional commitment._x000D_
_x000D_
Present._x000D_
_x000D_
_x000D_
Integration of research and education:_x000D_
_x000D_
The PI has a well thought-out plan for integrating research and education.  Indeed, his integration of research and teaching has already borne fruit: his classroom presentations of his own research have helped recruit new graduate students._x000D_
_x000D_
_x000D_
ADDITIONAL REMARKS_x000D_
_x000D_
Research plan:_x000D_
_x000D_
As noted above, the detailed sketches of research approaches suggest strongly that most, if not all, of the planned research will bear fruit._x000D_
_x000D_
_x000D_
Collaboration plan:_x000D_
_x000D_
The PI does not report any current collaborations, but proposes to pursue collaboration with Space Dynamics Laboratory._x000D_
_x000D_
_x000D_
Data Management Plan:_x000D_
_x000D_
Adequate._x000D_
_x000D_
_x000D_
Results of prior support:_x000D_
_x000D_
The PI obtained good results on L1 (Manhattan distance) versions of some of the problems he proposes to attack for L2 (Euclidean distance) shortest paths.  He partially supported three graduate students under his previous grant._x000D_
_x000D_
Some members of the panel felt that the relationship between the proposed work and the work under the previous grant needed to be spelled out a little more clearly._x000D_
_x000D_
_x000D_
SUMMARY STATEMENT_x000D_
_x000D_
The proposed research will improve the state of the art for a large number of classic shortest path problems set in 2-D polygonal domains.  The PI seems well equipped to succeed.  For some of the proposed research questions that have a high asymptotic complexity in their exact solution, the PI could elaborate further the transformative effects of the proposed solution, and possibly consider alternative approaches such as approximation algorithms._x000D_
_x000D_
The recommendation of the panel is _x000D_
___ Highly Competitive _x000D_
_X_ Competitive _x000D_
___ Low Competitive _x000D_
___ Not Competitive. _x000D_
The panelists concur that the Panel Summary accurately reflects the panel discussion._x000D_
 _x000D_
</t>
  </si>
  <si>
    <t>POCmnt</t>
  </si>
  <si>
    <t>jsnoeyin</t>
  </si>
  <si>
    <t>Haitao,_x000D_
_x000D_
I'm sorry that we are unable to make a CAREER award this year.  Let me share the brief comments from my review analysis (an internal NSF document) for additional feedback._x000D_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</si>
  <si>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ejupd</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</si>
  <si>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19 2016 11:46AM   _x000D_
Req 60 mo; Start: 09/01/17_x000D_
_x000D_
CAREER: Algorithms for Shortest Paths and Related Problems in Computational Geometry_x000D_
1651569  Wang, Haitao: Utah State University: $484,868_x000D_
_x000D_
P170288    AF CAREER Panel: Competitive, _x000D_
         rank 13 of 29 rated projects: 3 HC, 14 C, 11 LC, 1 NC_x000D_
Reviews: E/V,E/V,V,V_x000D_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summary says,_x000D_
The PI proposes to solve variations on classical computational geometry problems related to shortest paths in the plane. The list of problems includes two-point shortest path queries, visibility, minimum link paths, diameters, and geometric centers. Most of these problems were solved optimally near optimally for simple polygons many years ago, but the solutions for polygonal domains, i.e., simple polygons with h simple-polygonal holes, are much less attractive. The PI proposes to improve those solutions, in some cases by large polynomial factors, by exploiting interesting structures revealed by clever analysis of these polygonal domains. The problems are appealing, even if a bit unfashionable today. _x000D_
_x000D_
_x000D_
Intellectual Merit:  _x000D_
The PI is strong, and has achieved recent progress on some longstanding questions.  He has a very specific and detailed plans of problems to attack, which is a plus and a minus for a CAREER proposal -- minus because it details a mopping up operation that does not generate excitement outside the computational geometry community. _x000D_
_x000D_
Broader Impact:  The PI has an excellent history of outreach to high school and rural students, and details plans to continue. _x000D_
_x000D_
Integration of Research and Education: _x000D_
The PI details a well thought-out plan for integrating research and education. _x000D_
_x000D_
Reviews:  Reviews are uniformly strong (2 E/V, 2 V) but identify some weaknesses for a career proposals that would not be present if this were submitted as a core small proposal: the PI has put forth a detailed plan that was seen as primarily consolidating, rather than having a broader vision.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</si>
  <si>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WH0793721</t>
  </si>
  <si>
    <t>Dey</t>
  </si>
  <si>
    <t>tamaldey@cse.ohio-state.edu</t>
  </si>
  <si>
    <t xml:space="preserve">In the context of the five review elements, please _x000D_
evaluate the strengths and weaknesses of the proposal with respect to intellectual merit._x000D_
_x000D_
This proposal addresses some of the old classic problems in computational geometry such as computing the shortest geodesic path, geodesic center, minimum link path, and visibility polygon. At early stage of computational geometry, these problems drew a considerable attention and were solved satisfactorily, mostly with optimal complexity. However, most of these results are applicable to simple polygons without holes. It turns out that the problems become much more difficult if this assumption is removed. The complexity landscape is far from clear for this general setting where the input polygon is assumed to have holes. Very few results exist for these cases and often the complexities are very high (for example shortest path length query can be answered in O(log n)$ time with $O(n)$ storage whereas the same problem takes $O(n^11)$ storage with the existing solution). The PI proposes to study these problems in depth to bring down the upper bounds with new structural observations and techniques. _x000D_
_x000D_
The PI identifies some problems whose current solutions for general polygonal domains seem to be far from optimal. He delineates clearly the problems, their current solutions, and approaches that can potentially bring down the complexities considerably. In some cases, these improvements seem to be the result of some simple but overlooked observations. In others, they result from some general structural results such as 'extended corridors' that the PI has already taken advantage of in solving some other problems. The proposal as a whole is well written in a focused manner. The PI knows what he wants to solve and has the necessary expertise to solve them. He is one of the current leading experts in addressing problems connected to polygons in 2D. The only criticism that I can make is that the proposed approaches in some cases seem to have already solved the problems. I hope that in those cases, the PI would explore further to settle the optimality issues. A closure for these basic 2D problems would be a good achievement for the field of computational geometry._x000D_
_x000D_
In the context of the five review elements, please _x000D_
evaluate the strengths and weaknesses of the proposal with respect to broader impacts._x000D_
_x000D_
This project, if successfully executed, will develop efficient algorithms for some of the classic problems in computational geometry extended to broader input domains. This will generate new line of research in the field and may impact some applications where basic problems such as computing shortest paths among obstacles in 2D arises. The PI plans to integrate his research into teaching by incorporating new findings in the course materials, maintaining a departmental weekly poster, and training students. The PI plans to take advantage of the remote online teaching facility, RCDE system, available through his institution to reach out to distant student population._x000D_
_x000D_
The PI has been training two graduate (Phd) students with his earlier project. These students will be funded further from this project and he also plans to recruit more. He has already engaged into the outreach activity of engaging and exposing high school students to computer science research which he plans to continue. Also, his plan to interact with the researchers at the Space Dynamic Laboratories is a goal worth pursuing. It may very well generate new scope to widen his research agenda._x000D_
_x000D_
Please evaluate the strengths and _x000D_
weaknesses of the proposal with respect to any additional solicitation-specific review criteria, if _x000D_
applicable_x000D_
_x000D_
_x000D_
_x000D_
Summary Statement_x000D_
_x000D_
This is a well written, minutely thought-out proposal that aspires to broaden the scope of the some of the classic problems in computational geometry. The PI is well positioned to conduct the research and its integration with education. I support its funding without hesitation._x000D_
_x000D_
</t>
  </si>
  <si>
    <t>SY0893004</t>
  </si>
  <si>
    <t>Hershberger</t>
  </si>
  <si>
    <t>john_hershberger@mentor.com</t>
  </si>
  <si>
    <t xml:space="preserve">In the context of the five review elements, please _x000D_
evaluate the strengths and weaknesses of the proposal with respect to intellectual merit._x000D_
_x000D_
The PI proposes to advance the state of the art in a number of classic_x000D_
computational geometry problems set in 2-D polygonal domains--shortest_x000D_
paths, visibility, minimum link paths, diameters, and geometric_x000D_
centers.  The problems are appealing, even if a bit unfashionable_x000D_
today.  The proposal sketches strategies to tackle some problems in_x000D_
significant detail, including several very nice ideas.  For example,_x000D_
the PI has used the "extended corridor structure" in his previous_x000D_
work, and the proposal suggests that it can be used to improve running_x000D_
times for multiple additional problems, essentially reducing problems_x000D_
on a polygonal domain with h holes to related problems on a domain_x000D_
with h *convex* holes.  The number of holes may enter the running time_x000D_
with superlinear complexity, but the number of vertices (n) enters_x000D_
only (near-) linearly._x000D_
_x000D_
Unfortunately, the detailed presentation backfires in several places,_x000D_
where the suggested insights miss important cases, without which the_x000D_
approach fails.  Examples: on pages 4 and 7 (dealing with two-point_x000D_
Euclidean shortest path queries and geodesic diameter) the initial_x000D_
segments of paths (\bar{su}, \bar{su'}) and/or final segments may_x000D_
cross, and this possibility must be considered (it is not enough to_x000D_
rule out the crossing of the internal edges of the paths); on page 9_x000D_
(dealing with Voronoi diagrams of polygonal domains), a gate to a_x000D_
single, high-complexity bay or canal may have many attachment points,_x000D_
which invalidates the claimed bound.  The PI is smart and capable,_x000D_
with a track record of accomplishment, so I anticipate he would_x000D_
discover and resolve these issues, but the flaws weaken the proposal._x000D_
_x000D_
_x000D_
In the context of the five review elements, please _x000D_
evaluate the strengths and weaknesses of the proposal with respect to broader impacts._x000D_
_x000D_
The PI does a good job of integrating teaching and research.  He works_x000D_
on appealing, visually-motivated problems, which encourage student_x000D_
involvement.  He also reaches out to high school students at a_x000D_
university summer program._x000D_
_x000D_
_x000D_
Please evaluate the strengths and _x000D_
weaknesses of the proposal with respect to any additional solicitation-specific review criteria, if _x000D_
applicable_x000D_
_x000D_
_x000D_
_x000D_
Summary Statement_x000D_
_x000D_
Flaws in the sketches of problem solutions weaken the proposal._x000D_
_x000D_
_x000D_
</t>
  </si>
  <si>
    <t xml:space="preserve">In the context of the five review elements, please _x000D_
evaluate the strengths and weaknesses of the proposal with respect to intellectual merit._x000D_
_x000D_
This proposal is primarily focused on the design of algorithms for geometric problems - while problems such as shortest paths inside simple polygons have been widely studied, this proposal addresses the next step  - namely problems in polygonal domains (or polygons with holes). The proposal is concerned with both issues of solving single instances of such problems as well as building data structures for doing shortest path queries. Along with "regular" shortest paths, this proposal is concerned with shortest path using the L1 metric (Manhattan metric), minimum link rectilinear paths, as well as visibility polygons. _x000D_
_x000D_
I do think that this is a very good proposal, worthy of support and these results would lead to improved bounds, especially for building data structures for answering queries - such as shortest path queries. Are these techniques - transformative? I am not convinced of that - the PI is building on prior very good work along these lines. However, I don't view the new proposal as transformative - its a solid proposal building on solid prior work._x000D_
_x000D_
The work might benefit by considering approximation queries - what if we did not _x000D_
want the exact optimal solution? I suspect we can get much more practical bounds _x000D_
then._x000D_
_x000D_
The PI seems to be qualified and has published a number of papers in the last 5 years in the top venues of his field (Computational Geometry)._x000D_
_x000D_
_x000D_
_x000D_
In the context of the five review elements, please _x000D_
evaluate the strengths and weaknesses of the proposal with respect to broader impacts._x000D_
_x000D_
I think this is where the proposal falls short - I don't believe the bounds derived for the data structures are at this stage practical enough to be used (high polynomial). I also think that while the problems are intellectually interesting, the impact is going to be somewhat limited. _x000D_
_x000D_
I was glad to see the PIs participation in the RCDE program. The PI has worked with two PHD students as well (one female).  However, I did not see any evidence of undergraduate advising or work with any high schools._x000D_
_x000D_
_x000D_
Please evaluate the strengths and _x000D_
weaknesses of the proposal with respect to any additional solicitation-specific review criteria, if _x000D_
applicable_x000D_
_x000D_
The PI has done very good work in the past with several papers in the last five years in SODA, SoCG, ESA, ICALP etc._x000D_
_x000D_
_x000D_
Summary Statement_x000D_
_x000D_
Overall a very good proposal._x000D_
_x000D_
</t>
  </si>
  <si>
    <t>KQ0994796</t>
  </si>
  <si>
    <t>Phillips</t>
  </si>
  <si>
    <t>beiwang@sci.utah.edu</t>
  </si>
  <si>
    <t xml:space="preserve">In the context of the five review elements, please _x000D_
evaluate the strengths and weaknesses of the proposal with respect to intellectual merit._x000D_
_x000D_
The PI proposes to develop efficient algorithms for solving shortest paths and related problems in computational geometry, including 2-point Euclidean shortest path queries, Euclidean geodesic diameter, extended corridor structure, etc. His proposed research goes beyond simple polygon assumptions to handle polygons with non-trivial/complex topology. _x000D_
_x000D_
Strengths:_x000D_
_x000D_
++ The proposal focuses on an extensive list of problems to help understand the geometric structures of shortest paths and their variants. Some of proposed techniques target long-time open problems in the field of computational geometry. _x000D_
_x000D_
++ The PI is very brave in tackling long-standing, classic research problems in computational geometry; if successful, his research could fill a gap in understanding shortest paths' problems in polygon with complex topology. _x000D_
_x000D_
++ The PI is in a unique position given his expertise to carry out the proposed research. He is one of the leaders in solving shortest paths related problems. _x000D_
_x000D_
++ The PI clearly has a clear plan towards solving his proposed topics; and he is close in solving several of the proposed problems,  he could target optimal solutions once he obtains some initial bounds, further pushing the research boundary. _x000D_
_x000D_
++ The PI makes smart geometric observations (e.g. extended corridor structure) and careful analysis to advance his chosen research topics. _x000D_
_x000D_
Weaknesses:_x000D_
_x000D_
-- The second contribution: novel algorithmic development to solve fundamental problems for computational geometry is quite a vague statement. The author should consider include a discussion of why the listed problems are considered fundamental, and most importantly, why it is the case that solving these problems can have transformative effect on the field of computational geometry. _x000D_
_x000D_
-- The proposed research aims to bring interesting connections/applications to areas such as combinatorial optimization and operational research; it would be nice to further elaborate such connections in the research discussed. _x000D_
_x000D_
-- Many proposed research topics include elaborate technical discussions within the solution space; perhaps the PI could consider giving a high level summary before diving into the technical details._x000D_
_x000D_
In the context of the five review elements, please _x000D_
evaluate the strengths and weaknesses of the proposal with respect to broader impacts._x000D_
_x000D_
++ The PI has concrete plan in curriculum development and a track records of mentoring two graduate students. _x000D_
_x000D_
++ It is great that the PI plans to provide classes to students in remote and rural areas through the Utah State University RCDE system. _x000D_
_x000D_
_x000D_
Please evaluate the strengths and _x000D_
weaknesses of the proposal with respect to any additional solicitation-specific review criteria, if _x000D_
applicable_x000D_
_x000D_
-- The PI should describe the relation between the prior support with his current proposal._x000D_
_x000D_
Summary Statement_x000D_
_x000D_
The proposal is very solid. Some of the proposed techniques may address long-time open problems in the field of computational geometry. The proposal contains a list of research questions surrounding shortest paths and their variants; however it would be nice if the PI could elaborate further the transformative effects of solving some of the proposed  variants._x000D_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</si>
  <si>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geometric problems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robotic motion planning, VLSI design, etc. The proposed problems include several classical problems in computational geometry such as shortest paths and queries, geodesic center and diameter, Voronoi diagrams, minimum-link paths and queries, etc. Based on new insights and observations, this project proposes novel ideas and algorithmic techniques that are expected to give significantly better solutions for these problems than previously attained. Some of the proposed algorithms may answer questions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polygons_x000D_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 The PI has considerable research experience on the topics and is well-qualified to conduct the project.This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developing efficient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the teaching. All research results produced in the project will be disseminated to the public.</t>
  </si>
  <si>
    <t xml:space="preserve"> Panel Summary       
 SUMMARY OF PROPOSED RESEARCH ACTIVITY_x000D_
_x000D_
The proposal identifies a set of problems concerning optimization of submodular functions and some of its applications in machine learning and computer vision in three research directions: (i) minimizing submodular functions, focusing on a subclass referred to as "decomposable submodular functions, (ii)_x000D_
metric labeling and submodular labeling with applications into computer vision, and (iii) constrained submodular function maximization._x000D_
_x000D_
_x000D_
INTELLECTUAL MERIT_x000D_
_x000D_
The proposal has a broad, ambitious agenda and the PI has made signficant contributions in all three of the main thrust areas of the proposal, and hence there is a reasonable expectation that significant further progress can be made in the future. _x000D_
The proposed research is appealing, timely, and has the potential for theoretical and practical impact. Highly efficient algorithms for structured classes of submodular functions could even be transformative. _x000D_
_x000D_
The PI is excellently qualified for the proposed work; in addition to top theory conferences, she has recently started publishing in the top conference of one of the main application areas._x000D_
_x000D_
More details on preliminary approches towards solving some of the problems could improve the proposal._x000D_
_x000D_
_x000D_
BROADER IMPACTS_x000D_
_x000D_
The PI intends to bridge between theory and applied areas of computer science, as well as discrete mathematics. She expects her work to have industrial impact. She plans on writing a survey on submodular optimization._x000D_
_x000D_
The PI will continue mentoring students, be involved in curriculum development. She runs the Algorithms Reading Group at her institution._x000D_
_x000D_
Given the subject, the impact of the proposal could be strengthened by the inclusion of a letter of support or other indication of intent to collaborate with practitioners or researchers in some of the application areas targeted by the work._x000D_
_x000D_
CAREER SOLICITATION-SPECIFIC REMARKS:_x000D_
_x000D_
Letter of institutional commitment: Included_x000D_
_x000D_
Integration of research and education: The curriculum development efforts will work towards this purpose. The PI plans to involve undergraduates in research, and she has already started collaborating with other faculty at BU with the goal of running a Research Experience for Undergraduates program._x000D_
_x000D_
ADDITIONAL REMARKS_x000D_
_x000D_
Research Plan: Reasonable._x000D_
_x000D_
Data Management Plan: Adequate._x000D_
_x000D_
Results of prior support: No prior NSF support._x000D_
_x000D_
SUMMARY STATEMENT_x000D_
A strong proposal by a well qualified researcher outlining an ambitious and timely research program with impact both on fundamental theoretical topics in optimization and on applications in machine learning, computer vision, data mining, and other areas of CS. _x000D_
_x000D_
The recommendation of the panel is_x000D_
_x000D_
___ Highly Competitive_x000D_
_X_ Competitive_x000D_
___ Low Competitive_x000D_
___ Not Competitive._x000D_
_x000D_
The panelists concur that the Panel Summary accurately reflects the panel discussion._x000D_
 _x000D_
 _x000D_
_x000D_
_x000D_
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</si>
  <si>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New Algorithms for Submodular Optimization_x000D_
_x000D_
Proposal Number: 1651631_x000D_
PI: Ene, Alina   _x000D_
Institution: Boston University_x000D_
Recommendation: Decline_x000D_
_x000D_
Ranking in Panel and Panel Procedures:_x000D_
_x000D_
Panel Number: P170288_x000D_
Reviewers Ratings: E/V, E/V, V, V      _x000D_
Panel Recommendation: Competitive_x000D_
This project was ranked 7th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optimization of submodular functions and applications in areas such as machine learning and computer vision. These include minimizing structured classes of submodular functions expressed as sums of simpler constituents that are easy to optimize, such as graph and hypergraph cut functions; submodular optimization problems inspired by probabilistic inference tasks in machine learning and computer vision; and constrained submodular function maximization algorithms. The panel praised the PI's accomplishments past in these areas and appreciated the directions for future work._x000D_
_x000D_
Broader Impacts:_x000D_
_x000D_
The panel agreed that these problem are of practical import and noted that the researchers in the application areas given by the PI indeed do make use of algorithms for these problems.  The panel also noted the PI's commitment to broad participation by a diverse group, but considered the educational aspects of the proposal to be rather standard._x000D_
_x000D_
_x000D_
PI Qualifications:_x000D_
_x000D_
The PI has a strong track record in the areas of the proposal and is considered by the panel to be highly qualified to conduct the proposed research._x000D_
_x000D_
Response to E/V ratings:_x000D_
_x000D_
The review package it not without its criticisms, including a lack of detailed preliminary work and a lack of a detailed plan of attack for some of the research directions proposed.  Although the reviewers saw significant merit in the proposal, other proposals were considered of higher quality overall and were given higher priority for funding._x000D_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December 12, 2016</t>
  </si>
  <si>
    <t xml:space="preserve">In the context of the five review elements, please _x000D_
evaluate the strengths and weaknesses of the proposal with respect to intellectual merit._x000D_
_x000D_
strengths:_x000D_
- submodular functions are becoming increasingly important and have found more and more applications in several areas of computer science.  to extend our understanding of submodular optimization, and in particular, find fast algorithms for such problems, is very important and timely since the applications are increasingly concerned with large datasets._x000D_
- as the PI says, there are a lot of experts in the Boston area who work on submodularity and PI is collaborating with them.  there are others at her own university, whose research area coincides with applications of submodularity._x000D_
- a great set of 15 questions to study (and with some additional smaller questions and leads) gives a clear view of what is going to happen._x000D_
- the PI is an expert in the area of submodular optimization and published multiple papers in the past five years in this field at the best venues._x000D_
_x000D_
weaknesses:_x000D_
- with more details of the timeline of the project, it would be easier to assess the progress._x000D_
_x000D_
In the context of the five review elements, please _x000D_
evaluate the strengths and weaknesses of the proposal with respect to broader impacts._x000D_
_x000D_
strengths:_x000D_
- multidisciplinary work/applications (machine learning, optimization, internet industry, computer vision, data mining) which will get a broader audience involved and make them benefit form the results._x000D_
- PI is active in several initiatives to get women involved in TCS.  she is determined, as her past mentorship experience demonstrates, to mentor a diverse group of graduate/undergrad students._x000D_
- good lecture notes on submodularity will be quite useful.  the optimization course the PI is planning to design will contain material, rarely taught in advanced algorithms courses, but that have found more applications of late (convex optimization methods, algebraic optimization methods, etc.)._x000D_
- in her optimization course, the PI is targeting students in various fields (machine learning, computer vision, etc.) who can benefit from the new techniques, and is counting the number of non-theory students taking the course as a measure of success._x000D_
- with another faculty, she has started to run an REU program._x000D_
_x000D_
weaknesses:_x000D_
- the PI is planning to get students from other fields involved, say, in implementing some of the algorithms (for applications of interest).  this is great, but I wish the proposal had made these plans more specific, with a short list of applications, for instance, that are suitable for this purpose. _x000D_
- it might have been useful to add an outreach component for high school students, as well._x000D_
_x000D_
Please evaluate the strengths and _x000D_
weaknesses of the proposal with respect to any additional solicitation-specific review criteria, if _x000D_
applicable_x000D_
_x000D_
_x000D_
_x000D_
Summary Statement_x000D_
_x000D_
The proposal aims to study submodular optimization, and explore ways to improve the running times and/or approximation guarantees for special cases of interest, by extending our current toolkit.  Such optimization problems have a wide range of applications in different areas of computer science (data mining, machine learning, computer vision to name a few) and any progress in this field will have a broad impact, which will not be limited to academia.  Specially now, that many of the new applications tend to be in the large-scale domain, it is timely to aim that taking advantage of the structure of the function/constraints to improve the running times._x000D_
_x000D_
The PI has a good track record of research results, and is an expert particularly in submodular optimization field, with several high-quality publications in the past five years.  Her colleagues at BU and other schools and research labs in the Boston area, with whom she collaborates, are also expert in this field.  Others are in other fields but are interested in problems that can benefit from this work._x000D_
_x000D_
The proposal has a decent education/outreach plan, and some of the lecture notes to be produced will be of great benefit to the wider audience and in particular to younger researchers who want to enter this field.  The PI is actively working on increasing diversity (and specially involvement of women) in TCS._x000D_
_x000D_
</t>
  </si>
  <si>
    <t xml:space="preserve">In the context of the five review elements, please _x000D_
evaluate the strengths and weaknesses of the proposal with respect to intellectual merit._x000D_
_x000D_
The PI proposes to develop new algorithms for submodular minimization where the objective function is very structured. She suggests using tools for combinatorial optimization for graph problems, and link them with tools for relating convex optimization to submodular optimization. She would like to extend the preflow push framework to the decomposable setting. She's interested in s-t cut problems and would like to to extend the new resutls to decomposable submodular minimization setting. As promising directions/tools she mentions exploring the limits of convex optimization, analyzing grandient descent methods, designing improved coordinate descent algorithms for decomposable submodular function minimization._x000D_
_x000D_
She would like to develop probabilistic models for computer vision tasks with higher order interaction so that her techniques are used in a more applied setting. Submodular optimization has been receiving quite a bit of attention in different settings, and the PI seems to be ideally positioned to consider the graph problems from a theoretical and a bit more applied point of view. She seems to know the background and suggests some techniques -- I found her directions towards solving the problems a bit vague but this is not an area that I'm well versed in. Altogether I think she can bring more understanding to the field._x000D_
_x000D_
In the context of the five review elements, please _x000D_
evaluate the strengths and weaknesses of the proposal with respect to broader impacts._x000D_
_x000D_
In terms of broader impact, the vision community can benefit from her work. I suspect there are other communities that benefit from submodular optimization (networks come to mind) so that could be a future direction. The PI is female, and is interested in mentoring other female students. Even though her educational plan is not special, having a female professor mentoring the students and introducing new courses will be helpful._x000D_
_x000D_
Please evaluate the strengths and _x000D_
weaknesses of the proposal with respect to any additional solicitation-specific review criteria, if _x000D_
applicable_x000D_
_x000D_
_x000D_
_x000D_
Summary Statement_x000D_
_x000D_
Overall a good proposal on submodular optimization. A very qualified female PI who is well versed in optimization and approximation. I found the directions in the proposal interesting but the solution directions/preliminary work could be fleshed out a bit more._x000D_
_x000D_
</t>
  </si>
  <si>
    <t xml:space="preserve">In the context of the five review elements, please _x000D_
evaluate the strengths and weaknesses of the proposal with respect to intellectual merit._x000D_
_x000D_
The proposal identifies a set of problems concerning optimization of submodular functions and some of its applications in machine learning and computer vision. The first part of the proposal concerns minimizing structured classes of submodular functions that are expressed as sums of simpler constituents that are easy to optimize, e.g. graph and hypergraph cut functions. The second part concerns submodular optimization problems inspired by probabilistic inference tasks in machine learning and computer vision. The third part concerns constrained submodular function maximization algorithms._x000D_
_x000D_
Potential to advance knowledge:_x000D_
_x000D_
1. The proposed research on minimizing structured submodular functions is both appealing and timely. Structured submodular function minimization has become a widely used tool in machine learning and computer vision during the past 5-10 years, because it is one of the most expressive discrete optimization problems that has algorithms which find an exact optimum efficiently enough to be usable in practical applications. The proposed research enhances our understanding of purely combinatorial algorithms (based on preflow-push and blocking flows), algorithms based purely on continuous optimization, and hybrid approaches. The proposed research questions in all three cases strike me as theoretically appealing, in addition to their practical value._x000D_
_x000D_
2. The research on probabilistic inference (modeled as versions of the submodular labeling problem) has the potential for practical impact, for the same reasons articulated above. The research problems proposed in this section of the project description are quite application-driven, so in my opinion their potential to advance knowledge will hinge on whether the particular special cases of submodular labeling studied by the PI match (or closely resemble) the special cases that practitioners can make use of. In this regard, it may be beneficial for the PI to team up with a researcher in machine learning or computer vision who has direct experience solving these labeling problems in practice._x000D_
_x000D_
3. The research on constrained submodular maximization problems is of significant theoretical interest. The PI has recently made a significant advance by developing an algorithm that beats the approximation factor 1-1/e for optimizing the multilinear extension of a monotone submodular function over a down-closed polytope. The proposed research aims to extend upon this advance, while also studying reductions from submodular to linear optimization, and designing new continuous extensions for submodular functions that may enable the design of more efficient constrained optimization algorithms._x000D_
_x000D_
Creativity/originality/transformativeness: All of the proposed research calls for a great deal of creativity and originality. Highly efficient (e.g., near-linear time) algorithms for structured classes of submodular functions could even be transformative, due to the many applications of such algorithms and the scale of the data on which those algorithms must operate in the applications._x000D_
_x000D_
Plan for carrying out the activities:_x000D_
_x000D_
The proposal presents an admirably detailed and well-justified plan for carrying out the activities. _x000D_
_x000D_
Qualifications of the PI:_x000D_
_x000D_
The PI is excellently qualified to carry out the proposed research. She has consistently published in the top venues for this type of algorithmic work (STOC, FOCS, SODA) and has recently begun publishing in the top conference for one of the main application areas (ICML). Her contributions to this research area already include the asymptotically fastest algorithm for minimizing decomposable submodular functions, and a breakthrough paper on maximizing the multilinear extension of a monotone submodular function. I see every reason to believe that she will persist as a leader in this area._x000D_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The project description cites the following broader impacts._x000D_
_x000D_
* Bridging between theory and applied areas of computer science (e.g. machine learning, computer vision) and discrete mathematics._x000D_
_x000D_
* Industrial impact: including social network analysis, data mining, web ranking, data summarization, feasture selection._x000D_
_x000D_
* Writing a survey on submodular optimization._x000D_
_x000D_
_x000D_
Please evaluate the strengths and _x000D_
weaknesses of the proposal with respect to any additional solicitation-specific review criteria, if _x000D_
applicable_x000D_
_x000D_
_x000D_
_x000D_
Summary Statement_x000D_
_x000D_
A strong proposal outlining an ambitious and timely research program with impact both on fundamental theoretical topics in optimization and on applications in machine learning, computer vision, data mining, and other areas of CS._x000D_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</si>
  <si>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</si>
  <si>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</si>
  <si>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</si>
  <si>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addresses three areas of research, each of which is important in its own right. First, the proposal considers directions to bridge the theory and empirical computational approaches to minimizing submodular functions, focusing on a subclass referred to as "decomposable submodular functions". The questions concerning both preflow-push and blocking flow style algorithms seem very natural (and yet challenging). Linking to questions on continuous relaxations of these problems, improved variants of randomized coordinate descent are considered, but these are likely extremely hard problems on which to make progress. Finally, within this first part, connections are made to the recent advances in Laplacian-based max-flow algorithms, and it is propsoed to study extensions of these techniques to settings not yet captured (but can be viewed as special cases of the decomposable submodular framework)._x000D_
_x000D_
The second area is one in which there are connections to computer vision in terms of two previously studied problems, the metric labeling problem, and the submodular labeling problem. The proposal seeks to draw connections and improved approximation algorithms in this area, focusing on extensions that capture higher order relationships (rather than just pairwise). (Although not crucial for evaluating this proposal it should be noted that the literature review here could have been more extensive, perhaps including papers such as https://arxiv.org/abs/1309.7512 )_x000D_
_x000D_
Finally, the proposal considers constrained submodular function maximization problems, which has been an area of significant progress over the past several years._x000D_
_x000D_
As should be clear from this summary, the proposal is a broad, ambitious agenda in line with expectations for a strong CAREER proposal. The PI has made signficant contributions in all three of the main thrust areas of the proposal, and hence there is a reasonable expectation that significant further progress can be made in the future. That having been stressed, it should be noted that the proposal is relatively sparse with the kind of "initial steps" in algorithmic progress that might have made this proposal even stronger. (One exception to this is the discussion at the end of the section on higher-order labeling problems talking about practical algorithms and new formulations.) Overall, this is a well thought-out and carefully developed proposal._x000D_
_x000D_
In the context of the five review elements, please _x000D_
evaluate the strengths and weaknesses of the proposal with respect to broader impacts._x000D_
_x000D_
The main thrust of broader impacts rests on the practical importance of the problems being considered. The section on high-order labeling methods has direct implications for superior techniques in computer vision procedures for issues like image segmentation. The decomposable submodular function section is inspired in large part by more heuristic approaches that have been used in large-scale machine learning codes with a range of practical applications. _x000D_
_x000D_
Finally, the PI proposes to help attract a more diverse population of graduate students within her group, and has already been quite successful in this regard._x000D_
_x000D_
Please evaluate the strengths and _x000D_
weaknesses of the proposal with respect to any additional solicitation-specific review criteria, if _x000D_
applicable_x000D_
_x000D_
_x000D_
_x000D_
Summary Statement_x000D_
_x000D_
This is an interesting proposal in an area of algorithmic theory and practice that has made significant recent advances, and should be ripe for further new theory of importance. The PI has been a contributor to some of this recent progress, and hence has a solid track record on which to base expectations for further progress._x000D_
_x000D_
</t>
  </si>
  <si>
    <t>Submodularity is a diminishing returns property of set functions with deep mathematical implications and connections, and far-reaching applications. Submodular functions play a fundamental role in many domains in Computer Science, Mathematics, and Economics. Over the last decade, submodularity has emerged as a powerful structure for applications in machine learning and computer vision. These applications often involve vast amounts of data with a rich and complex structure. Many of the submodular optimization algorithms are not suitable for these settings, since they are designed for worst-case instances and they suffer from prohibitive running times and poor empirical performance. In both the theoretical and machine learning communities, there has been an intense focus on forging new algorithms and applications of submodularity, leading to several surprising connections. The PI plans to build on these recently established advances to make progress on the many challenges that remain. Some of the main objectives of the proposed research include:_x000D_
  - Develop an algorithmic toolkit for submodular minimization that synthesizes combinatorial and continuous approaches. The proposed research aims to design faster algorithms for minimizing submodular functions with a decomposable structure that play a fundamental role in machine learning and computer vision, and to make progress on long-standing open problems by combining combinatorial and continuous optimization techniques._x000D_
  - Design models and algorithms that go beyond worst-case instances by modeling and exploiting the structure arising in applications. In order to achieve the performance that applications require, the proposed research aims to develop new models and algorithms that harness the rich structure of both the objectives and the constraints of the optimization problems underpinning these applications._x000D_
  - Advance our understanding of constrained submodular maximization problems. The proposed research aims to advance our understanding of these problems from several perspectives: design algorithms with improved approximation guarantees and develop new ideas and techniques; expand the applicability of our current frameworks to new constraint families; develop new frameworks that are more practical and leverage the structure of applications.The proposed research aims to develop novel algorithmic approaches for submodular optimization, to make progress on central open problems not only in theoretical computer science but also machine learning and computer vision, and to transfer theoretical insights to applications. This work has the potential to have a major impact in theory and practice by building the theoretical foundations of submodularity and applying the resulting ideas and insights to applications.The proposed directions cut across theoretical Computer Science, machine learning, and computer vision, and they aim to build new bridges between these areas. Bridging theory and practice has the potential for a significant broader impact. Work produced through this project is likely to have industrial impact. Submodular optimization algorithms are already used by companies such as Google in a wide range of settings, from web ranking to massive data summarization and feature selection._x000D_
  The PI will disseminate the research results, transfer technical knowledge between different areas, and develop software that applies new algorithmic insights to applications. The PI and her students will broadly disseminate research outcomes by giving talks at universities, research conferences, and industrial labs. Research papers and software will be made publicly available on the PI's website and the arXiv. The PI will design a new graduate course and write a survey article on the topics of this proposal. The PI plans to collaborate with researchers at Boston University and nearby institutions that are working on machine learning, computer vision, and data mining, to develop new algorithms for these practical settings.   _x000D_
  The PI will continue to mentor undergraduate and graduate students, and to involve them in the proposed research. The PI plans to contribute to academic career workshops for women, such as Women in Theory and Rising Stars in EECS.</t>
  </si>
  <si>
    <t xml:space="preserve"> Panel Summary       
  SUMMARY OF PROPOSED RESEARCH ACTIVITY_x000D_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These are fundamental problems in computer science and mathematics._x000D_
_x000D_
Educational and Outreach Plans:_x000D_
_x000D_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INTELLECTUAL MERIT_x000D_
_x000D_
Strengths:_x000D_
_x000D_
* The proposal is tackling a fundamental mathematical problem._x000D_
_x000D_
* The direction she is proposing has led to some progress already._x000D_
_x000D_
* The ideas in the proposal are more than incremental:  She has a new_x000D_
  method to search for appropriate small tensors and_x000D_
  she has some preliminary results to indicate she might be successful._x000D_
_x000D_
* The research plan is very detailed and includes unpublished theorem_x000D_
  statements._x000D_
_x000D_
Weaknesses:_x000D_
_x000D_
* One possible weakness is that the approach in the proposal is continuing_x000D_
to use the same idea; perhaps a different perspective would be better._x000D_
_x000D_
* The topic and approach of the proposal is specialized. The project description could be improved by articulating more clearly what is technically innovative about the proposed approach to improving the exponent of matrix multiplication, and how these technical innovations could potentially benefit the analysis of problems beyond matrix multiplication._x000D_
_x000D_
* The related work section has some inaccuracies.  In particular, Strassen's 1986 paper introducing the laser method should be cited._x000D_
_x000D_
Suggestions for Improvement:_x000D_
_x000D_
* Correct the related work section._x000D_
_x000D_
BROADER IMPACTS _x000D_
_x000D_
Strengths:_x000D_
_x000D_
* The PI has a strong track record of interacting with high school students._x000D_
_x000D_
Weaknesses:_x000D_
_x000D_
* The claims of practicality of the improved algorithms that might be_x000D_
found are overblown, as these types of matrix multiplication algorithms_x000D_
do not improve on others until the size of the input is astronomical._x000D_
_x000D_
Suggestions for Improvement:_x000D_
_x000D_
* Remove claims of practicality._x000D_
_x000D_
CAREER SOLICITATION-SPECIFIC REMARKS:_x000D_
_x000D_
Letter of institutional commitment:  Included._x000D_
_x000D_
Integration of research and education:  The education and outreach_x000D_
plans of the proposal are well-integrated with the research plan.  The PI will develop two new courses, one on reductions between_x000D_
problems and another on algorithms in the real world.  She also plans_x000D_
to continue outreach to high school students.  She will continue_x000D_
interacting with Stanford's Women in CS organization, advising_x000D_
students, and drawing female students in particular into her research_x000D_
group._x000D_
_x000D_
ADDITIONAL REMARKS_x000D_
_x000D_
Data Management Plan:  Adequate._x000D_
_x000D_
Results of prior support:  Clearly stated._x000D_
_x000D_
SUMMARY STATEMENT_x000D_
_x000D_
The PI is proposing to tackle a fundamental problem in mathematics and_x000D_
computer science, one on which she has already made significant progress._x000D_
Success will have an impact on the field itself.  The educational and_x000D_
outreach activities are fine._x000D_
_x000D_
The recommendation of the panel is _x000D_
_x000D_
___ Highly Competitive_x000D_
_X_ Competitive_x000D_
___ Low Competitive_x000D_
___ Not Competitive_x000D_
_x000D_
The panelists concur that the Panel Summary accurately reflects the_x000D_
panel discussion._x000D_
_x000D_
</t>
  </si>
  <si>
    <t>tkimbrel</t>
  </si>
  <si>
    <t>Methods for multiplying matrices are routinely used to approach computational problems from a huge variety of applications: finding good routes in networks, pattern detection in networks, simulating motion in computer graphics and animation, protein and RNA structure prediction in biochemistry, questions in quantum mechanics, machine learning, electronics, scientific computing, and anywhere linear systems of equations need to be solved. The ability to multiply large matrices faster would have tangible impact on the world. For the past fifty years, computer scientists have been developing a rich mathematical theory of matrix multiplication algorithms;  still, it is not clear exactly how fast matrices can be multiplied, nor what the best algorithms would even look like.  The main goal of the PI is to deepen and extend the theory of matrix multiplication, and to search for faster algorithms for the problem._x000D_
 _x000D_
The most studied version of matrix multiplication is when the matrix entries come from an underlying ring such as the integers (Z), and the "plus" and "times" operations are addition and multiplication over Z. The algorithmic progress on ring matrix multiplication is a prime example of algorithmic ingenuity. For decades the trivial approach was deemed optimal until deep theory led to significant and surprising improvements. The theoretical study of ring matrix multiplication algorithms aims to pinpoint the exponent "omega" of matrix multiplication, considered to be the main measure of progress on the problem. The number omega is the smallest real number for which there is an algorithm that multiplies two square matrices of dimension n using n^(omega+o(1)) operations (additions and multiplications of numbers). Since the output has size n^2, omega is at least 2; the most recent bound omega &lt; 2.373 was obtained by the PI. The PI aims to investigate new approaches to improving the bound on omega and related parameters, with a long-term goal of designing a fast and practical algorithm._x000D_
 _x000D_
The impressive improvements above only apply to ring matrix multiplication. However, in many applications, different, potentially more complex matrix products are needed. For instance, in computing shortest paths in a network, one relies on the so called distance product of real matrices for which the "plus" operation is minimum and the "times" operation is addition. The matrix product is no longer over a ring, but rather over a semiring. Non-ring matrix products are not as well understood as ring matrix multiplication; some, such as the distance product, don't even seem to admit much faster algorithms than the brute-force algorithm that follows from their definition. The second major goal of the PI is to study a large variety of non-ring matrix products, develop algorithms for them, and broaden and strengthen their applications._x000D_
 _x000D_
This project has several educational goals. These include mentoring undergraduate and graduate students, the development of new courses directly related to the described topics, and incorporating these topics into existing core algorithms courses. The lectures and project materials will be available on the course website for the general public. The PI is wholeheartedly committed to diversity. The PI has experience in recruiting and mentoring both undergraduate and graduate minority students, and will continue to take an active role in seeking and recruiting students from diverse cultures and backgrounds.</t>
  </si>
  <si>
    <t>NATIONAL SCIENCE FOUNDATION _x000D_
Arlington, Virginia 22230 _x000D_
_x000D_
Directorate for Computer and Information Science and Engineering (CISE) _x000D_
Division of Computing and Communication Foundations (CCF) _x000D_
CCF CAREER Program - Fiscal Year 2017_x000D_
_x000D_
Review Analysis _x000D_
_x000D_
Title:  CAREER:Matrix Products: Algorithms and Applications_x000D_
_x000D_
Proposal Number: 1651838 _x000D_
PI: Williams, Virginia _x000D_
Institution: Massachusetts Institute of Technology_x000D_
Requested Amount: $550,000 _x000D_
Recommended Amount: $400,000 _x000D_
_x000D_
Ranking in Panel and Panel Procedures: _x000D_
_x000D_
Panel Number: P170288 _x000D_
Reviewers Ratings: E, E, V, V, P _x000D_
_x000D_
Panel Recommendation: Competitive _x000D_
_x000D_
This project was ranked 6th place in a panel of 29 projects. _x000D_
_x000D_
This project was the the third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Before the panel meeting, ad hoc reviews were obtained from one reviewers chosen with expertise in the specific topic of the proposal.  The panel recommendation Competitive was based on substantive comments from both individual reviews and the collective assessment of the proposal by the panel. _x000D_
_x000D_
Scope of Project and Intellectual Merit: 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At present the best known upper bound on \omega, the exponent of matrix multiplication over rings, is 2.372869, improving by a small amount the PI's theorem that \omega &lt; 2.372873.  All of these results have used a family of tensors first studied by Coppersmith and Winograd.  The research proposed here aims to further improve the exponent of matrix multiplication via continued investigation into these tensors.  The most prominent example of non-ring matrix multiplication is the all-pairs shortest paths problem,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 _x000D_
_x000D_
Two approaches are described for the ring case, one suggesting the use of different tensors in the previously known CW method, and the other based on the PI's new extension of the CW method.  In the non-ring case, the PI will study two problems.  One is seeing whether n^{2.5} is really a bottleneck for a set of problems that already have less than n^3 complexity, using the PI's method of fine-grained reductions.  The other is tackling the problem of finding a algorithm with substantially less than n^3 complexity for the version of the problem that is relevant for shortest path computations, using recent results by the PI on matrices with bounded differences.  Detailed technical ideas are presented, some based on the PI's extensive previous work, for how to approach all the problems. _x000D_
_x000D_
Improving the exponent of (ring) matrix multiplication is notoriously hard.  The panel felt the PI's approach is highly original and promising.  Similarly, the ideas for investigating the complexity of non-ring matrix products were considered highly creative.  Since the proposal attacks famous and long-standing open problems in the theory of computing, it could have potentially transformative consequences for that field.  One particularly knowledgeable reviewer in this area stated, "I have rarely read a research proposal in theoretical computer science that presented such a detailed and convincing argument for the soundness of the plans."  This endorsement supports this high-risk, high-reward endeavor as a very high priority for AF CAREER funding._x000D_
_x000D_
Broader Impacts: _x000D_
_x000D_
The PI's educational plan includes developing two new courses, one on reductions between problems and another on algorithms in the real world.  She also plans to continue outreach to high school students; she has a strong track record in the past.  The PI's plans regarding broadening participation include advising students and drawing female students in particular into her research group.  Teh PI also plans to hold a workshop on practical algorithms for matrix multiplication which could potentially lead to an impact outside of theoretical computer science on fields that utilize matrix multiplication._x000D_
_x000D_
PI Qualifications and Budget: _x000D_
_x000D_
The PI is uniquely qualified to carry out this program, based on her strong record of related research. A particularly knowledgeable panelist claimed that she could be the "absolute leader" in this area for the last five years, during which it has seen a resurgence of activity.  The budget was significantly reduced due to the availability of other funding; the PI has had particularly good success in AF of late.  The PI does not expect this reduction to have a significant effect on the outcomes of the project. _x000D_
_x000D_
Response to P rating:_x000D_
_x000D_
This reviewer said he would rate the proposal E or V based on the actual results that he expects from the PI.  He downgrades the proposal all the way to P for reasons that are not related to the quality of research proposed.  First, he thinks the PI overstated her claims of practicality, and second, he feels the literature review left out some important papers, including, notably, one of his own.  The review makes several statements that can be described as inflammatory.  This reviewer was chosen specifically for having past experience working in the area.  Two other reviewers (one ad hoc, and one panelist) also have experience in the area and deep expertise--in fact, one is currently working in the area--and gave ratings of E and V._x000D_
_x000D_
Recommendations and Conditions: _x000D_
_x000D_
The panel assigned this proposal to the Competitive category. This project was rated among the best six in the 29 projects considered by the panel. I fully agree with the assessment and recommendation of the reviewers---this is an excellent proposal and is well worthy of support. I am pleased to recommend this proposal for an award as detailed below. _x000D_
_x000D_
Proposal Number: 1651838 _x000D_
Recommended Award: $400,000 as a Continuing Grant, distributed as below _x000D_
Duration: 60 months _x000D_
Start Date: 04/01/2017_x000D_
Program Element Code: 7796 Algorithmic Foundations _x000D_
Program Reference Codes: 7926 Algorithms_x000D_
_x000D_
FY 2017        $179,656_x000D_
FY 2019        $71,041_x000D_
FY 2020        $73,514_x000D_
FY 2021        $75,789_x000D_
_x000D_
_x000D_
Dr. Tracy Kimbrel _x000D_
Program Director _x000D_
NSF CISE/CCF _x000D_
_x000D_
March 6, 2016</t>
  </si>
  <si>
    <t xml:space="preserve">In the context of the five review elements, please _x000D_
evaluate the strengths and weaknesses of the proposal with respect to intellectual merit._x000D_
_x000D_
Potential to advance knowledge:_x000D_
_x000D_
The proposal attacks some of the most fundamental problems in the theory of algorithms: matrix multiplication, and all-pairs shortest paths. The common theme linking these two problems (and others discussed in the proposal) is that they amount to computing a matrix product in either a ring or a semi-ring. _x000D_
_x000D_
In more detail, the PI proposes to investigate the following._x000D_
_x000D_
1. Ring Matrix Multiplication. Research on algorithms for computing matrix products over a ring has focused on determining the value of \omega, the exponent of matrix multiplication. At present the best known upper bound on \omega is 2.372869, improving by a minuscule amount the PI's theorem that \omega &lt; 2.372873. All of these results have used a family of tensors, denoted by T_q in this proposal, whose study was initiated by Coppersmith and Winograd. The research proposed here aims to further improve the exponent of matrix multiplication via the following avenues of investigation._x000D_
_x000D_
1a. Combine tensors of the form T_q for different values of q, by taking their tensor product, to obtain a tensor with greater "value" than the tensor powers of a single T_q. Evidence that this might work out is based on the observation that the value q=5 used in the best known algorithms to date is the result of solving a continuous optimization problem whose optimum is strictly between 5 and 6, and then using q=5 because an integer value is required. Taking a product of tensor powers T_5 and T_6 could potentially "simulate" using a value of q between 5 and 6._x000D_
_x000D_
1b. Investigate matrix multiplication algorithms based on tensors other than T_q. The project description expounds a new method for analyzing the value of such tensors using a general theorem stating that the value of the k-th power of a tensor equals the k-th power of its value, combined with decompositions of powers of specific tensors that enable one to bound their value by application of the aforementioned theorem. _x000D_
_x000D_
1c. Improve the bounds for rectangular matrix multiplication, specifically improving the value of \alpha for which it is known that a (n \times n^{\alpha}) matrix can be multiplied by a (n^{\alpha} \times n) matrix in n^{2+o(1)} time. Currently the best known value for \alpha is 0.303. This result is again obtained using the tensors T_q discussed above, so either of the proposed approaches for improving the Coppersmith-Winograd-based algorithms could have dividends for this problem as well._x000D_
_x000D_
1d. Improve the running time for sparse matrix multiplication, or for solving a linear system. Both of these problems are so ambitious that they deserve more than a couple of sentences. _x000D_
_x000D_
2. Non-ring matrix multiplication. The most famous example is all-pairs shortest paths, which can be equivalently recast as matrix multiplication over the {min,+} semi-ring. The proposal presents many other examples of non-ring matrix products, e.g. the all-pairs bottleneck paths problem, which is the matrix product over the {min,max} semi-ring. For all of these problems, the best known algorithms are asymptotically slower than for ring matrix multiplication, because the ring matrix multiplication algorithms are able to exploit algebraic cancellations that don't take place in these other algebraic structures. Nevertheless, for some of these problems (e.g. all-pairs bottleneck paths) the PI and co-authors have met with success in applying fast ring matrix multiplication to obtain truly sub-cubic (i.e. n^{3 - \epsilon} for some constant \epsilon) algorithms. For others, particularly all-pairs shortest paths, the question of whether a truly sub-cubic algorithm exists remains a major open question._x000D_
_x000D_
2a. For all of the aforementioned non-ring matrix multiplication problems that have truly sub-cubic algorithms, the best known running time is n^{2.5} or worse, even if the exponential of matrix multiplication turns out to be equal to 2. Is there a barrier at running time n^{2.5}? For example, is there a web of fine-grained reductions showing that if one of the aforementioned problems requires n^{2.5} times, then they all do? The proposal contains a quite detailed sketch of one such reduction._x000D_
_x000D_
2b. Does all-pairs shortest path have truly sub-cubic algorithms? The PI proposes to make progress on this long-standing open question by continuing her ongoing investigation of special cases. In very recent work the PI introduced a three-step approach that solves instances defined by matrices with bounded differences. There is some hope that the approach applies to a much broader class of instances, including those that arise in solving the "maximum subarray problem". A sufficiently general version of the latter problem (allowing for entries with large absolute value) is subcubically equivalent to APSP, but there is evidence that restricted version of maximum subarray are amenable to the three-step technique._x000D_
_x000D_
Creativity/originality/transformativeness:_x000D_
_x000D_
Improving the exponent of matrix multiplication is notoriously hard, and the approach sketched in the proposal and referenced in (1b) above strikes me as highly original and promising. Similarly, the ideas for investigating the complexity of non-ring matrix products strike me as highly creative. Since the proposal attacks famous and long-standing open problems in the theory of computing, it could have potentially transformative consequences for that field._x000D_
_x000D_
Plan for carrying out the activities:_x000D_
_x000D_
I have rarely read a research proposal in theoretical computer science that presented such a detailed and convincing argument for the soundness of the plans._x000D_
_x000D_
Qualifications of the PI:_x000D_
_x000D_
The PI is excellently qualified to carry out the proposed research. Her prior work establishes her as one of the leading researchers (one might say the absolute leader) in this area for the past five years. Through her leadership, she has brought about a revival of interest in matrix multiplication algorithms based on the Coppersmith-Winograd tensors, and ushered in the new topic of "fine-grained reductions", both of which have had a major impact on theoretical computer science and are central themes of this proposal.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proposal mentions outreach to high school students, women, and minorities, as well as industry collaborations. 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all respects._x000D_
_x000D_
_x000D_
</t>
  </si>
  <si>
    <t>EE0177413</t>
  </si>
  <si>
    <t>Pan</t>
  </si>
  <si>
    <t>Victor.PAN@lehman.cuny.edu</t>
  </si>
  <si>
    <t xml:space="preserve">In the context of the five review elements, please _x000D_
evaluate the strengths and weaknesses of the proposal with respect to intellectual merit._x000D_
_x000D_
Strength: P.I.'s very good record of publications in the Theory of Computing suggests that she is going to propose new advanced techniques and to decrease the known estimates for the complexity of non-ring matrix multiplication (and perhaps even of ring matrix multiplication) in the case of inputs of astronomical sizes. (This goal is still quite popular in the community.)_x000D_
Weakness: P.I.'s claim that the proposed work will make practical impact is not credible because the integral part of her previous and proposed algorithms is immense growth of overhead required in order to support the decrease of the exponents. It seems that the P.I. does not even realize this problem and is ignorant about practice of matrix multiplication._x000D_
_x000D_
_x000D_
In the context of the five review elements, please _x000D_
evaluate the strengths and weaknesses of the proposal with respect to broader impacts._x000D_
_x000D_
Strength: The P.I. is devoted to wide dissemination of her work among the students, scientists and general public. She has established good contacts with elite scientists in her field and attracts and guides many students towards their study and research in the Theory of Computing. _x000D_
Weakness: P.I.'s unsupported claims about practical potentials of her approach may lead her to cutting corners again (see my Summary Statememt), rewriting history, misleading young people, and ultimately getting backfire from outside the community._x000D_
_x000D_
_x000D_
Please evaluate the strengths and _x000D_
weaknesses of the proposal with respect to any additional solicitation-specific review criteria, if _x000D_
applicable_x000D_
_x000D_
_x000D_
_x000D_
Summary Statement_x000D_
_x000D_
P.I.'s work has been in the spotlight since her paper "Multiplying matrices faster than Coppersmith-Winograd" in STOC 2012 (its title cuts corner: she improved Stothers 2010, not Coppersmith-Winograd 1990). This work was a technical breakthrough and is still the only P.I.'s contribution to ring matrix multiplication (the main subject of the proposal), but her research is prolific in other areas of the Theory of Computing, including non-ring matrix multiplication (the second subject of the proposal). I am quite sure in her success in the latter area in the next years, less so for ring matrix multiplication, but her attempt is welcome. _x000D_
Unfortunately the history account of the proposal omits proceedings and journal versions of the important older papers in FOCS 1978, 1979, 1981 and 1986 by Pan, Coppersmith-Winograd, and Strassen; the latter omission is most disturbing because contrary to P.I.'s proposal Coppersmith-Winograd 1990 continues FOCS 1986 by Strassen, not Schoenhage 1981. In the Overview of her Project Summary the P.I. cuts angle again by claiming that "the best known bound on omega was obtained by the P.I.". This ignores Le Gal for convenience, and then her self-congratulation follows: "The impressive improvements above"._x000D_
My rating could still be between excellent and very good, but throughout Project Summary and on page 2 of Proposal Description the P.I. promises serious practical impact of her proposed work on ring matrix multiplication._x000D_
P.I.'s papers and the proposal show no knowledge of practical side of this subject: a half-sentence on page 2 (that Strassen's algorithm of 1969 has been applied over finite fields) is too little, and P.I.'s citation of the recent progress on solving Laplacian systems of equations (page 7) is irrelevant because the techniques used for the cited progress have no relevance to P.I.'s previous and proposed research. _x000D_
Moreover the P.I. cites the seminal article by A. Schoenhage in SICOMP 1981, but ignores the end of its introduction: "Finally it must be stressed that so far all these new results are mainly of theoretical interest. The point of intersection with Strassen's method lies beyond any practical matrix size." _x000D_
In P.I.'s algorithms this deficiency grows by many orders of magnitudes being an integral part of all "fast" algorithms in her STOC 2012 and proposal because they need many more recursive steps than any algorithm of 1981 in order to move an initial auxiliary tensor into a tensor of matrix multiplication. Support of P.I.'s claim that her proposed work is important for practice would sooner or later cause backfire from the user and the scientists outside the Theory Field. _x000D_
Can the P.I. first remove her claims or radically change her plan in order to address the problem pointed out by Schoenhage (in the case of her success I would be the first to applaud) and only then reapply to NSF? _x000D_
Meanwhile she could use her 3 NSF Grants, $9345,000 overall._x000D_
_x000D_
_x000D_
</t>
  </si>
  <si>
    <t>HH0921094</t>
  </si>
  <si>
    <t>Sanghavi</t>
  </si>
  <si>
    <t>sanghavi@mail.utexas.edu</t>
  </si>
  <si>
    <t xml:space="preserve">In the context of the five review elements, please _x000D_
evaluate the strengths and weaknesses of the proposal with respect to intellectual merit._x000D_
_x000D_
- Overview:_x000D_
_x000D_
This proposal is focused on developing SERIAL algorithms with faster ASYMPTOTIC running time for exact multiplication of general dense matrices; in particular, the focus is on finding the method with the smallest \alpha such that it does the job in O(n^\alpha) time. Towards this end, there are two goals: _x000D_
(a) to focus on matrices of elements with ring structure and improve the best alpha. _x000D_
(b) to extend to matrices of elements with semi-ring structure._x000D_
For each of these, the PI outlines several specific approaches and relevant preliminary work._x000D_
_x000D_
_x000D_
Strengths:_x000D_
_x000D_
- Considers a classic problem that has been studied quite a bit_x000D_
_x000D_
- The PI is clearly qualified for the chosen task; indeed this proposal builds upon her well-regarded progress on this problem._x000D_
_x000D_
_x000D_
Weaknesses:_x000D_
_x000D_
The major weakness is that it seems quite narrowly focused for a CAREER proposal. In particular, _x000D_
_x000D_
(a) the proposal completely ignores the fact that matrix multiplication is inherently (embarrassingly) parallel, and indeed with enough computation can be done in O(n^2) parallel 'time'. Of course the reviewer understands that this is a somewhat unfair comment from a mathematical viewpoint, but it does show that the practical impact of this work in modern computing may be limited._x000D_
_x000D_
(b) it is unclear how progress on these problems will advance / help improve our understanding of other related problems (i.e. these that are not just matrix multiplication). _x000D_
_x000D_
(c) the proposal needs to do a better job of identifying more specific instances where there are large unstructured dense matrices that need to be multiplied._x000D_
_x000D_
In the context of the five review elements, please _x000D_
evaluate the strengths and weaknesses of the proposal with respect to broader impacts._x000D_
_x000D_
Stengths:_x000D_
_x000D_
The PI has outlined an excellent education and outreach plan, among the better ones this reviewer has seen._x000D_
_x000D_
Weakness:_x000D_
While deep and fundamental in their insights, practical impact of matrix algorithms that have good asymptotic performance is still un-resolved; indeed, while it has been a field of study for a long time, no popular matrix methods/packages used in practice seem to rely on these methods (at least to the reviewers knowledge). This somewhat limits the broader imoact of the research component._x000D_
_x000D_
Please evaluate the strengths and _x000D_
weaknesses of the proposal with respect to any additional solicitation-specific review criteria, if _x000D_
applicable_x000D_
_x000D_
_x000D_
_x000D_
Summary Statement_x000D_
_x000D_
A very focused (and somewhat narrow) proposal aiming to make progress on the problem of improving the scaling constant for matrix products. PI well qualified, problem and approaches well defined. Impact on other areas of algorithms, and on practical implementations, less clear._x000D_
_x000D_
</t>
  </si>
  <si>
    <t>FR0833982</t>
  </si>
  <si>
    <t>Umans</t>
  </si>
  <si>
    <t>umans@cms.caltech.edu</t>
  </si>
  <si>
    <t xml:space="preserve">In the context of the five review elements, please _x000D_
evaluate the strengths and weaknesses of the proposal with respect to intellectual merit._x000D_
_x000D_
_x000D_
This proposal studies the matrix multiplication problem with an aim to make progress on the famous question of determining the exponent of matrix multiplication. In well-known work a few years ago, the PI improved the best known bound on the exponent of matrix multiplication beyond the so-called "Coppersmith-Wingograd" bound of omega &lt; 2.376..., which had stood for 25 years. She is one of the world experts on the topic. _x000D_
_x000D_
The first part of the proposal focuses on a continuation of the PI's breakthrough work, which entails analysing the tensor rank of tensor powers of the basic CW tensor T_q (it is parameterised by an integer q) in sophisticated ways. _x000D_
_x000D_
One approach that is described is to study the tensor product of T_q's mixing different q's (the current analyses consider T_q tensored with itself several times). It is true that there is a chance for this to lead to a small improvement in principle, although it is not an especially inspired approach in my opinion. A more general question is to ask for which tensors is the "value" measure super-multiplicative. This is interesting but rather distant from actually improving the exponent, since one needs quite special tensors to imply anything about matrix multiplication. _x000D_
_x000D_
The second approach is to find new tensors with small border rank, and high value. The idea is to extend the blocking-based approach of past work. The proposal discusses an intriguing observation that leads to a recursive expression bounding the value that has the potential to go beyond the analyses of past work. This is exciting, but I am not sure where one goes with it (and the proposal doesn't help much in that regard -- framing Question 2 as "under what conditions is such an analysis possible?"). A more general notion of "value" is also mentioned in which more general linear maps (rather than just projections) are considered. Again, this is a reasonable suggestion but I am not sure where one goes with it._x000D_
_x000D_
The PI is a world leader in this area and it is reasonable to expect her to make progress on these hard questions. The first part of the proposal itself could have been strengthened; I was hoping to feel a greater sense of there being inspired and creative new ideas brought to bear on this problem._x000D_
_x000D_
The second part of the proposal was stronger. This concerns non-ring matrix product and its role in various central combinatorial algorithms (e.g. min-plus matrix multiplication as a formulation of All-Pairs-Shortest-Paths). Here, one question is to understand and overcome an apparent "exponent 2.5" barrier in the existing algorithms. Fine-grained reductions may help explain this barrier and the PI sketches a fairly detailed approach with this goal in mind. _x000D_
_x000D_
A second question is to build on the PI's work giving truly sub-cubic time algorithms for certain structured distance-product matrices. There are ideas for extending this to other families of structured matrices. _x000D_
_x000D_
The education plan mainly discusses the courses the PI has taught, and two that she wishes to develop. There are some impressive outcomes such as the graph algorithms course resulting in a SODA paper. _x000D_
_x000D_
_x000D_
_x000D_
In the context of the five review elements, please _x000D_
evaluate the strengths and weaknesses of the proposal with respect to broader impacts._x000D_
_x000D_
_x000D_
The PI has taken an active role in recruiting, supporting, and mentoring women and underrepresented minorities in Computer Science. She has a substantive record on this area and plans to continue these activities. Another item is a proposed workshop on practical algorithms for matrix multiplication which is a nice idea and could potentially lead to an impact outside of TCS on fields that utilize matrix multiplication. The PI has 7 Ph.D. students, which is a large number for the area. She is actively involved in mentoring and advising these students and can be expected to continue her successes in this domain. _x000D_
_x000D_
_x000D_
Please evaluate the strengths and _x000D_
weaknesses of the proposal with respect to any additional solicitation-specific review criteria, if _x000D_
applicable_x000D_
_x000D_
_x000D_
_x000D_
Summary Statement_x000D_
_x000D_
_x000D_
The PI is a world-expert with impressive achievements in the areas focused on by this proposal. The problems are important, central problems in TCS that deserve to be worked on. The effort to obtain an improved bound on the exponent of matrix multiplication, in particular, is a high-risk high-reward project with the PI being one of the few people worldwide most likely to succeed in this endeavor. _x000D_
_x000D_
There was a lot of detail in certain parts of the proposal, perhaps at the expense of the space to flesh out a broad and robust array of research problems. The proposal is strong, but with 4 highlighted questions for a 5 year project, I was looking for a greater sense of there being many exciting directions to pursue. _x000D_
_x000D_
_x000D_
</t>
  </si>
  <si>
    <t xml:space="preserve">In the context of the five review elements, please _x000D_
evaluate the strengths and weaknesses of the proposal with respect to intellectual merit._x000D_
_x000D_
The PI proposes to study the time complexity of matrix multiplication,_x000D_
both for the case when matrix elements are from a ring (as in linear_x000D_
algebra, etc.) and when they are not (as in shortest path algorithms,_x000D_
etc.).  _x000D_
_x000D_
In the ring case, the PI will focus on finding an algorithm for matrix_x000D_
multiplication that is faster that the current best known.  Two_x000D_
approaches are described, one suggesting the use of different tensors_x000D_
in the previously known CW method, and the other based on her new_x000D_
extension of the CW method.  In the non-ring case, the PI will study_x000D_
two problems.  One is seeing whether n^{2.5} is really a bottleneck_x000D_
for a set of problems that already have less than n^3 complexity,_x000D_
using the PI's method of fine-grained reductions.  The other is_x000D_
tackling the problem of finding a algorithm with substantially less_x000D_
than n^3 complexity for the version of the problem that is relevant_x000D_
for shortest path computations, using recent results by the PI on_x000D_
matrices with bounded differences.  Detailed technical ideas are_x000D_
presented, some based on the PI's extensive previous work, for how to_x000D_
approach all the problems.  _x000D_
_x000D_
Solving these problems would be a tremendous breakthrough and would_x000D_
have significant practical applications as well as theoretical impact._x000D_
_x000D_
Although no explicit rubric for success is given, it can clearly be_x000D_
measured based on whether the desired results are obtained._x000D_
_x000D_
The PI is highly qualified to do the proposed work, as she is one of_x000D_
the experts in the area already.  Institutional resources are certainly_x000D_
adequate._x000D_
_x000D_
Strengths:  The proposal tackles a fundamental problem in mathematics and_x000D_
computer science and the PI has laid out convincing arguments that she_x000D_
can make progress toward solving them._x000D_
_x000D_
Weaknesses:  None that I am aware of._x000D_
_x000D_
Suggestions for Improvement:  Not really._x000D_
_x000D_
In the context of the five review elements, please _x000D_
evaluate the strengths and weaknesses of the proposal with respect to broader impacts._x000D_
_x000D_
The PI's educational plan includes developing two new courses, one_x000D_
on reductions between problems and another on algorithms in the real world._x000D_
She also plans to continue outreach to high school students; she has a_x000D_
strong track record in the past, although no specifics are given in the_x000D_
proposal for what she would do in the future._x000D_
_x000D_
The PI's plans regarding broadening participation include interacting_x000D_
with Stanford's WICS organization, advising students, and drawing female_x000D_
students in particular into her research group._x000D_
_x000D_
Finding faster practical algorithms for matrix multiplication would have_x000D_
significance for many applications, including scientific computing,_x000D_
analyzing social networks, and routing._x000D_
_x000D_
No specific metric is given to measure success of the broader impacts_x000D_
activities._x000D_
_x000D_
Strengths:  The PI has an impressive track record of educational_x000D_
development and outreach to high school student, and has clearly been_x000D_
pro-active at broadening participation.  Future plans are spelled out_x000D_
in detail for continuing with course development and research mentoring_x000D_
of students._x000D_
_x000D_
Weaknesses: Few details are given for continuing outreach to high_x000D_
school students.  No way of measuring success of the broader impacts_x000D_
activities is given._x000D_
_x000D_
Suggestions for Improvement:  Some more specifics of future plans for_x000D_
broadening participation and outreach could be provided, along with a_x000D_
way to measure success._x000D_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excellent:  a fundamental_x000D_
problem in mathematics and computer science will be tackled with a detailed_x000D_
and credible plan.  The broader impacts are very good, but additional_x000D_
details of the planned activities could have been provided._x000D_
_x000D_
</t>
  </si>
  <si>
    <t>Matrix multiplication is one of the most basic computational problems, solved daily in practice due to its myriads of applications. The most studied version of matrix multiplication is when the matrix entries come from an underlying ring structure, and the "plus" and "times" operations in the matrix product are + and * over the ring. The algorithmic progress on this ring matrix multiplication (RMM) problem is a prime example of algorithmic ingenuity. For decades the brute-force approach was deemed optimal until deep theory led to significant and surprising improvements. The theoretical study of RMM algorithms aims to pinpoint the exponent "omega" of matrix multiplication, the smallest real number for which there is an algorithm that multiplies n by n matrices using n^{omega+o(1)} arithmetic operations on numbers. Omega is considered to be the main measure of progress on the RMM problem. The best known bound omega &lt; 2.373 was obtained by the PI. This proposal aims to investigate new approaches to improving the bound on omega and related parameters, with a long-term goal of designing a fast and practical RMM algorithm. _x000D_
_x000D_
The impressive improvements above crucially exploit the ring structure in the RMM problem. However, in many applications, different, potentially more complex matrix products are needed. For instance, in computing shortest paths in a network, one relies on the so called distance product for which the "plus" operation is min and the "times" operation is +. The matrix product is now no longer over a ring but rather over a semiring. Non-ring matrix products are not as well understood as RMM; some, such as the distance product, do not even seem to admit much faster algorithms than the brute-force algorithm. The second major goal of the proposed research is to study non-ring matrix products, develop algorithms for them and broaden and strengthen their applications. _x000D_
_x000D_
Key Words: matrix multiplication, distance product, algorithms, equivalences, shortest pathsUnderstanding the complexity of matrix multiplication is a central problem in the theory of algorithms. A wide variety of computational problems, including most linear algebraic primitives, are known to be reducible to RMM.  Large matrix products are computed daily in practice, for instance in graphics, machine learning, and finite element simulations. The matrix multiplication techniques used in practice (e.g. in BLAS) are carefully fine-tuned and parallelized versions of the brute-force n^3 method. The development of a practical algorithm using (say) about n^{2.5} operations would have enormous practical impact. Many of the applications of non-ring matrix products are for fundamental graph problems such as shortest paths, flows and pattern detection. Progress on these problems would have significant implications both for theory and for practice. The PI is among the world experts on matrix multiplication techniques and their application to graph algorithms, and is well-posed to approach the proposed research. _x000D_
_x000D_
This project outlines several educational goals. These include mentoring students in research related to this project, the development of new courses directly related to the topics of this proposal, and incorporating these topics into existing core algorithms courses. The lectures and project materials will be available on the course website for the general public.Multiplying matrices over the real numbers is of great importance in scientific computing, physical simulations, and even film animation, and any progress would have lasting impact on those areas. Non-ring matrix products arise in the analysis of social networks, in GPS routing, the analysis of RNA and protein structure, and in many more applications. The PI is whole-heartedly committed to diversity. The PI has experience in recruiting and mentoring both undergraduate and graduate minority students. Drawing from her experiences as an early career female professor, she will continue to take an active role in seeking and recruiting students from diverse cultures and backgrounds.</t>
  </si>
  <si>
    <t>xDiaryNt</t>
  </si>
  <si>
    <t>Stanford approval of transfer to MIT</t>
  </si>
  <si>
    <t>From: Matthew Ho &lt;mattho@stanford.edu&gt;_x000D_
Date: Thursday, December 1, 2016 at 1:17 PM_x000D_
To: "Kimbrel, Tracy J" &lt;tkimbrel@nsf.gov&gt;_x000D_
Cc: "laureena@mit.edu" &lt;laureena@mit.edu&gt;, Angela Cao &lt;acao2@stanford.edu&gt;_x000D_
Subject: NSF award recommendation for 1651838 // SPO 121171_x000D_
 _x000D_
Dear Tracy,_x000D_
 _x000D_
My name is Matthew Ho and I am an institutional official at Stanford University.  In regards to the award recommendation below, Stanford University formally acknowledges that PI Virginia Williams will be leaving Stanford to joint MIT in January 2017.  As a result, Stanford concurs with the transfer of the proposal to MIT. _x000D_
 _x000D_
If any additional info is required, please do not hesitate to contact me.  Thank you._x000D_
 _x000D_
Regards,_x000D_
Matthew_x000D_
 _x000D_
Matthew Ho | Contract and Grant Officer_x000D_
Office of Sponsored Research_x000D_
Stanford University_x000D_
(   650.725.1291_x000D_
8    mattho@stanford.edu_x000D_
*   3160 Porter Drive | Suite 100 | Palo Alto, CA 94304</t>
  </si>
  <si>
    <t xml:space="preserve"> Panel Summary       
  SUMMARY OF PROPOSED RESEARCH ACTIVITY _x000D_
_x000D_
The PI is planning to understand the power of the Lassere SDP hierarchy, which are sometimes called sum-of-squares meta-algorithms.  These are the most powerful/promising among a series of mechanical methods (others being Sherali-Adams and Lovasz-Schrijver hierarchies) to strengthen convex programs (LPs &amp; SDPs) by systematically adding certain constraints to obtain stronger guarantees for many problems._x000D_
_x000D_
In particular, the proposal lays out a number of important research questions that the PI is planning to attack: directed Steiner tree, minimizing makespan on unrelated machines, precedence-constrained scheduling, graph coloring and independent set, and Unique games.  The problems are all very important and challenging.  _x000D_
_x000D_
The PI has made progress on some of these, and he sketches his plans for attacking them.  The ideas sound reasonable but often lack clarity and details.  It is worth noting that most of the previous work on LP/SDP hierarchies were negative results and only recently have a few positive results (i.e., algorithms) emerged._x000D_
_x000D_
INTELLECTUAL MERIT _x000D_
Strengths:_x000D_
- The proposal is ambitious and puts forth a very bold set of problems to solve._x000D_
- The tools are thought to be quite powerful, however, we do not have a good understanding of how to use them.  That's what the PI is planning to do._x000D_
- Early in his career, the PI has already had an amazing track record of solving longstanding open problems in combinatorial optimization and approximation algorithms as well as significantly simplifying complicated solutions.  He certainly seems qualified to take on this project._x000D_
_x000D_
Weaknesses &amp; suggestions for improvement:_x000D_
- The proposal is expected to have included some leads on how the SDPs are to be rounded, or why the PI believes these methods will work for a particular problem.  For example, why should Lassere's SDP work for directed Steiner tree?  The proposal could have explained very simple (even if not independently interesting) special cases of the MinMax or MaxMin problems where the proposed methods achieve better gaps/guarantees than other methods._x000D_
- For the claim about usefulness of Lassere's SDP for refuting UGC, the proposal could use some citation.  One option is Barak-Steurer survey from ICM'14._x000D_
- The first few sections either have Sherali-Adams hierarchy as prior work or the same will work instead of Lassere's SDP.  Explain what the latter adds to the mix?_x000D_
- The proposal could have broken MaxMin problems into special cases (as it did the MinMax problem).  A possibly useful prior work here is Bateni-Charikar-Guruswamy's study of Sherali-Adams relaxations for MaxMin allocation._x000D_
_x000D_
BROADER IMPACTS _x000D_
Strengths:_x000D_
- The proposed problems are of wide interest to the community and solving them will be transformative._x000D_
- PI has very good lecture notes on the topic, and there is evidence they are being used in courses at other top schools._x000D_
- PI has contacts with the neighboring Microsoft Research, and has been working with the researchers over there._x000D_
_x000D_
CAREER SOLICITATION-SPECIFIC REMARKS: _x000D_
_x000D_
Letter of institutional commitment.  Submitted._x000D_
_x000D_
Integration of research and education:_x000D_
_x000D_
The proposal has a standard education/outreach component, including course development, student mentorship, working with researchers from other schools/institutes, guiding students to implement good LP solvers.  In addition, the lecture notes he will develop/update will be quite useful for courses at other schools (as it has already) and by independent researchers who want to get involved._x000D_
_x000D_
ADDITIONAL REMARKS _x000D_
_x000D_
Research plan: This is normal CAREER proposal with the span of five years.  The scope of the project and the requested funds are pretty standard._x000D_
_x000D_
Postdoc Mentoring plan: The budget incorrectly requests funds on the postdoc line, whereas it seems from the rest of the documentation that the PI meant to ask for graduate student support.  This needs to be fixed._x000D_
_x000D_
Data Management Plan: Adequate._x000D_
_x000D_
Results of prior support: Clearly stated._x000D_
_x000D_
This is high-risk, high-reward proposal.  Even partial success at solving the proposed problems can potentially transform our understanding of SDP/LP hierarchies, and will impact the larger field of approximation algorithms._x000D_
_x000D_
SUMMARY STATEMENT _x000D_
This is an ambitious proposal submitted by a PI with amazing track record at solving extremely challenging problems._x000D_
_x000D_
The recommendation of the panel is _x000D_
_X_ Highly Competitive_x000D_
___ Competitive_x000D_
___ Low Competitive_x000D_
___ Not Competitive_x000D_
_x000D_
The panelists concur that the Panel Summary accurately reflects the panel discussion. 
</t>
  </si>
  <si>
    <t>Computational problems have become pervasive in all fields of science where huge amounts of data have to be processed efficiently. For computationally hard problems where computing the exact optimum solution is intractable, the next best option is to design efficient approximation algorithms that find solutions that are provably close to the optimum. In this project, the PI and the supported graduate student will design such approximation algorithms based on the still poorly understood Lasserre semidefinite programming hierarchy. The goal is to provide better algorithms for several key problems that are studied in combinatorial optimization. Practical applications of approximation algorithms can be found in many areas of science and industry. Moreover, this proposal includes the integration of research and teaching by means of graduate courses that cover the Lasserre hierarchy in a manner accessible for graduate students outside of theoretical computer science._x000D_
 _x000D_
More concretely, the goal is to develop approximation algorithms based on the Lasserre SDP for outstanding unsolved problems like Directed Steiner Tree, Graph Coloring, Unrelated Machine Scheduling and Unique Games. In particular this means designing new rounding schemes to extract valid integral solutions and developing the analytical techniques needed to study their effectiveness. A key ingredient will be the development of a better understanding of the vector embeddings for higher moments that are provided by the Lasserre SDP. _x000D_
_x000D_
Keywords: Approximation algorithms; Semidefinite programs; Integrality gaps; Lasserre hierarchy</t>
  </si>
  <si>
    <t xml:space="preserve">In the context of the five review elements, please _x000D_
evaluate the strengths and weaknesses of the proposal with respect to intellectual merit._x000D_
_x000D_
strengths:_x000D_
- studies SDP hierarchies which are the strongest "mechanical" tools at our disposal for solving many optimization problems.  nonetheless, these are not well understood yet.  the proposal aims to advance our knowledge in this area._x000D_
- proposes a set of ~9 problems (with some subproblems) to explore, of varying degrees of (perceived) difficulty._x000D_
- the PI has decent experience in this area and there are other faculty in his university and researchers in the neighboring institute that are also experts in working with LP/SDP hierarchies, which makes way for fruitful collaborations._x000D_
_x000D_
weaknesses:_x000D_
- a more detailed plan for the timeline is appreciated.  this would help in assessment of progress._x000D_
- no evidence is given of why the PI thinks constant rounds of Lassere SDP should work for directed Steiner tree, so section 3 looks too ambitious a goal._x000D_
- similarly, the goals in section 4 (say, in 4.1) are not backed by specific evidence.  the proposal mentions that there is "more information" in the SDP, which can be used in rounding.  it would have made more sense to show that the SDP hierarchy does work for a special case of the problem (in particular, when the LP and vanilla SDP fail).  for instance, what happens if small items are larger than T/10 (or maybe all of the same size) and one uses only one round of Lassere lifting?_x000D_
- certain claims are made in the proposal, without giving any reference/citation.  for instance, "Researchers indeed believe that the Lassere hierarchy is the most promising technique to refute the Unique Games conjecture."  (see also the paragraph above the "Main Goal.")_x000D_
- Sherali-Adams and Lassere hiararchies for LPs are not understood well, either.  it might have been more fruitful to include those, as well, in the propsal, as they may be easier to work with.  in fact, some of the prior work mentioned in the proposal (perhaps, close to half?) concern such lifting methods.  it is noteworthy that for several problems under consideration, the strength of vanilla SDP is not fully understood, either._x000D_
- it might have been better to explain the SDPs better in section 1._x000D_
- it might have been better to mention similar problems as laid out in sections 4.1 to 4.3 for MaxMin allocation.  does the hierarchy help with the restricted assignment setting?  (I know that there is a O(1) approximation via local search, but still this could be a first step in showing that there is promise in this direction.)_x000D_
- the proposal fails to notice that BCG09 uses LP hierarchies for MaxMin allocation.  maybe there are some lessons there about what would or would not work._x000D_
_x000D_
In the context of the five review elements, please _x000D_
evaluate the strengths and weaknesses of the proposal with respect to broader impacts._x000D_
_x000D_
strengths:_x000D_
- the PI has already given a good tutorial on the subject, and having course lecture notes (or surveys) that are more accessible would help other researchers to get involved in this quest._x000D_
- the PI has research contacts with industry._x000D_
_x000D_
weaknesses:_x000D_
- in general, I believe that Lassere SDP hiararchies are more of a theoretical musing, and though they are quite important in complexity theory, it's far-fetched that the results will be implemented and useful in practice.  I find it unrealistic to expect undergraduates can implement the results of this proposal._x000D_
- proposal's output will likely not be applicable to industry and will be of theoretical interest, specially because solving such lifted SDPs (or vanilla SDPs for that matter) take prohibitively long even for decent-sized instances.  it is worthwhile to identify practically important instances of decent size that can obtain better results via taking the Lassere path._x000D_
- the education plan is modest, and the outreach component is lacking.  there is no plan to reach out to high school students or involve underrepresented minorities, for instance._x000D_
_x000D_
Please evaluate the strengths and _x000D_
weaknesses of the proposal with respect to any additional solicitation-specific review criteria, if _x000D_
applicable_x000D_
_x000D_
_x000D_
_x000D_
Summary Statement_x000D_
_x000D_
in summary, I believe this is a modest proposal.  the aim is to understand the limitations of the Lassere SDP hierarchies and in particular, design better algorithms for several important combinatorial optimization problems.  some of the problems seem likely to see improvements from this research, while others lack any evidence as to why progress might be possible.  the education plan could use some more thought on the outreach component._x000D_
_x000D_
</t>
  </si>
  <si>
    <t xml:space="preserve">In the context of the five review elements, please _x000D_
evaluate the strengths and weaknesses of the proposal with respect to intellectual merit._x000D_
_x000D_
Potential to advance knowledge: _x000D_
_x000D_
The proposal focuses on the Lasserre hierarchy, also known as the sum-of-squares hierarchy, which is a sequence of progressively stronger convex relaxations of a combinatorial optimization problem. One of the most active areas of research in approximation algorithms, at present, concerns the question of what approximation factors are achievable, for combinatorial optimization problems of interest, by rounding a solution to the t-th level of the Lasserre hierarchy, especially when t = O(1) or t = O(polylog(n)), which correspond to polynomial and quasi-polyomial time algorithms, respectively._x000D_
_x000D_
In more detail, the proposal addresses the following questions._x000D_
_x000D_
1. Directed Steiner tree: the hardness of approximation factor is known to be roughly log^2(n). A quasipolynomial-time algorithm achieving O(log^3(n)) approximation is known. The question is whether a polylogarithmic approximation can be obtained in polynomial time by rounding a solution to the O(1)-th level of the Lasserre hierarchy. _x000D_
_x000D_
2. Minimizing makespan on unrelated machines: This is a central problem in scheduling theory. The proposed research addresses special cases (restricted assignment, unrelated graph balancing, related graph balancing) and seeks to understand the integrality gap of O(1)-round Lasserre solutions._x000D_
_x000D_
3. Precedence-constrained scheduling: This is another central problem in scheduling theory. The proposed research builds upon the PI's very recent success in obtaining a (1+\epsilon)-approximation for a special case (constant number of machines, unit-length jobs) in quasi-polynomial time, using the Sherali-Adams hierarchy. The proposed research aims to build upon this advance, applying the method to more general cases of precedence-constrained scheduling._x000D_
_x000D_
4. Graph coloring and independent set: These are two of the most fundamental problems in combinatorial optimization. Obtaining small approximation ratios is hopeless unless P=NP, but it is still of interest to know what is the best approximation ratio attainable in polynomial time. For example, there are polynomial-time algorithms to color a 3-colorable graph using O(n^{0.2079}) colors, and to find an independent set of size at least log^2(n) in a graph whose largest independent set is at least n/log(n). To improve both results, the bottleneck lies in finding large independent sets in graphs that are assumed to have an enormous independent set. SDP-based algorithms do this by computing a "vector coloring" of the graph and choosing an independent set consisting of vertices whose color-vectors have a sufficiently large dot product with a Gaussian random vector. The proposed research aims to develop new techniques that improve upon this technique by using higher-moment information contained in a Lasserre SDP solution._x000D_
_x000D_
5. Unique games: This is on of the most important open questions in complexity theory. On the algorithmic side, there was a wave of algorithmic work around 2005-2008 yielding polynomial-time algorithms whose approximation guarantees are non-trivial when the input instances of Unique Games has a solution satisfying 1-\epsilon fraction of the constraints and \epsilon = O(1 / log(n)) or O(1 / log (k)), or when the constraint graph is an expander. The proposed research aims to unify these results. A burning open question in this field is whether there is an algorithm to refute the Unique Games Conjecture using the O(1)-round Lasserre relaxation. Oddly, it is unclear whether the PI is claiming he will try resolving this open problem. The question in the box on page 13 can be interpreted tht way, but I would have expected a more explicit statement that this is one of the open problems targeted by the proposed research._x000D_
_x000D_
Creativity/originality/transformativeness:_x000D_
_x000D_
Progress in applying the Lasserre hierarchy to central problems in approximation algorithms to obtain improved approximation guarantees (beyond what can be achieved by the first level of the hierarchy, or the first level strengthened by triangle inequalities) has been frustratingly slow, despite years of effort by excellent researchers. In comparison, there has been much more progress on lower bounds. If the research succeeds in applying Lasserre to obtain improved guarantees for some of the problems listed here, that will certainly require a great deal of creativity and originality, and could in the best case by transformative. _x000D_
_x000D_
_x000D_
Plan for carrying out the activities:_x000D_
_x000D_
Overall, this is an aspect of the proposal that could stand some improvement. In some cases the PI presents a sketch of an idea to solve one of the problems listed, but in other cases the proposal limits its discussion to presenting an exposition of the best known existing technique for addressing a problem, followed by a brief presentation of a sketchy idea (or sometimes no idea at all) for advancing beyond these techniques. For the PI's reference, here are my reactions to the ideas sketched in the different sections of the proposal._x000D_
_x000D_
* Sections 3, 4.1, 4.4, 5: too sketchy._x000D_
_x000D_
* Sections 4.2, 6, 7: appropriate amount of detail._x000D_
_x000D_
* Section 4.3: no sketch given._x000D_
_x000D_
* Section 8: appropriate amount of detail for the narrow question of unifying [CMM06, Tre05, GT06, AKK+08]. Way too sketchy for the broader question stated on page 13._x000D_
_x000D_
_x000D_
Qualifications of the PI:_x000D_
_x000D_
The PI has an amazing record of breakthrough results on problems in approximation algorithms and combinatorial optimization. On a few of the problems suggested here (especially precedence-constrained scheduling) he ranks as a leading expert based on his existing results. However, the proposal is much broader and more ambitious than merely building upon his existing research successes. 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The PI collaborates with colleagues at industrial research labs and is devoted to integrating teaching and research and disseminating expository notes._x000D_
_x000D_
_x000D_
Please evaluate the strengths and _x000D_
weaknesses of the proposal with respect to any additional solicitation-specific review criteria, if _x000D_
applicable_x000D_
_x000D_
_x000D_
_x000D_
Summary Statement_x000D_
_x000D_
A broad and ambitious proposal by a brilliant researcher targeting some fundamental open questions. My only disappointment with the proposal concerns the sketchiness of the research plans presented in several sections, and the relatively weak presentation of broader impacts._x000D_
_x000D_
_x000D_
</t>
  </si>
  <si>
    <t xml:space="preserve">In the context of the five review elements, please _x000D_
evaluate the strengths and weaknesses of the proposal with respect to intellectual merit._x000D_
_x000D_
The proposal seeks to understand the use of the Laserre hierarchy for the design of approximation algorithms. It gives a detailed outline of a plan of attack, based on several problems that are both of wide interest to the algorithms community and seem naturally suited for the proposed approach. The overall topic is one of much recent study, tied closely with breakthroughs in efficient approximation algorithms as well as lower bounds. The PI has already demonstrated surprising and technically difficult applications of the method, notably to the makespan scheduling with precedence constraints problem (STOC 2016). The specific questions raised for Directed Steiner trees, graph coloring and solving unique games, are very interesting._x000D_
_x000D_
In the context of the five review elements, please _x000D_
evaluate the strengths and weaknesses of the proposal with respect to broader impacts._x000D_
_x000D_
The proposal sets out to explore a challenging overall goal in a concrete and coherent manner. The PI's qualifications for the project are outstanding --- both as a researcher in the general field of combinatorial optimization and polyhedral combinatorics, but also with past successes on the problem._x000D_
_x000D_
Please evaluate the strengths and _x000D_
weaknesses of the proposal with respect to any additional solicitation-specific review criteria, if _x000D_
applicable_x000D_
_x000D_
_x000D_
_x000D_
Summary Statement_x000D_
_x000D_
This is a strong, technically coherent proposal that raises a sequence of concrete and interesting questions that will likely help us understand the power and utility of a powerful technique in algorithm design._x000D_
_x000D_
</t>
  </si>
  <si>
    <t>DS0867540</t>
  </si>
  <si>
    <t>Williamson</t>
  </si>
  <si>
    <t>dpw@cs.cornell.edu</t>
  </si>
  <si>
    <t xml:space="preserve">In the context of the five review elements, please _x000D_
evaluate the strengths and weaknesses of the proposal with respect to intellectual merit._x000D_
_x000D_
The proposal is to use rounding algorithms for the Lasserre SDP hierarchy to derive positive results for various difficult problems in approximation algorithms.  As the PI notes, there have not been many cases in which LP/SDP hierarchies have been used to obtain positive results in approximation algorithms; there have been more cases of showing that certain levels of certain hierarchies have integrality gaps that match approximation ratios that are already known (however, as an aside, there are more cases than listed by the PI in which positive results have been derived initially finding an LP by a round or two of Sherali-Adams lifting, where the constraints are later justified in terms of the original problem).  The PI in particular proposes to try to find a polylog-approximation algorithm for Directed Steiner tree (a log^2 n-hardness is known, polylog is known in quasipolynomial time), to find a better than 2-approximation algorithm for minimizing makespan on unrelated machines (in addition to improvements for by-now well-studied special cases, such as restricted assignment and the Santa Claus problem), to find a PTAS for the scheduling problem with fixed number of identical machines, precedence constraints, and arbitrary job lengths (building on the PIs work of unit job lengths), coloring 3-colorable graphs (since the best hardness result is a constant, the best algorithm has a polynomial guarantee), independent sets, and the unique games problem (where, in addition to looking for an algorithm using the Lasserre hierarchy, the PI proposes looking for a single algorithm that implies various bounds that are already known via several different algorithms)._x000D_
_x000D_
The intellectual merit of the proposal is simultaneously showing the strength of the Lasserre hierarchy and making progress on long-standing difficult problems in approximation algorithms.  Every problem mentioned is one that has been studied intensely for a decade (or two or three); the resolution of almost any of them would be a big accomplishment.  Similarly, the LP/SDP hierarchies have themselves also been objects of intense study for many years now, and any useful new ideas in how to round them, or further understanding of their strengths and properties would be very valuable._x000D_
_x000D_
The proposal lists as broader impacts industrial involvement (via Microsoft Research), teaching graduate level courses and developing lecture notes that can be used elsewhere, and involving undergraduate students in algorithm implementation._x000D_
_x000D_
This proposal should be considered a high-risk, high-reward proposal; while the PI gives some thoughts about how he intends to approach several of these problems, I find it hard to assess how useful the ideas are.  However, the PI's track record is extremely strong, and there is no other researcher I can think of that I would give a better chance of succeeding in this proposal than the PI.  As the PI points out, he has a good track record in doing work (and a tutorial) related to the Lasserre hierarchy, and he has also been extremely successful in tackling outstanding problems in approximation algorithms.  The PI also has an excellent track record of simplifying previously complicated results, as in his work on the Leighton-Maggs-Rao routing result and his recent work on the Arora-Rao-Vazirani sparsest cut result (which Barak and Steurer recently simplified even further)._x000D_
_x000D_
The main weakness of the proposal is that all the problems proposed are very hard.  However, the ambition of the proposal and the strength of the PI are the main strengths of the proposals as well.  I would expect something interesting to come out of the PI's work in this area, if only further simplifications of known results, but I would guess he will make progress on hard problems as well.  I rate this an Excellent proposal._x000D_
_x000D_
In the context of the five review elements, please _x000D_
evaluate the strengths and weaknesses of the proposal with respect to broader impacts._x000D_
_x000D_
See above_x000D_
_x000D_
Please evaluate the strengths and _x000D_
weaknesses of the proposal with respect to any additional solicitation-specific review criteria, if _x000D_
applicable_x000D_
_x000D_
NA_x000D_
_x000D_
Summary Statement_x000D_
_x000D_
See above_x000D_
_x000D_
</t>
  </si>
  <si>
    <t xml:space="preserve"> Panel Summary       
  SUMMARY OF PROPOSED RESEARCH ACTIVITY _x000D_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research._x000D_
_x000D_
There are two main types of summaries proposed for research:_x000D_
_x000D_
(1) Graph summaries that exploit the structure of planar graphs, geometric graphs, and graphs with small separators.  For these problems the idea is to compress the data, then apply a standard algorithm to the compressed graph.  This is often done in approximation algorithms, but here the idea is to use compression to get improved run time in exact algorithms for network flow and matching in geometric settings.  The graph is sparsified in some manner that preserves the exact solution to the original problem, and then the problem is solved in the sparse graph._x000D_
_x000D_
(2) Summaries for shape approximation.  The PI proposes to use grids to construct approximate representations of point sets that capture characteristics of the original points, leading to approximate Delaunay triangulations and approximate Cech complexes that have much lower complexity than Delaunay/Cech complexes for the original data.  Other tools include randomization and the Johnson-Lindenstrauss projection.  The PI asks the intriguing question whether it is possible to approximate the topology of point sets without approximating their shape--this could be substantially more efficient._x000D_
_x000D_
_x000D_
INTELLECTUAL MERIT _x000D_
_x000D_
+ These are interesting problems, and the PI has an excellent track record._x000D_
_x000D_
+ The proposed approaches to the problems are detailed and well thought-out.  The preliminary results give confidence that the research will succeed._x000D_
_x000D_
+ The proposal identifies short-term and medium-term problems to solve._x000D_
_x000D_
+ The impact on computational topology could be transformative._x000D_
_x000D_
- Some short-term problems appeared incremental to some panelists._x000D_
_x000D_
- Within the section on "Summaries for Topological Approximation of Shapes", the PI should highlight and elaborate further the potential transformative effect of this research direction within the area of computational topology/topological data analysis._x000D_
_x000D_
- The proposal lacks an overarching vision.  Some  reviewers felt it was too general and unfocused._x000D_
_x000D_
_x000D_
BROADER IMPACTS _x000D_
_x000D_
+ The PI will teach a graduate class on geometric summaries, integrating research into the course through a coding project._x000D_
_x000D_
+ The PI will seek to advise students from a variety of backgrounds, including underrepresented groups._x000D_
_x000D_
+ The PI has agreed to give summer lectures to high school students._x000D_
_x000D_
+ The PI has collaborative ties with researchers at other universities, which he plans to maintain._x000D_
_x000D_
- The PI does not (yet) have a track record of outreach or inclusion._x000D_
_x000D_
_x000D_
CAREER SOLICITATION-SPECIFIC REMARKS:_x000D_
 _x000D_
Letter of institutional commitment._x000D_
_x000D_
Present._x000D_
_x000D_
_x000D_
Integration of research and education: _x000D_
_x000D_
Research and education are well integrated.  The proposed class project in VLSI pattern matching is particularly appealing.  It is a great example of how practical problems can lead to interesting theory, and how theory can have a positive impact on industrial practice.  Furthermore, the visual nature of the problem is intuitive and appealing, which makes it an excellent fit for classroom use._x000D_
_x000D_
_x000D_
ADDITIONAL REMARKS _x000D_
_x000D_
Research plan: _x000D_
_x000D_
Some panelists felt that the research plan lacked focus or an overarching vision._x000D_
_x000D_
_x000D_
Collaboration plan:_x000D_
_x000D_
The PI plans to continue his collaborations with researchers at Stanford, Duke, MPI, and TU Graz._x000D_
_x000D_
_x000D_
Data Management Plan:_x000D_
_x000D_
Adequate._x000D_
_x000D_
_x000D_
Results of prior support: _x000D_
_x000D_
The previous grant has led to several results that are still in preparation, and at least one conference publication.  The grant supported students.  _x000D_
_x000D_
SUMMARY STATEMENT _x000D_
_x000D_
This is a good proposal for research on interesting problems, but needs a unifying vision.  The VLSI pattern matching class project has excellent Broad Impact._x000D_
_x000D_
The recommendation of the panel is _x000D_
___ Highly Competitive _x000D_
___ Competitive _x000D_
_X_ Low Competitive _x000D_
___ Not Competitive. _x000D_
The panelists concur that the Panel Summary accurately reflects the panel discussion._x000D_
 _x000D_
</t>
  </si>
  <si>
    <t xml:space="preserve">Dr. Raghvendra,_x000D_
_x000D_
I'm sorry that, despite my expectations from last year,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 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 _x000D_
_x000D_
Integration of Research and Education: 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</si>
  <si>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9:51AM   _x000D_
_x000D_
CAREER: Geometric Summaries and Beyond -- Achieving Speed, Shape and Storage_x000D_
1651932  Raghvendra, Sharath: Virginia Polytechnic Institute and State University: $518,410_x000D_
_x000D_
P170288    AF CAREER Panel: Low Competitive, rank 18 of 29 rated projects: 3 HC, 14 C, 11 LC, 1 NC_x000D_
Reviews: E,V,V,V/G_x000D_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develop summaries for geometrically-based graphs and point sets in high dimensions to improve the performance of algorithms. He sketches the ideas and approaches to be pursued, including some preliminary results, which builds confidence in the likely success of the proposed research. There are two main types of summaries proposed:_x000D_
(1) Graph summaries that exploit the structure of planar graphs, geometric graphs, and graphs with small separators. _x000D_
(2) Summaries for shape approximation. _x000D_
_x000D_
Intellectual Merit: _x000D_
This was seen as a very good proposal, falling short for CAREER in its lack of an overarching vision, despite a good mix of short- and long-term problems.  _x000D_
_x000D_
Broader Impact:  _x000D_
The PI does not have an established track record in outreach or inclusion, but does have satisfactory plans._x000D_
_x000D_
Integration of Research and Education:_x000D_
Nice plans on integration. Because the visual nature of the problems is intuitive and appealing, the PIs plans for classroom projects was seen as excellent. _x000D_
_x000D_
Reviews:  _x000D_
The external reviewer rated E with a strong review that did point out some room for improvement.  The panel saw it as fitting with their consensus for V.  The strength of the competition, and the thought that the PI could improve the proposal by including more on the vision, moved this project into LC._x000D_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</si>
  <si>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In the context of the five review elements, please _x000D_
evaluate the strengths and weaknesses of the proposal with respect to intellectual merit._x000D_
_x000D_
Sparse or low-space sketches of geometric data, including coresets and spanners, have long been used to find approximate solutions to geometric optimization problems. The proposal concerns the extension of these ideas to exact algorithms, a paradigmatic example being the well-known use of Delaunay triangulations (a sparse graph) to compute Euclidean minimum spanning trees more quickly than would be possible by applying a graph algorithm to a complete geometric graph._x000D_
_x000D_
In particular, the author proposes_x000D_
- Extending a planar graph maximum-matching algorithm of the investigator to more general classes of graphs with small separators, and (by combining it with scaling techniques) to make it work for weighted matching as well. The algorithm runs in time O~(n^{4/3}). This is not an improvement of known algorithms such as that of Mucha and Sankowski ("Maximum matchings in planar graphs via Gaussian elimination", Algorithmica, 2006, not cited, which runs in time O(n^{1.187} and appears to generalize to arbitrary graph families with separators), but Mucha and Sankowski require fast matrix multiplication as a subroutine, not needed for the proposed approach._x000D_
- Improving algorithms for minimum-cost bipartite matching of Euclidean point sets. The investigator previously applied planar graph matching techniques to this problem for point sets in the plane, in a model of computation that assumes that exact real arithmetic operations can be done in constant time (avoiding the sum-of-square-roots issue inherent in this problem). So an improvement to planar matching could also improve this problem, but only if the improvement applies to real-weighted matching. (I note that the O(n^{3/2}log n) bound for planar-graph real-weighted matching from reference 38, cited in the previous work, has recently been improved by a logarithmic factor in the same computational model and extends to any class of graphs with separators; see Eppstein, "Maximizing the sum of radii of disjoint balls or disks", CCCG 2016)._x000D_
- Improving the time bounds for real-weighted matching of arbitrary graphs. If possible, this would be the most significant of the results from this section of the proposal._x000D_
_x000D_
A second section of the proposal concerns meshing and shape representation; other than also being about geometric algorithms, it has little connection to the first section. In this section, the author proposes_x000D_
- Developing a triangulation of point sets in any bounded dimension which simultaneously approximate the minimum total edge-length triangulation and the Delaunay triangulation. Previously a constant approximation and QPTAS were known for minimum edge length in 2d; I'm not aware of higher dimensional generalizations (although it is also unclear that edge length is a good criterion there) nor of previous connections between these two types of triangulations._x000D_
- Developing sparse approximations to the Cech complex, an abstract simplicial complex derived from the distances in a point set that has been used in conjunction with persistent homology to understand the shape of the point set, extending past work of the investigator's co-author Kerber (reference 35)_x000D_
- Developing streaming approximations to certain problems of fitting low-dimensional shapes to high-dimensional point sets, extending preliminary work from CCCG 2015._x000D_
_x000D_
The proposed research is detailed, well thought out, and will (if successful) advance knowledge and understanding within its field. The proposal includes many problems, some of them small advances on the previous work of the investigator and others larger, enough to provide plenty of research material and a high likelihood of success. The principal investigator, Sharath Raghvendra, is a recent Ph.D. who has worked extensively on computational geometry and has a strong record of publication in top-level computational geometry venues. His highest-cited past work concerned low-space streaming methods for summarizing geometric data and for using the summaries to solve geometric optimization problems. He has also published papers on geometric matching and Cech complexes. As such, he seems eminently qualified to conduct the proposed activities. As the research is primarily theoretical, the primary resource needed to conduct it is human, on the part of the investigator and his students, and as such the resources available through the home institution and through the investigator's past collaborators appear sufficient for the proposed research._x000D_
_x000D_
_x000D_
In the context of the five review elements, please _x000D_
evaluate the strengths and weaknesses of the proposal with respect to broader impacts._x000D_
_x000D_
The broader impacts of the proposed research are primarily educational. The investigator proposes to develop a new graduate course on geometric approximation algorithms; this is _x000D_
definitely suitable material for a course, and adequate resources (for instance Har-Peled's book) are available to support such a course. It's not a particularly creative thing to propose to do, but I think it is a worthwhile activity, one that will likely help disseminate knowledge of this subject to CS students in other nearby research areas. The investigator also proposes to develop algorithm visualizations, particularly of the Hungarian method, that may have a broader impact beyond the investigator's home institution._x000D_
_x000D_
_x000D_
Please evaluate the strengths and _x000D_
weaknesses of the proposal with respect to any additional solicitation-specific review criteria, if _x000D_
applicable_x000D_
_x000D_
_x000D_
_x000D_
Summary Statement_x000D_
_x000D_
This proposal describes a strong program of research, likely to lead to advances in intellectual merit, led by a young investigator who already has a proven track record. _x000D_
There appears to be little overlap with the investigator's prior support, which concerns online algorithms. The broader impacts are conventional, but solid._x000D_
_x000D_
</t>
  </si>
  <si>
    <t xml:space="preserve">In the context of the five review elements, please _x000D_
evaluate the strengths and weaknesses of the proposal with respect to intellectual merit._x000D_
_x000D_
The PI proposes to develop summaries for geometrically-based graphs_x000D_
and point sets in high dimensions to improve the performance of_x000D_
algorithms.  He sketches the ideas and approaches to be pursued,_x000D_
including some preliminary results, which builds confidence in the_x000D_
likely success of the proposed research._x000D_
_x000D_
There are two main groups of problems proposed for research:_x000D_
_x000D_
(1) Problems involving network flow on planar graphs, geometric_x000D_
graphs, and graphs with small separators.  Summaries that exploit the_x000D_
geometry, plus clever use of known algorithms, lead to runtime_x000D_
improvements over known results.  In contrast to other approaches,_x000D_
these algorithms give exact results, not approximate, even though the_x000D_
data set is reduced.  (Note: The idea of Gabow-Tarjan bit-scaling is_x000D_
used extensively.)_x000D_
_x000D_
(2) Summaries for shape approximation.  The PI proposes to use grids_x000D_
to construct approximate representations of point sets that capture_x000D_
characteristics of the original points, leading to approximate_x000D_
Delaunay triangulations and approximate \vCech complexes.  Other tools_x000D_
include randomization and the Johnson-Lindenstrauss projection.  The_x000D_
PI asks the intriguing question whether it is possible to to_x000D_
approximate the topology of point sets without approximating their_x000D_
shape--this could be substantially more efficient._x000D_
_x000D_
The proposal exhibits several clever ideas and promising leads.  The_x000D_
Approximate Empty Circle property used in Section 3 to construct_x000D_
approximate Delaunay triangulations is a simple relaxation of the_x000D_
standard Delaunay property that dramatically simplifies the problem of_x000D_
constructing a triangulation with this property.  It would be_x000D_
interesting to understand how many of the standard Delaunay_x000D_
triangulation's pgood attributes carry over, in some approximate form,_x000D_
to any triangulation with the Approximate Empty Circle property._x000D_
_x000D_
_x000D_
In the context of the five review elements, please _x000D_
evaluate the strengths and weaknesses of the proposal with respect to broader impacts._x000D_
_x000D_
The PI plans to use VLSI shape-matching as a programming project in a_x000D_
new graduate class on geometric summaries.  This is an appealing,_x000D_
challenging project that shows the relevance of theory to practice and_x000D_
vice versa._x000D_
_x000D_
The PI proposes to look for minority advisees and interact with high_x000D_
school students in the future, but apparently has no track record to_x000D_
date.  The software for approximate Delaunay triangulation will be_x000D_
published and may be useful for other researchers._x000D_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builds confidence in the likely_x000D_
success of its proposed research._x000D_
_x000D_
_x000D_
</t>
  </si>
  <si>
    <t>QP0589419</t>
  </si>
  <si>
    <t>Kalyanasundaram</t>
  </si>
  <si>
    <t>kalyan@cs.georgetown.edu</t>
  </si>
  <si>
    <t xml:space="preserve">In the context of the five review elements, please _x000D_
evaluate the strengths and weaknesses of the proposal with respect to intellectual merit._x000D_
_x000D_
The major theme of the project is to explore the power and limitations of summaries for problems in geometric setup.  The proposal outlines two major thrusts:_x000D_
_x000D_
1.  Use summaries (thus reduce the size significantly) to speed up the solution of some 'exact' (i.e., not approximation) algorithms._x000D_
2.  Use summaries to approximate geometric/topological features (triangles etc) of the data._x000D_
_x000D_
Problems considered in the proposal are fundamental.  These are solid problems with long history.  The PI is proposing incremental progress at various levels.  Often the questions are open-ended.  For instance, Can we design xyz algorithm for abc?  _x000D_
_x000D_
After evaluating the qualification of the PI, this reviewer is  confident that the PI will be successful in making progress on many of the proposed questions.  The PI has identified many interesting short (medium and long) term problems.  These represent a logical and coherent progression on open research problems (e.g., finding faster summary based algorithm for min-cost matching and min-cost flow in planar graphs to extending the method to non-planar graphs with small separators)._x000D_
_x000D_
In the context of the five review elements, please _x000D_
evaluate the strengths and weaknesses of the proposal with respect to broader impacts._x000D_
_x000D_
Problems considered in this proposal have implications beyond theory/algorithms or Computer Science.  PI plans to develop software for approximate Delaunay Triangulation and make it available for public.  There is a student driven/centric project of identifying redundant geometric structures in various applications.  The PI plans to develop similarity measures and implement them as course projects, thus involving graduate students.  Other standard BI efforts such as teaching undergrad courses and mentoring are evident in the proposal._x000D_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some results in improved online bounds for random arrival model)._x000D_
_x000D_
Summary Statement_x000D_
_x000D_
The proposal is well organized and written.  The PI clearly presents relevant literature, his own work and intuition and follows it up with open problems.  It would be useful to identify specific challenges that the PI sees and how he plans to overcome such challenges.  This is clearly a strong proposal._x000D_
_x000D_
</t>
  </si>
  <si>
    <t>PZ0575695</t>
  </si>
  <si>
    <t>Mount</t>
  </si>
  <si>
    <t>mount@cs.umd.edu</t>
  </si>
  <si>
    <t xml:space="preserve">In the context of the five review elements, please _x000D_
evaluate the strengths and weaknesses of the proposal with respect to intellectual merit._x000D_
_x000D_
This proposal broadly studies the topic of the design of summaries for some computational problems. A "summary" is a small-sized representation that encodes the essential properties of a much larger data set. The proposal focuses on two directions:_x000D_
_x000D_
1) The design of summaries that can be applied to speed up exact algorithms (which is in contrast to existing work in computational geometry, in which summaries are used to produce approximate solutions)._x000D_
_x000D_
2) The design of summaries that approximate the geometric and topological features of the shape represented by a point cloud._x000D_
_x000D_
Work on the first problem involves extensions of two approaches for computing minimum-cost flows in geometric contexts. One approach involves a concise representation of the residual graphs for planar graphs. The other involves a clever scaling trick to overcome issues involved in computing exact sums of Euclidean distances for geometric graphs. The second direction involves a number of issues related to efficiently analyzing shapes, including compact approximations to the Delaunay triangulation and the Cech complex._x000D_
_x000D_
The nature of the proposed work is a bit limited in its scope, but these are computational problems of broad interest. Progress on either of these directions will involve the development of new techniques and tools, and success will be a significant contribution to the state of the art in these areas._x000D_
_x000D_
In the context of the five review elements, please _x000D_
evaluate the strengths and weaknesses of the proposal with respect to broader impacts._x000D_
_x000D_
The educational plan proposes the creation of a new graduate-level course that will be centered around a concrete application in redundancy-based geometric compression. The educational plan also involves a collaboration with fellow colleague to develop a visualization of the Hungarian Algorithm, and efforts for earlier integration of mathematical concepts into the undergraduate curriculum. Furthermore, the PI plans to present lectures for high-school students at a summer workshop at Rutgers University._x000D_
_x000D_
Please evaluate the strengths and _x000D_
weaknesses of the proposal with respect to any additional solicitation-specific review criteria, if _x000D_
applicable_x000D_
_x000D_
_x000D_
_x000D_
Summary Statement_x000D_
_x000D_
The proposal is well written and the proposed work, while somewhat narrow in its scope, addresses two general topics of wide interest. The PI has a solid publication record, and he has been quite successful in tackling complex technical problems._x000D_
_x000D_
</t>
  </si>
  <si>
    <t>Summaries are useful in handling big data. For example, we can use summaries to succinctly store, transmit and analyze data. We can also speed-up approximation algorithms by executing them on  a carefully constructed summary._x000D_
There are many ways to construct a summary. A very useful summary involves choosing a small sample of representatives of the input in order to capture its essential properties. In this project, the PI will expand the paradigm of summaries and integrate the results with education in the context of problems involving geometric data in three ways:_x000D_
(i)	Introduce new summaries that assist in computing exact solutions for routing and flow problems in geometric networks. Previous methods give only approximate solutions;_x000D_
(ii)	Design new summaries that approximate the geometry and topological features of shapes of high dimensional point clouds by compactly representing its building blocks, i.e., the edges, triangle, tetrahedrons and the higher order simplices that form this shape and; _x000D_
(iii)	Integrate research with education by introducing students to a novel redundancy based geometric summary through a competitive course project.  _x000D_
The summaries designed in this project will improved solutions for fundamental algorithmic questions arising in computational geometry and extend beyond and lead to progress in fundamental problems in graph theory, discrete metric space theory, statistical and topological data analysis and data compression.This project will enhance the scope and applicability of geometric summaries in multiple ways.  First, for the geometric routing and flow problems, this project will introduce summaries of residual flow network which leads to faster exact algorithms. Traditional methods like network spanners lead to only an approximate solution, whereas the summaries in this project assist in giving exact solutions. The PI expects these techniques to go beyond geometry and lead to solutions for general graphs. Next, the PI will study geometric summaries for approximating the geometry and topology of the shape of high dimensional point clouds. One of the key ingredients of the proposed work is approximating the well-known Delaunay triangulation and a closely related simplicial complex called the alpha complex. The PI will introduce the notion of an approximate Delaunay triangulation which will potentially have a substantially smaller size than its exact counterpart. As a result, we can achieve compact and approximate shape representation of high-dimensional point clouds.  The summaries developed in this project will compactly represent the building blocks of shapes, namely, points, edges, triangles, tetrahedrons and their higher dimensional simplices. Such techniques along with existing high-dimensional tools can lead to summaries that avoid the curse of dimensionality. The PI expects these techniques to be applicable in the broader context of topological and statistical data analysis not only for geometric spaces but for any discrete metric space. Lastly, this project also initiates redundancy based summaries and studies the impact of such summaries on storage and computation time.The solutions in this project will provide deep insights into classical problems leading to improvements in decades old solutions. The algorithms for compact shape representation are useful in the context of data analysis and machine learning. The PI will implement some of the new algorithms and make the code available for use in industry and academia._x000D_
The problem of geometric redundancy based summaries will be used to compactly store and compute on large-scale geometric data especially in the context of VLSI layouts. As part of a class, the PI will devise a new active learning strategy and conduct a competition where students will come up with their own method to detect redundancy and compress such layouts. The lectures for this class will be made public. The PI will also work with the Algorithms Visualization Group at Virginia Tech to create visualization for network flow algorithms such as the Hungarian Method. The research generated through this project can be integrated into an interdisciplinary plan with the Mathematics and Operations Research departments. Overall, the research carried out will redefine traditional methods to substantially improve solutions in theory and practice.</t>
  </si>
  <si>
    <t xml:space="preserve"> Panel Summary       
 SUMMARY OF PROPOSED RESEARCH ACTIVITY_x000D_
_x000D_
This proposal explores fundamental questions in coding theory for interactive communication and computations when noise is present.  Major problems considered are:_x000D_
_x000D_
1) Rate vs Error resilience for coding for interactive communication. _x000D_
2) Explicitly constructing tree codes _x000D_
_x000D_
INTELLECTUAL MERIT_x000D_
_x000D_
The core problem considered in the proposal is fundamental.  Many conjectures of the PI are investigated in the proposal.  _x000D_
_x000D_
Positives:_x000D_
1.  The problem considered is a fundamental._x000D_
2.  The proposal is well thought out and written_x000D_
3.  The proposal is building on PI's prior work._x000D_
4.  PI is highly qualified and has produced high quality work in the past._x000D_
_x000D_
Negatives:_x000D_
1.  The proposal is narrow relative to other proposals._x000D_
2.  Given the context of recent work on Tree codes, what applications benefit from the extensions (on Tree codes) proposed?_x000D_
3.  PI did not address potential overlap between this proposal and previously awarded NSF grants._x000D_
_x000D_
BROADER IMPACTS_x000D_
_x000D_
1. Interactive communication and computation will have a profound impact on many things we do in technology.  _x000D_
2. PI has a good track-record of involving both undergraduate and graduate in his research.  Pi is currently advising 4 graduate students._x000D_
3. PI is actively developing courses that educate foundational theoretical ideas to both undergraduate and graduate students. _x000D_
4. PI is an on-site coach for CMU ICPC team to world finals in Thailand._x000D_
_x000D_
CAREER SOLICITATION-SPECIFIC REMARKS:_x000D_
_x000D_
Letter of institutional commitment:  Fine._x000D_
_x000D_
Integration of research and education: Very good.  The PI is actively developing courses that educate foundational theoretical ideas to both undergraduate and graduate students. The PI is an on-site coach for CMU ICPC team to world finals in Thailand. _x000D_
_x000D_
ADDITIONAL REMARKS_x000D_
_x000D_
Research plan: Well thought out._x000D_
_x000D_
Collaboration plan: Not applicable._x000D_
_x000D_
Postdoc Mentoring plan: Not applicable._x000D_
 _x000D_
Data Management Plan: Adequate_x000D_
_x000D_
Results of prior support:  Very strong outcome from prior support._x000D_
  _x000D_
SUMMARY STATEMENT_x000D_
_x000D_
This is a strong proposal from a strong PI. However, the proposal _x000D_
appears to be narrow in scope for a CAREER proposal (e.g., just two _x000D_
main problems are being considered and several of the conjectures to _x000D_
be considered were proposed by the PI himself), especially in _x000D_
comparison with competing submissions. The proposal would be _x000D_
strengthened if the scope were expanded a bit and connections with a _x000D_
wider set of problems were drawn.  _x000D_
_x000D_
The recommendation of the panel is:_x000D_
_x000D_
___ Highly Competitive_x000D_
_X_ Competitive_x000D_
___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</si>
  <si>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This proposal explores fundamental questions in interactive communication and computations when noise is present.  This field has a long history and the PI is an active member of the research community.  Many foundational results on dealing with noise are known when the communication is one-shot.  Things change dramatically when interaction is allowed.  Any misstep could lead incorrect answer and it is hard to correct individually under global error rate.  In early 90s, Schulman showed how to protect interactive protocols using tree-codes.  No efficient tree-code construction (that is efficient to decode) exists so far._x000D_
_x000D_
The PI considers various error models and schemes but the core problems, tradeoff between communication and error rate and efficient decodable tree-code construction, remain the same.  In prior work, the PI has conjectured various bounds for various models and plans to pursue these bounds.  In the search of explicit construction of efficiently decodable tree-codes the PI have viable intermediate steps.  The PI makes a convincing argument as to why his approach may succeed.  Clearly, the PI is one of the young leaders in the field.  I expect progress on these foundational problems._x000D_
_x000D_
The PI has a small AF grant.   While the title may suggest little or no overlap with this project, I would like to see an explicit statement from the PI regarding potential overlap between this (or other proposals) and the career proposal.   The PI has reported excellent progress on IM.  The PI has successfully involved students and presented his results in international venues._x000D_
_x000D_
_x000D_
In the context of the five review elements, please _x000D_
evaluate the strengths and weaknesses of the proposal with respect to broader impacts._x000D_
_x000D_
The impact of coding theory and reliable communication in society is well known.  There is no doubt that a strong theory of reliable interactive communication will have a profound impact on many things we do in technology.  On the intellectual side, the broader impact is huge.  The PI has a good track-record of involving both undergraduate and graduate students so far.   The PI is actively developing courses that educate foundational theoretical ideas to both undergraduate and graduate students.  The PI is an on-site coach for CMU ICPC team to world finals in Thailand.  He is currently advising 4 graduate students and plans to co-advise some more students._x000D_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The proposal is well written.  This is a strong proposal addressing a fundamental question that will have a huge impact on our technology/society.  The PI is very capable of making serious progress on these questions._x000D_
_x000D_
</t>
  </si>
  <si>
    <t>HP0821040</t>
  </si>
  <si>
    <t>Sahai</t>
  </si>
  <si>
    <t>sahai@cs.ucla.edu</t>
  </si>
  <si>
    <t xml:space="preserve">In the context of the five review elements, please _x000D_
evaluate the strengths and weaknesses of the proposal with respect to intellectual merit._x000D_
_x000D_
Please note: There is a concern that this proposal overlaps with another funded proposal by the PI:_x000D_
_x000D_
1618280:CCF-BSF: AF: Small: Coding for Distributed Computing_x000D_
_x000D_
This very recent funded award is not discussed at all, anywhere in the proposal that I could see._x000D_
_x000D_
I do not have access to the proposal for the award mentioned above. Because of this, I cannot address overlap issues. I was advised by NSF that I should raise this issue for discussion by the panel._x000D_
_x000D_
=====_x000D_
_x000D_
This proposal broadly covers the area of coding for interactive communication (the first 3 pages of the proposal is devoted to a general discussion of this area, including a general overview of prior works). More concretely, the PI proposes to focus on two problems:_x000D_
_x000D_
1) Exploring Rate vs Error resilience for coding for interactive communication._x000D_
_x000D_
2) Explicitly constructing tree codes_x000D_
_x000D_
Strengths (+) &amp; Weaknesses (-)._x000D_
_x000D_
+ These problems represent the current frontier in our understanding of this area. _x000D_
_x000D_
- Focusing on the rate question: While this is a very interesting and fundamental problem, it is somewhat less basic a question than the question of initial feasibility --i.e. asking whether it is possible at all to achieve asymptotically good efficient interactive coding, a question that has largely been answered positively already in the 2-party setting considered here._x000D_
_x000D_
- The above concern shows itself in the proposal in that the relevant section of the proposal is mostly about proving certain conjectures of the PI published two years ago (2014). The ideas in this section, in the opinion of this reviewer, are somewhat lacking in originality. This criticism should not be taken as a major; the suggestion here is that instead the panel should compare the quality of ideas found here to other proposals._x000D_
_x000D_
+ The second objective, of explicitly constructing tree codes with efficient encoding and decoding, is a problem that is extremely important and well-motivated (theoretically)._x000D_
_x000D_
+ The PI sketches a novel construction idea using RS codes. This reviewer is quite skeptical of how imminently this approach can yield a comprehensive positive answer, however, this is to be expected from a 5-year CAREER proposal. The PI's ideas show that the PI has thought deeply about this difficult question._x000D_
_x000D_
+ The PI is eminently qualified for this research. Indeed, he and Mark Braverman co-led a tutorial/workshop on this topic at FOCS 2016._x000D_
_x000D_
_x000D_
_x000D_
_x000D_
_x000D_
_x000D_
_x000D_
_x000D_
In the context of the five review elements, please _x000D_
evaluate the strengths and weaknesses of the proposal with respect to broader impacts._x000D_
_x000D_
The PI gives a broader impact plan that involves undergraduate and graduate teaching, undergraduate and graduate research supervision, working with student groups, and tutorials and workshops._x000D_
_x000D_
Strengths:_x000D_
_x000D_
+ The PI is an on-site coach for the ACM ICPC team at CMU._x000D_
_x000D_
+ The PI already co-led a tutorial/workshop at FOCS 2016 (mentioned in the proposal as happening at STOC)._x000D_
_x000D_
Weaknesses:_x000D_
_x000D_
- The outreach to underrepresented groups is limited. However, this is to be expected with a PI just starting as a professor. _x000D_
_x000D_
_x000D_
_x000D_
Please evaluate the strengths and _x000D_
weaknesses of the proposal with respect to any additional solicitation-specific review criteria, if _x000D_
applicable_x000D_
_x000D_
N/A_x000D_
_x000D_
Summary Statement_x000D_
_x000D_
This is a solid proposal, especially the portion that deals with the extremely important problem of explicit tree code constructions, by an excellent PI._x000D_
_x000D_
</t>
  </si>
  <si>
    <t xml:space="preserve">In the context of the five review elements, please _x000D_
evaluate the strengths and weaknesses of the proposal with respect to intellectual merit._x000D_
_x000D_
Summary:_x000D_
_x000D_
- Overview:_x000D_
The proposal is focused on two areas in 'interactive communications' - _x000D_
(a) settings where there is a 'forward' channel from source to destination and also a 'back' channel (typically with much less capacity) going the other way. The presence of the back channel means much less is known thepretically about this setting than the (more common) strictly one-way setting._x000D_
(b) settings where inputs arrive in a sequence and the codeword has to be 'immediately' output - as opposed to waiting for a block of inputs and then outputting a block of code symbols._x000D_
_x000D_
- IM: _x000D_
The PI aims to focus on two goals, stated in two sections: _x000D_
for setting (a), finding fundamental bounds (with the focus in that section being on outer bounds) on reliability vs rate, and _x000D_
for setting (b), the design of explicit and efficient tree codes. In each of the sections several specific approaches are outlined, some based on work by the PI. _x000D_
_x000D_
Strengths:_x000D_
_x000D_
- The proposal seems very well thought out, with specific problems and approaches presented in good detail. _x000D_
- This is very much in line with the PIs recent work, and the PI seems quite qualified and involved in this direction already._x000D_
- Both problems identified are core in their disciplines._x000D_
_x000D_
Weaknesses:_x000D_
_x000D_
- Finding more specific applications which are crying out for tree codes or other such interactive communication settings would have significantly strengthened the proposal. While the PI mentions 'cloud computing and other distributed systems', these terms are broad and generic enough to be somewhat meaningless in this context. Of course the focus is on the theory, but not all hard problems are worth solving and it would be good to make a better reality-based case for this line of work._x000D_
_x000D_
_x000D_
In the context of the five review elements, please _x000D_
evaluate the strengths and weaknesses of the proposal with respect to broader impacts._x000D_
_x000D_
Strengths:_x000D_
_x000D_
The PI seems to have made a thoughtful attempt at maximizing the educational impact of his research._x000D_
On the research side, progress here could have the potential to advance understanding / generate new ideas in fields and problems that are related to (but not the same as) the two focus areas of this proposal._x000D_
_x000D_
Weaknesses:_x000D_
_x000D_
The proposal is somewhat narrowly focused. Topics like tree codes have been known for many years, yet their impact on practice remains yet to be proven._x000D_
_x000D_
_x000D_
Please evaluate the strengths and _x000D_
weaknesses of the proposal with respect to any additional solicitation-specific review criteria, if _x000D_
applicable_x000D_
_x000D_
_x000D_
_x000D_
Summary Statement_x000D_
_x000D_
A well thought out proposal with clear goals and many ideas by a qualified PI, that is however somewhat narrow in its focus._x000D_
_x000D_
</t>
  </si>
  <si>
    <t xml:space="preserve">In the context of the five review elements, please _x000D_
evaluate the strengths and weaknesses of the proposal with respect to intellectual merit._x000D_
_x000D_
The PI proposes to extend the classic work on error-correcting codes_x000D_
initiated by Shannon on reliable communication in the presence of_x000D_
errors, which focused on protecting a single message, to the_x000D_
interactive case, where multiple interleaved exchanges of_x000D_
communication occur.  Although in this area is ongoing---including_x000D_
much by the PI already---numerous challenging and important problems_x000D_
remain.  A high level discussion of many related questions was given,_x000D_
but two problems in particular were singled out: (1) determine_x000D_
tradeoffs between communication rate and error rate, with random_x000D_
errors and with adversarial errors, and (2) find an explicit_x000D_
construction for tree-codes._x000D_
_x000D_
These are fundamental mathematical questions, and have connections to_x000D_
numerous other areas of computer science and information theory._x000D_
Applications include broad and important areas of interactive proofs,_x000D_
fault-tolerant computing, distributed checkpointing, cloud computing,_x000D_
and machine learning._x000D_
_x000D_
The PI has outlined fairly detailed ideas for how to solve these_x000D_
problems.  Much is based on prior work by the PI and others (e.g., the_x000D_
cut-off approach for the first problem) but new ideas will be needed_x000D_
(e.g., insights about matching the speaking order for the first_x000D_
problem, and the use of systematic Reed-Solomon codes for the second_x000D_
problem)._x000D_
_x000D_
Success can easily be measured as to whether the algorithms and lower_x000D_
bounds discussed are achieved (even if this is not explicitly stated)._x000D_
_x000D_
The PI is eminently qualified to take on this work, as he has already_x000D_
authored numerous high-impact papers in the area.  Institutional_x000D_
resources are certainly adequate._x000D_
_x000D_
Strengths:  The proposal sets the problems in context very well,_x000D_
motivates them, and provides clear explanations for the approaches to_x000D_
be taken and why they are likely to be successful._x000D_
_x000D_
Weaknesses:  A small presentation question struck me.  Isn't Objective 2_x000D_
(page 5) a subpart of Object 1 (part 4)?_x000D_
_x000D_
Suggestions for Improvement:  I have no substantial suggestions_x000D_
(there are a few small typos)._x000D_
_x000D_
_x000D_
_x000D_
In the context of the five review elements, please _x000D_
evaluate the strengths and weaknesses of the proposal with respect to broader impacts._x000D_
_x000D_
The practical impact of the proposed work would affect distributed systems_x000D_
such as cloud computing systems and application checkpointing methods._x000D_
_x000D_
The PI plans to include (or continue including) undergraduates in his_x000D_
research program and to continue to mentor graduate students.  He_x000D_
plans to use CMU's existing SCS4all student organization to help_x000D_
recruit people from under-represented groups into his group, and to_x000D_
work hard to eliminate unconsious bias from his decision-making_x000D_
relating to hiring and admissions._x000D_
_x000D_
Outreach activities include organizing workshops, writing an overview_x000D_
article, and giving general audience talks._x000D_
_x000D_
Strengths: The PI's past activities indicate that he is committed to_x000D_
improving the educational experiences, both in the classroom and in_x000D_
his research group.  He is also very active in the research community._x000D_
_x000D_
Weaknesses: Sections 3.1 (course development) and 3.5 (ACO Program)_x000D_
could be clearer about what is being proposed to be done in the_x000D_
future, instead of only listing what has been done in the past.  I_x000D_
suppose the implication is that similar activities will be continued._x000D_
_x000D_
Suggestions for Improvement:  Clarify what the future educational plans are._x000D_
_x000D_
_x000D_
_x000D_
Please evaluate the strengths and _x000D_
weaknesses of the proposal with respect to any additional solicitation-specific review criteria, if _x000D_
applicable_x000D_
_x000D_
_x000D_
_x000D_
Summary Statement_x000D_
_x000D_
This is an excellent proposal judging the intellectual merit.  It has_x000D_
identified very important and difficult problems in coding theory and_x000D_
outlined credible approaches to solving them.  The future broader impacts_x000D_
activities could be articulated more explicitly._x000D_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</si>
  <si>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 a lot of attention and the PI has been on the forefront of this effort._x000D_
_x000D_
This proposals outlines the PI's plan to further drive this research direction over the next five years. In addition to giving a large number of interesting aspects to study, it includes detailed approaches for determining the fundamental communication rate limits for error correction in interactive communications, and for explicitly constructing tree-codes, a powerful but so-far elusive type of online-code. These are two of the most important and fundamental problems of the area. It also outlines initiatives of the PI to inform and excite undergraduates, graduate students, the scientific community, and the general public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furthermore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Lastly, while the primary goal of this proposal is of theoretical nature the improved understanding and the simple yet powerful methods of adding redundancy and error correction capabilities to interactive communication and computation processes are also likely to feed back into, inform, power, and transform future technologies, such as cloud computing and other distributed systems.</t>
  </si>
  <si>
    <t xml:space="preserve"> Panel Summary       
 SUMMARY OF PROPOSED RESEARCH ACTIVITY_x000D_
_x000D_
The main proposal addresses the fundamental question of performing_x000D_
approximate query testing when we do not have access to full data -_x000D_
via the use of the sum of squares method._x000D_
_x000D_
The main discussion centered on asking the question - is this_x000D_
work advancing the state of the art in sum of squares? Since sum of_x000D_
squares are being used as a tool, is this proposal too narrow in_x000D_
scope for a CAREER award?_x000D_
_x000D_
Does the model considered actually capture noise in data which relates_x000D_
to some of the applications mentioned?_x000D_
_x000D_
_x000D_
INTELLECTUAL MERIT_x000D_
_x000D_
strengths:_x000D_
The panel thought this was a novel proposal in a topic at the intersection_x000D_
of theoretical computer science and machine learning._x000D_
_x000D_
_x000D_
weaknesses &amp; suggestions for improvement:_x000D_
_x000D_
The proposal was not written in an accessible manner, and_x000D_
needs to explain the connections of the main thrust in a clearer_x000D_
manner to the applications of natural language processing and_x000D_
vision._x000D_
_x000D_
_x000D_
BROADER IMPACTS_x000D_
Good work with undergraduates students was noted._x000D_
_x000D_
_x000D_
CAREER SOLICITATION-SPECIFIC REMARKS:_x000D_
_x000D_
Letter of institutional commitment. Submitted._x000D_
_x000D_
Integration of research and education: _x000D_
Good participation of undergraduate researchers via an REU program._x000D_
Plans to incorporate more active methods of learning._x000D_
_x000D_
_x000D_
ADDITIONAL REMARKS_x000D_
_x000D_
Research plan: This is normal CAREER proposal with the span of five years._x000D_
The scope of the project and the requested funds are pretty standard._x000D_
_x000D_
Data Management Plan: Adequate._x000D_
_x000D_
Results of prior support: No prior NSF support._x000D_
_x000D_
_x000D_
_x000D_
_x000D_
SUMMARY STATEMENT_x000D_
_x000D_
The proposal is essentially proposing to use the sum of squares methodology to solve (approximate) boolean query problems. More_x000D_
effort could be spent in articulating the importance of these problems._x000D_
The writing of the proposal merits an overhaul, the aims need to be clearly specified and perhaps including some compelling examples. _x000D_
_x000D_
_x000D_
The recommendation of the panel is_x000D_
___ Highly Competitive_x000D_
___ Competitive_x000D_
_X__ Low Competitive_x000D_
___ Not Competitive_x000D_
_x000D_
_x000D_
The panelists concur that the Panel Summary accurately reflects the panel discussion. 
</t>
  </si>
  <si>
    <t xml:space="preserve">In the context of the five review elements, please _x000D_
evaluate the strengths and weaknesses of the proposal with respect to intellectual merit._x000D_
_x000D_
The major theme of this project is to explore data analysis through the lens of "sum of squares proof systems."  Interesting and innovative knowledge discovery can result from this process.    A fundamental process, referred to as Approximate Query Testing Problem for a Proof System, introduced by the PI is a driving force of this project.  In order to test whether a query formula is (1-\epsilon) -valid, it suffices to test some collection of formulas on partial inputs.  The discovered knowledge could be these formulas (aka. common sense reasoning)._x000D_
_x000D_
This proposal revolves around approximate query testing problem for a proof system. The goal is to find a proof of validity of a query in the proof system from a collection of rules that operate under "partial/masked" input.  This formalization is well motivated where one could argue the query  under investigation could be a vital information that we want to verify and partially-masked input are observations.  The PI plans to investigate the query testing problem for the sum-of-squares proof system.  The claim here is that this approach to this problem only requires deciding the approximate feasibility of a semidefinite program which is known to be tractable.  The PI plans to exploit the powers of sum-of-squares proof system and carefully spells out the potential properties.  The proposal, as written, is not self-contatined and not easily accessible to readers who have not worked in this specific area.  This is a major drawback. The PI spells out project goals and argues why approximate query testing problems is easier than the classical proof search problem.  There is a big disjoint between specific problems proposed and the potential of achieving the high level goal of knowledge discovery.  The proposal, as written,  fails to convince the reader the potential of such knowledge discovery._x000D_
_x000D_
In the context of the five review elements, please _x000D_
evaluate the strengths and weaknesses of the proposal with respect to broader impacts._x000D_
_x000D_
The PI presents interesting case studies for sum-of-square analytics.  Two such cases are:Computer Vision, and Natural Language Processing.  The PI and his student have made progress in Computer Vision project by pursuing a lip-reading system using curve fitting on lip shapes.  In addition, this panelist appreciates PI's effort in involving students (graduate and undergraduate levels) on these research projects.  The PI's effort on broadening participation is also appreciated._x000D_
_x000D_
Please evaluate the strengths and _x000D_
weaknesses of the proposal with respect to any additional solicitation-specific review criteria, if _x000D_
applicable_x000D_
_x000D_
_x000D_
_x000D_
Summary Statement_x000D_
_x000D_
The content of the proposal demands a rich vocabulary that can't be easily explained within the limited space.  Yet, this panelist felt that the proposal failed to bring out the "potential" of this line of research.  Identifying short term and long term goals and possibly connecting them with case-studies will help.  There is a great potential for knowledge discovery.  Unfortunately the proposal failed to convey the message._x000D_
_x000D_
</t>
  </si>
  <si>
    <t>NP0980645</t>
  </si>
  <si>
    <t>Moitra</t>
  </si>
  <si>
    <t>moitra@mit.edu</t>
  </si>
  <si>
    <t xml:space="preserve">In the context of the five review elements, please _x000D_
evaluate the strengths and weaknesses of the proposal with respect to intellectual merit._x000D_
_x000D_
In my opinion, the main technical strength of the proposal is the fact that it studies a novel, interesting problem at the intersection of theoretical computer science and machine learning. _x000D_
_x000D_
There has already been a considerable amount of work on learning in the presence of missing, incomplete data. However most of the time such problems are cast in a way that we have already decided on an underlying model, and the problem is to fit the best model in the family. What I like about the question studied here is that in contrast, it asks what the (incomplete) data can tell you in various proof systems. Such a framework seems more apt for exploratory data analysis, and settings where one has not decided on some family of models as an approximator to the distribution already. _x000D_
_x000D_
On a conceptual level, I would have been good if the PI had discussed whether there are any natural extensions to noisy data. In fact, some of the applications (e.g. to computer vision) seem to be settings where there is no missing data, just noise at the pixel level. _x000D_
_x000D_
On a technical level, I like that the approximate query testing framework leads to some novel technical questions which are natural in their own right. The PI asks whether there are efficient algorithms to test for sum-of-squares proofs, which is a natural question that ought to be interesting to both those working in sum-of-squares and in property testing. Another interesting technical direction is in the relationship between sum-of-squares and tree-like polynomial calculus with resolution. It seems surprising to me that it is not known that the former is stronger than the latter, and perhaps even more surprising that the PI conjectures that they are equivalent in power. The PI has some interesting partial progress with an undergraduate on this question. Coupled with Project Goal 3, this would be an interesting case study where asking to derive an expression or probabilitically derive an expression with respect to a distribution (in this case, masking the samples uniformly at random)._x000D_
_x000D_
In the context of the five review elements, please _x000D_
evaluate the strengths and weaknesses of the proposal with respect to broader impacts._x000D_
_x000D_
The PI has been involved in mentoring undergraduates (6 advised already, 2 of which were female). The PI has also developed some interesting graduate courses on the theory of AI/ML and automated reasoning, and the proposed research sits at the intersection between these two areas. Finally, the PI plans to redesign some of the central undergraduate courses in computer science.  _x000D_
_x000D_
Perhaps the most interesting aspect of this proposal, as it relates to broader impact, are the potential applications to manifold learning, computer vision and natural language processing. In computer vision, it seems like the types of ideas here might be an interesting generalization of the usual curve-fitting steps done at lower layers. And in natural language processing, certainly integer linear programming plays a key role in structure learning and parsing and at the very least it seems to me that running sum-of-squares approaches would be an interesting experiment that might lead to some practical improvements._x000D_
_x000D_
Please evaluate the strengths and _x000D_
weaknesses of the proposal with respect to any additional solicitation-specific review criteria, if _x000D_
applicable_x000D_
_x000D_
The PI is well-qualified to conduct this research. My only technical reservation about this proposal is that it seems a bit narrow for a CAREER grant. I think there are a lot of other possible connections to be drawn between learning, automated reasoning and proof complexity which could make for a more broad proposal._x000D_
_x000D_
Summary Statement_x000D_
_x000D_
In earlier work, the PI introduced a framework for making deductions on incomplete samples of data, called approximate query testing. Such a framework becomes more powerful when more flexible rules of deduction are allowed. The main focus of this proposal is on instantiating this framework with the sum-of-squares proof system, which leads to a number of interesting theoretical questions as well as some candidate applications spanning manifold learning, computer vision and natural language processing._x000D_
_x000D_
</t>
  </si>
  <si>
    <t xml:space="preserve">In the context of the five review elements, please _x000D_
evaluate the strengths and weaknesses of the proposal with respect to intellectual merit._x000D_
_x000D_
- Overview:_x000D_
_x000D_
The main aim of section 3 seems to be approach the problem of approximate query testing via a sum of squares methodology. The problem: given partial vector samples (each with some coordinates erased) and the value of a function evaluated on the 'underlying' full sample, determine if there is a distribution D over full samples such that the probability of the function value for a sample from D has probability bigger than 1-epsilon.  _x000D_
_x000D_
- IM: _x000D_
_x000D_
- One of the specific tasks, approximate query testing via sum of squares, seems to be basically an application of a seemingly more general existing result (Theorem 2) on sum of squares to this problem._x000D_
_x000D_
- The majority of the proposal seems to apply to sum of squares in the boolean context; what specifically are applications where the variables are boolean ? E.g. those listed in Section 6 seem primarily for continuous variable settings. More generally, the paper does not make a case for why the problems stated therein are interesting or important, either to applications or to other fields of theory. _x000D_
_x000D_
- Stylistically, this proposal is so unconventionally written, that some parts are very hard to parse. E.g._x000D_
(a) 'reliable / integrated knowledge discovery' is not a well defined objectives or terms; this makes the entire section 1.1, and most of section 1.2 hard to understand in the sense of precisely what is being claimed / stated._x000D_
(b) It is not clear what a 'proof that a query is satisfied (e.g. a resolution proof)' means. The PI should not assume that terms like 'proof system' (as e.g. mentioned in Defn 3) are known to a broader CS theory audience._x000D_
(c) statements like Theorem 3, stated without requisite context, are hard to understand._x000D_
_x000D_
_x000D_
_x000D_
In the context of the five review elements, please _x000D_
evaluate the strengths and weaknesses of the proposal with respect to broader impacts._x000D_
_x000D_
- The section 1.4 on broader impacts seems to be a a generic paragraph on learning in general, focusing on things like SVMs etc that are not actually part of this proposal._x000D_
_x000D_
- For better broader impact in research, the proposal would greatly benefit from a more clear elucidation of both the specific problems, and more detailed descriptions of their connections to applications._x000D_
_x000D_
_x000D_
_x000D_
Please evaluate the strengths and _x000D_
weaknesses of the proposal with respect to any additional solicitation-specific review criteria, if _x000D_
applicable_x000D_
_x000D_
_x000D_
_x000D_
Summary Statement_x000D_
_x000D_
A somewhat strangely written proposal that is essentially on using the sum of squares methodology to solve boolean query problems. The writing of the proposal merits an overhaul, the aims need to be clearly specified. As it currently stands the proposal is hard/impossible to parse, and also does not make a case that the problems it is trying to solve are interesting / worth solving._x000D_
_x000D_
_x000D_
</t>
  </si>
  <si>
    <t xml:space="preserve"> Panel Summary       
 SUMMARY OF PROPOSED RESEARCH ACTIVITY_x000D_
_x000D_
This proposal is primarily about resource allocation and scheduling. The PI plans to improve approximation algorithms through strengthening Linear Programs, improving Rounding Algorithms, applying SDP Hierarchy approaches and developing better models in co-operation with applied researchers._x000D_
_x000D_
INTELLECTUAL MERIT_x000D_
_x000D_
positives/strengths: _x000D_
- PI has a strong record (on these problems)_x000D_
- an interesting collection of problems and questions proposed_x000D_
- fundamental resource allocation problems along with plausible techniques LP/SDP_x000D_
- reasonable execution plan _x000D_
_x000D_
negatives/weaknesses:_x000D_
 _x000D_
- It appears that the proposal is written in haste.  There are several misspellings in the proposal (notable instances: could =&gt; cloud, SPD =&gt; SDP). _x000D_
- There are other LP rounding methods like pipage rounding and its extensions and reformulations. How do they help?  _x000D_
- Not very novel or transformative ideas or approaches_x000D_
- More specifics on preliminary approaches could be more convincing_x000D_
- Some proposed problems are too general_x000D_
- more concrete questions leading to generic questions could considerably strengthen the proposal_x000D_
_x000D_
_x000D_
BROADER IMPACTS_x000D_
_x000D_
- Resource allocation problems are fundamental and they appear in many different forms. A good solution will have significant broader impact. _x000D_
_x000D_
- PI's initiative in restructuring undergraduate curriculum to include adequate topics in data structure and algorithms. _x000D_
_x000D_
-PI has advised two female undergraduate students. _x000D_
_x000D_
- Joint work undergraduate students are under submission to NIPS and VLDB. _x000D_
_x000D_
- Helping K-12 kids to learn CS through Maker labs project._x000D_
_x000D_
CAREER SOLICITATION-SPECIFIC REMARKS:_x000D_
_x000D_
Letter of institutional commitment. Fine_x000D_
_x000D_
Integration of research and education: PI's initiating restructuring undergraduate curriculum to include adequate topics in data structure and algorithms. PI is submitting papers with his students._x000D_
_x000D_
ADDITIONAL REMARKS_x000D_
_x000D_
Research plan: Fine_x000D_
_x000D_
Collaboration plan: Not Applicable_x000D_
 _x000D_
Postdoc Mentoring plan:  Not Applicable_x000D_
_x000D_
Data Management Plan: Adequate_x000D_
_x000D_
Results of prior support:Not Applicable_x000D_
  _x000D_
SUMMARY STATEMENT_x000D_
_x000D_
The recommendation of the panel is:_x000D_
Resource allocation problems are fundamental.  Unless there is a convincing argument the improved solution for the resource allocation problem has wider reach, there is a feeling that the progress proposed is  incremental.  In contrast, fundamental breakthrough often demands transformative ideas.  A proposal that conveys transformative ideas to resolve such fundamental problems would be highly rated._x000D_
_x000D_
___ Highly Competitive_x000D_
___ Competitive_x000D_
_X_ Low Competitive_x000D_
___ Not Competitive_x000D_
_x000D_
Summary accurately reflects the panel discussion.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</si>
  <si>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</si>
  <si>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there are an interesting set of 9 research question to be studied_x000D_
- resource allocation problems are important in theory and practice, as are LP rounding methods.  improve these will benefit the theory community as well as a wider audience of those who deal with such problems (now more prevalent as networks/clouds become ubiquitous)._x000D_
- of late, there has been some progress using LP/SDP hierarchies to improve the machine scheduling problems (e.g., LR16) and this sounds a plausible avenue for pursuing further._x000D_
- the execution plan sounds reasonable, as preliminary evidence of why an approach should be possible is given for many of the problems._x000D_
- I do not believe the results of the proposal will be "transformative" but upon successful completion, it will certainly advance our understanding of some LP rounding techniques (in particular, that of adding new constraints to strengthen the program) along with several practically important problems._x000D_
- that the PI has started (and plans to continue) to work with colleagues in neighboring fields to come up with better models for data center scheduling is pretty welcome!  often, the problem is that theoreticians work on abstract problems whose algorithms do not conveniently translate to practical use; likewise, on the other hand, the practitioners typically lack the theoretical understanding to know which models may admit better proven algorithm.  here there is great potential that the PI will be able to design new models that capture a good portion of the requirements of the practical settings and then design appropriate algorithms for them, and these may serve as a lead for further research in the area._x000D_
_x000D_
weaknesses:_x000D_
- some of the proposed research questions are too general, and had better been split into smaller, more specific ones._x000D_
- more details of a timeline for executing the research over five years would be helpful in assessing the progress._x000D_
- the approach is not all that novel._x000D_
- it would have been beneficial to explain SDPs a little bit in the proposal._x000D_
- there are several misspellings in the proposal (notable instances: could =&gt; cloud, SPD =&gt; SDP), making it look like the proposal was written in haste._x000D_
- many important practical applications of scheduling and resource allocation have an online nature.  it would make sense to pay some attention to that aspect, as well._x000D_
- there are other LP rounding methods like pipage rounding and its extensions and reformulations.  these had better be on the radar when working on these problems._x000D_
_x000D_
In the context of the five review elements, please _x000D_
evaluate the strengths and weaknesses of the proposal with respect to broader impacts._x000D_
_x000D_
strengths:_x000D_
- PI plans to offer a tech course to high school students in Chicago.  he also has plans for a "makers lab" course (outside the school) to get the community excited about technology and perhaps pull more students into the sciences._x000D_
- PI is seriously involved with REU activities, and has an eye on increasing diversity and involving underrepresented minorities._x000D_
- PI is planning to organize a bi-annual workshop (gathering theoreticians and practitioners), and prepare a tutorial, as well as the new grad course he will design/teach._x000D_
- the PI is planning to work with colleagues in his university who are experts in parallel computing/systems to design practical models for data center management/scheduling._x000D_
- PI has a good mentoring plan for his students and not only guides them on his own but also carefully plans to expose them to other senior researchers' thinking._x000D_
_x000D_
weaknesses:_x000D_
- more contacts with industry, given that many of the problems have applications in networking and internet sector, would be helpful._x000D_
_x000D_
Please evaluate the strengths and _x000D_
weaknesses of the proposal with respect to any additional solicitation-specific review criteria, if _x000D_
applicable_x000D_
_x000D_
_x000D_
_x000D_
Summary Statement_x000D_
_x000D_
The proposal aims at improving our understanding of certain resource allocation and machine scheduling problems.  Beside some modeling efforts, the main thurst of the proposal is to design better algorithms for the above problems using LP rounding.  This involves adding ad-hoc constraints to the LP or using mechanical methods (like LP/SDP hierarchies) to strengthen the mathematical programs.  Though the ideas are not novel, the proposed research will advance our understanding of the problems under study as well as the general techniques for LP rounding._x000D_
_x000D_
The proposal has a comprehensive education/outreach plan, that serves different segments of the community, within the school and without.  In addition to the research publications, the results will be disseminated in a variety of manners to the broader community._x000D_
_x000D_
Besides, the PI will work with researchers in neighboring areas to design sound models for practical and widely used applications._x000D_
_x000D_
</t>
  </si>
  <si>
    <t>TP0871948</t>
  </si>
  <si>
    <t>Gupta</t>
  </si>
  <si>
    <t>anupamg@cs.cmu.edu</t>
  </si>
  <si>
    <t xml:space="preserve">In the context of the five review elements, please _x000D_
evaluate the strengths and weaknesses of the proposal with respect to intellectual merit._x000D_
_x000D_
The proposal goals are to study resource allocation problems, and to_x000D_
develop better approximation algorithms as well as new theoretical_x000D_
models._x000D_
_x000D_
The first general research goal of the PI is to give valid LP_x000D_
inequalities, for say the problem of minimizing flow time on parallel_x000D_
machines. The natural LPs have integrality gaps and hence the PI_x000D_
proposed a certain class of "job cover" inequalities, which are claimed_x000D_
to give as strong a relaxation as the ones in [1]]. There is not enough_x000D_
information to compare these to the knapsack cover and flow cover_x000D_
inequalities, but this may be a promising direction to consider. _x000D_
_x000D_
Next goal: the idea of using a different rounding schemes for resource_x000D_
allocation problems, in particular flow time problems. The proposed_x000D_
approach here is to do iterative rounding. It would be useful to compare_x000D_
the proposed ideas to previous works that have used quasi-uniform random_x000D_
sampling in related context. For example, the PI may consider looking at_x000D_
the works of Bansal, Krishnaswamy and Saha from APPROX 2011, and of_x000D_
Chan, Grant, Konemann and Sharpe from SODA 2012, which have also_x000D_
considered using the quasi-uniform sampling technique of Varadarajan_x000D_
[69] to get general LP rounding techniques._x000D_
_x000D_
The third goal: using lift-and-project methods for resource allocation_x000D_
problems, here the example is job interval scheduling. The proposal is_x000D_
to use the Lasserre approach to give an improved algorithm. The PI_x000D_
sketches an approach for the unweighted case, and the question would be_x000D_
extend it to the weighted case._x000D_
_x000D_
The problems proposed in these goals are quite substantial. If the_x000D_
project is successful (with one or more of the first three research_x000D_
problems resolved) then the ideas required will be transformative, as_x000D_
the proposal title suggests. One concern I have is this: because the_x000D_
goals are so challenging, I would have liked to see some simpler_x000D_
problems listed here that could ensure partial progress, or more details_x000D_
on the preliminary approaches. This would be useful, because allthough_x000D_
the PI has worked intensively on scheduling and related problems, the_x000D_
proposed techniques are a departure from the PIs previous research._x000D_
_x000D_
The final goal: develop a theoretical model for data center scheduling,_x000D_
that models data locality, networking effects, and other phenomena that_x000D_
arise in this setting. This PI already has previous work related to this_x000D_
part of the proposal, which offers a proof-of-concept for the proposed_x000D_
reserarch agenda on this goal._x000D_
_x000D_
_x000D_
In the context of the five review elements, please _x000D_
evaluate the strengths and weaknesses of the proposal with respect to broader impacts._x000D_
_x000D_
The broader impact involves training graduate and undergraduate_x000D_
students, developing a new course on large data analysis. The PI is_x000D_
drawing on a strong undergraduate student body at Washington University,_x000D_
there already seems to be publishable work with the undergraduates. This_x000D_
is very promising. The PI is working with a non-profit education_x000D_
corporation to engage younger students in computer science. Efforts_x000D_
planned include developing a one-day course on robotics to excite K-12_x000D_
students about technology, which will summarize discoveries in the_x000D_
proposed project. Finally, the organization of a bi-annual workshop on_x000D_
resource allocation to bring practitioners and theoreticians_x000D_
together._x000D_
_x000D_
_x000D_
Please evaluate the strengths and _x000D_
weaknesses of the proposal with respect to any additional solicitation-specific review criteria, if _x000D_
applicable_x000D_
_x000D_
_x000D_
_x000D_
Summary Statement_x000D_
_x000D_
Overall:_x000D_
+ the proposed research is ambitious and its success would require_x000D_
interesting new ideas._x000D_
+ the PI has a strong record of work on scheduling problems._x000D_
+ the final goal has a good connection to practice, and could bring_x000D_
theory and practice closer._x000D_
_x000D_
- more specifics on the preliminary research, or more past work using_x000D_
the proposed techniques, or even specific sub-cases, would give more_x000D_
confidence in the success of the project._x000D_
_x000D_
_x000D_
</t>
  </si>
  <si>
    <t xml:space="preserve">In the context of the five review elements, please _x000D_
evaluate the strengths and weaknesses of the proposal with respect to intellectual merit._x000D_
_x000D_
Grand theme of this project is to improve the solution for resource allocation problems.  This is a ocean and the PI plans to improve approximation algorithms through strengthening Linear Programs, improving Rounding Algorithms, applying SDP Hierarchy approaches and developing better models in co-operation with applied researchers.  Many resource allocation problems, when posed as a linear programs, demand integral solutions.  The research will focus on adding additional constraints to LP to narrow the search.  One specific target application is average weighted flow time problem in scheduling.  The PI plans to develop a constant approximation algorithm for min flow time on identical machine when migration is allowed.  A viable plan of additional stronger constraints is proposed for this problem._x000D_
_x000D_
Another classical approach involves rounding methods.  The PI is currently developing rounding techniques, similar to quasi-uniform sampling technique,  to find O(1) approximate solution for weighted flow problem.  There is good chance that the PI will succeed in this attempt._x000D_
_x000D_
The PI plans to investigate lift-and-project methods employed in approaches for semi-definite programs.Some success in applying such techniques has been shown by others _x000D_
recently.   The PI mentions  applying such ideas to other scheduling problems such as interval scheduling._x000D_
_x000D_
Finally, collaborating with applied researchers,  PI plans to develop practically faithful models for various resource allocation problems_x000D_
_x000D_
In the context of the five review elements, please _x000D_
evaluate the strengths and weaknesses of the proposal with respect to broader impacts._x000D_
_x000D_
Resource allocation problems are fundamental and they appear in many different forms.  A good solution will have significant broader impact.  The PI took initiative in restructuring undergraduate curriculum to include adequate topics in data structure and algorithms.  This reviewer appreciates the PI's effort. The PI has advised two female undergraduate students.  Joint work undergraduate students are under submission to NIPS and VLDB.  WASHU supports many programs for diversity and the PI is taking advantage of these opportunities.  Nice job in helping K-12 kids to learn CS through Maker labs project._x000D_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 strong proposal and well written.  The broader impact is quite good.  I expect the PI to make significant progress.  While the proposed problems are hard, there is an "incremental-progress" feeling to these problems._x000D_
_x000D_
</t>
  </si>
  <si>
    <t xml:space="preserve">In the context of the five review elements, please _x000D_
evaluate the strengths and weaknesses of the proposal with respect to intellectual merit._x000D_
_x000D_
This proposal is primarily about resource allocation and scheduling. The PI is interested in problems related to minimizing functions of completion time, such as flow time. In a recent result by others the first O(log log P) approximation guarantee was obtained by reducing to a geometric coverage problem (work by Bansal and Pruhs). The PI plans to extend this framework to the multiple machine case and has outlined an LP based approach for this. One comment - in the LP, how are the completion times actually guessed? This looks quite hard._x000D_
_x000D_
The PI intends to use LP rounding methods, and is also interested in L_k norms of flow time, not just the L_1 norm. In addition, the PI plans to work on weighted flow time since for this problem there is a quasi-polynomial time PTAS and this problem is not expected to be NP-hard. The PI is also interested in this problem when migration is allowed as this is quite open._x000D_
_x000D_
One of the major tools the PI expects to use are the Lift and Project methods (Sherali-Adams hierarchies) and intends to attack problems referred to as "Job-Interval Scheduling". Here each job is associated with a weight and a collection of intervals. We have to select exactly one interval with the job - the goal is to select the largest_x000D_
weighted set of disjoint intervals (for each job, only one interval is to be chosen). The multi machine case and the single machine case are essentially equivalent._x000D_
_x000D_
The PI is very well qualified to conduct this research. Since many of the lift and project_x000D_
methods are unlikely to be efficient or practical, the PI might consider the value of combinatorial algorithms as well. Often these are what get used in practice._x000D_
_x000D_
_x000D_
In the context of the five review elements, please _x000D_
evaluate the strengths and weaknesses of the proposal with respect to broader impacts._x000D_
_x000D_
The PI is working with both graduate students as well as undergraduates with a pretty intense meeting schedule. Mentoring of several female undergraduates was also noteworthy._x000D_
_x000D_
The PI has established working relationships with systems oriented researchers and that is great - ultimately the work will have far greater impact that way as the PI will work on more relevant problems. Work with REU as well as K-12 is noteworthy. The PI has already done a lot of professional service with organizing workshops etc._x000D_
_x000D_
Please evaluate the strengths and _x000D_
weaknesses of the proposal with respect to any additional solicitation-specific review criteria, if _x000D_
applicable_x000D_
_x000D_
_x000D_
_x000D_
Summary Statement_x000D_
_x000D_
Overall this is a very good proposal, worth of support by a PI who has done stellar work in the last few years._x000D_
_x000D_
</t>
  </si>
  <si>
    <t>This project will deepen and broaden the understanding of resource allocation problems. The PI aims to break current barriers in the design of fast approximation algorithms and to develop new theoretical models for resource allocation problems arising in science and engineering. Doing so will require new algorithmic and analysis techniques. These techniques will transform the foundational understanding of resource allocation and have the potential to fundamentally impact the fields of science and engineering reliant on these methods.Resource allocation problems have a variety of applications in operations research, economics, and many other areas. Many resource allocation problems are NP-Hard. Due to this, researchers and practitioners have turned to using efficient approximation algorithms to solve  problems. Approximation algorithms for resource allocation problems have been studied for decades. Still, there is work to be done. Some of the most basic questions remain unanswered and the complexity of some of the simplest questions are unknown. _x000D_
_x000D_
The project will introduce new algorithmic and analysis techniques to break current barriers. The project will further develop new theoretical models for computing and communication systems in data centers to broaden the applicability of algorithms for resource allocation. The research in this project will transform the theoretical understanding and practical relevance of the area.  _x000D_
_x000D_
Specific aims follow._x000D_
_x000D_
*Linear programs have been an indispensable method in approximation algorithm design. Unfortunately, for many problems, known linear programs have poor integrality gaps. This project will discover new  strengthening inequalities to reduce integrality gaps and improve algorithm design._x000D_
_x000D_
*Rounding linear programs to feasible solutions  is a widely used algorithmic method. This project will investigate new general methods for rounding linear programs._x000D_
_x000D_
*It has been shown that lift-and-project linear and semi-definite programming hierarchies are vital tools for understanding the complexity of resource allocation problems. This project will  develop the understanding and applicability of lift-and-project methods._x000D_
_x000D_
*Networking and machine scheduling are two widely studied areas in resource allocation. These two areas have traditionally been studied separately and systems optimize the components in isolation. This project will introduce and refine models combining networking and system scheduling and bring insights from both areas to the other.The PI has helped restructure the undergraduate CS curriculum at Washington University and the PI is committed to refining the courses therein in this project. A graduate course will be developed to enhance both the core theoretical course offerings and engage students in related areas. The PI will develop a technology course that will be taught in the Chicago area to excite K-12 students about computer science. Graduate students will be mentored during the project and the PI will involve REU students of diverse backgrounds in the project using supplemental funding requests, departmental funding and the PI's current REU site grant._x000D_
_x000D_
Techniques developed throughout the course of this project will be summarized in a tutorial to make the key underlying ideas accessible to graduate students and the broader community. The PI will organize a bi-annual workshop bringing practitioners and theoreticians together to change and advance the area of resource allocation.</t>
  </si>
  <si>
    <t xml:space="preserve"> Panel Summary       
 SUMMARY OF PROPOSED RESEARCH ACTIVITY_x000D_
_x000D_
The proposal talks about false discovery prevention when making statistical analysis of data. A relevant property of algorithms in this context is stability, which roughly means that a small change in data doesn't affect the output too much. A stronger condition, differential privacy, is known to imply stability and threfore false discovery prevention; a side benefit, of course, is that differentially private algorithms also ensure certain privacy protections for the individuals whose data appears in the dataset. A big question which the proposed research confronts is: what is the cost of differential privacy, relative to merely requiring stability? Does differential privacy come "for free" once we require stability? The first part of the proposal focuses on attack methodologies, analogous to cryptanalysis. The second part introduces the aforementioned big question and explores it from various angles. The third part introduces various side questions._x000D_
_x000D_
INTELLECTUAL MERIT_x000D_
_x000D_
Strengths_x000D_
* The PI has worked on privacy, adaptive data analysis, and game theory, and has some big results on differential privacy. His past research accomplishments are excellent. _x000D_
* The proposal offers a lot of directions._x000D_
* Some of the problems are important._x000D_
* The proposal also talks about the practical aspects of privacy, i.e. if certain algorithms that are used in practice might be vulnerable to certain types of attacks. _x000D_
* In general, the proposal is written in a way that's easy to read and well organized. The PI listed the targets of the research very well. _x000D_
* The fact that the proposal started by adopting the perspective of an attacker was seen as an attractive viewpoint on these problems._x000D_
_x000D_
Weaknesses_x000D_
* The proposal itself struck the panel as being relatively unambitious, compared to the promise that the research area itself seems to hold and the PI's evident promise as a researcher. Many of the proposed research directions struck the panel more as incremental continuations of recent developments in the field (e.g., Section 2.2 and 2.3) rather than as bold plans for taking the field in new directions or confronting grand challenges._x000D_
* Some of the proposed problems could be better explained, e.g. Sections 2.4 and 4._x000D_
* The proposal does not describe an evaluation plan for the research on preventing false discovery in interactive data analysis, other than proving theorems. Thus, the contention that the proposed research will have impact beyond theory, by influencing practitioners' methods for interacting with data, could be better substantiated. For example, the proposal could cite evidence that the SQ model underlying the theoretical results on false discovery is well-matched to the data exploration methods typically used by practitioners. Alternatively, if such evidence is lacking in the published literature, the project description could propose an evaluation plan (e.g. interviews with practitioners, user studies) to produce such evidence._x000D_
_x000D_
Suggestions for improvement_x000D_
* There could be more of a focus on broad, bigger questions._x000D_
* The proposal could articulate the research questions more clearly and, especially in cases where the question is quite ambitious, sketch a plan of attack. The paragraph following Question 3.1 furnishes a good example of such a sketch, the discussion following Question 4.1 furnishes an example where the panel felt such a discussion was lacking._x000D_
* The proposal could give more specifics about how the PI intends to evaluate the potential practical impact of the research, in terms of reducing the rate of false discovery in interactive data analysis._x000D_
_x000D_
BROADER IMPACTS_x000D_
_x000D_
Strengths_x000D_
* introducing a PhD course on data privacy_x000D_
* integrating privacy into the curriculum more broadly_x000D_
* building a hub/webpage for bridging sub-communities who are dealing with differential privacy_x000D_
* co-producing a podcast on scientific perspectives on non-scientific problems_x000D_
_x000D_
Weaknesses_x000D_
* No weaknesses were identified in the broader impacts section of the proposal._x000D_
_x000D_
CAREER SOLICITATION-SPECIFIC REMARKS:_x000D_
_x000D_
Letter of institutional commitment._x000D_
Included_x000D_
_x000D_
Integration of research and education: _x000D_
The plan for integrating research and education constitutes a strong aspect of the proposal. The PI is developing a Ph.D. course on data privacy that targets not only theory students, but students in other areas including security and data science. The PI also has plans for developing an undergraduate data privacy course and another undergraduate course devoted to presenting gems of TCS. The letter of institutional commitment from Northeastern University attests that the PI's educational goals are fully aligned with those of the College of Computer and Information Science._x000D_
_x000D_
ADDITIONAL REMARKS_x000D_
_x000D_
Data Management Plan: adequate_x000D_
_x000D_
Results of prior support: The PI has no prior NSF support._x000D_
_x000D_
SUMMARY STATEMENT_x000D_
_x000D_
The PI proposes to work on an exciting batch of questions involving data privacy and interactive data analysis, and he has excellent past research accomplishments in these areas. The proposal could benefit from targeting broader, bigger questions and presenting a clearer exposition of the problems and proposed approaches in some subsections._x000D_
_x000D_
The recommendation of the panel is_x000D_
___ Highly Competitive_x000D_
___ Competitive_x000D_
_X_ Low Competitive_x000D_
___ Not Competitive._x000D_
_x000D_
The panelists concur that the Panel Summary accurately reflects the panel discussion. _x000D_
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</si>
  <si>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This reviewer conveys strong enthusiasm for the PI and the research area, but lists a number of shortcomings in the proposal.  The rating seems to reflect an optimistic view of a proposal that the PI is capable of producing (and hopefully will, given panel feedback, additional feedback from colleagues, etc.) rather than the proposal that was actually submitted this year._x000D_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</si>
  <si>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The proposal discusses differential privacy in the context of the accuracy and efficiency of statistical queries. The PI is well prepared to tackle this job -- in addition to previous experience with differential privacy he has worked on related fields (complexity, game theory, machine learning...) and he looks at a holistic picture: What is a false discovery, what do we need to prevent it, is it differential privacy or a weaker notion of stability, and what is its cost. He proposed to design a suite of attacks in a way analogous to cryptanalysis. He proposes to consider theoretical guarantees as well as what they might mean and their limitations in real life applications and threats. The proposal is quite technical, he clearly knows the background, his own, and others, that might relate to the problem. While he does not offer as concrete solution directions as some other proposals, he does ask what seems to me the right questions and his track record promises significant progress in an important area._x000D_
_x000D_
In the context of the five review elements, please _x000D_
evaluate the strengths and weaknesses of the proposal with respect to broader impacts._x000D_
_x000D_
Privacy vs statistical accuracy in data analysis has big impact on many big data applications which are becomeing more relevant every day. The PI's understanding of theoretical and practical issues (and his excellent track record) makes him a good person to bet on making gains in theory and practice. The PI has a podcast that reaches a wide audience which can be used to improve the public's understanding of the issues involved, and his efforts to bring together multiple subcommunities of his field are commendable. There is not a huge outreach component compared to some others but the society's gains from research into privacy can be very significant._x000D_
_x000D_
Please evaluate the strengths and _x000D_
weaknesses of the proposal with respect to any additional solicitation-specific review criteria, if _x000D_
applicable_x000D_
_x000D_
_x000D_
_x000D_
Summary Statement_x000D_
_x000D_
A well thought out proposal on an important topic by a clearly qualified PI. Some more preliminary work or more concrete research directions might have been welcome, but it asks good questions that the PI will probably at least partially answer._x000D_
_x000D_
</t>
  </si>
  <si>
    <t>HP0626211</t>
  </si>
  <si>
    <t>Kannan</t>
  </si>
  <si>
    <t>kannan@cis.upenn.edu</t>
  </si>
  <si>
    <t xml:space="preserve">In the context of the five review elements, please _x000D_
evaluate the strengths and weaknesses of the proposal with respect to intellectual merit._x000D_
_x000D_
The PI is one of the leading young researchers in the field of differential privacy and is well qualified to conduct the proposed research. The proposal itself seems somewhat incremental, seeking to improve the trade-offs between privacy and accuracy or to improve the computational complexity of algorithms that seek to achieve privacy bounds that are known to be achievable with exponential computation. Also, the PI wants to understand whether privacy is more  or less essential in adaptive statistical analysis._x000D_
_x000D_
The text of the proposal mentions directions that are exciting, and I wish these were reflected in the specific problems proposed. The idea of 'privanalysis', which I assume (by analogy with cryptanalysis) is the 'black hat' view and design privacy breaching attacks on existing mechanisms sounds interesting, but I did not see any concrete problems proposed in this direction._x000D_
_x000D_
Also, the PI mentions that differential privacy takes an overly pessimistic worst-case view that the database and queries are controlled by an adversary, and this leads to poor trade-offs with accuracy. It would be interesting if the PI formulated a model to study this - where the adversary has less control over the database itself._x000D_
_x000D_
In summary, the PI proposes interesting, incremental questions, but does not propose the more exciting questions he hints at. Given his track record, I expect him to make very good progress in this important area._x000D_
_x000D_
In the context of the five review elements, please _x000D_
evaluate the strengths and weaknesses of the proposal with respect to broader impacts._x000D_
_x000D_
Privacy is of great societal importance, as is statistical hypothesis testing and the conclusions derived from this methodology. The PI plans to engage with a diverse group of students - he is working with a female Masters student already and plans to work with undergraduates. The teaching plan is well integrated with the research. The PI's passion for engaging undergraduates in research comes across clearly, and one can hope that he will turn on a handful of his students to research and a Ph.D._x000D_
_x000D_
Please evaluate the strengths and _x000D_
weaknesses of the proposal with respect to any additional solicitation-specific review criteria, if _x000D_
applicable_x000D_
_x000D_
_x000D_
_x000D_
Summary Statement_x000D_
_x000D_
Very strong PI with a solid proposal._x000D_
_x000D_
</t>
  </si>
  <si>
    <t xml:space="preserve">In the context of the five review elements, please _x000D_
evaluate the strengths and weaknesses of the proposal with respect to intellectual merit._x000D_
_x000D_
The project centers on interactive data analysis, differential privacy, and relations between them. The common theme that links the two subjects together is the use of stable algorithms that are relatively insensitive to small changes in the data supplied to the algorithm. Prior work has shown how to use differentially private algorithms to "immunize" interactive data analysis against false discovery, although the procedure is not computationally efficient in general. Among the questions addressed by this proposal are (a) for what types of queries can this procedure be made computationally efficient? (b) does differential privacy come "for free" if one is using an interactive data analysis algorithm that is stable enough to prevent false discovery?_x000D_
_x000D_
Potential to advance knowledge:_x000D_
_x000D_
The study of false-discovery-proof methods for interactive data analysis appears to be in its infancy, and the proposed research aims to make significant advances on this timely and important topic. In more detail:_x000D_
_x000D_
1. Part 2 of the proposal describes a batch of research questions organized around the theme of "privanalysis", i.e., devoting study to methods of attacking privacy in order to develop better tools for defending it. For example, the first research question in this section asks about the sample complexity of differentially private "top-s selection" as a means of investigating the susceptibility to fingerprinting attacks of mechanisms that release the marginals of a d-dimensional dataset that is intrinsically s-dimensional. The other research problems in this section struck me as less compelling. Question 2.2 strikes me as quite incremental given the prior work of Dwork, Smith, Steinke, Ullman, and Vadhan; see the discussion in the final paragraph of Section 2.3. Section 2.4 strikes me as either hastily thought out or just confusing. For example, reading the last sentence of the first paragraph in Section 2.4 I couldn't tell whether it was presenting a theory problem or just proposing to find attacks that "break" ill-designed algorithms. And reading question (1) in the second paragraph of Section 2.4, I couldn't understand the logic underlying the question: if posterior-sampling algorithms achieve differential privacy, why should they be susceptible to attacks?_x000D_
_x000D_
2. Part 3 is where the proposal really shines. Question 3.1 seems like a very fundamental question in interactive data analysis, and the progress presented in the paragraph following the question indicates that there is a strong reason to hope the PI can solve it. Question 3.2 (especially the sub-question represented by the fourth bullet point) also seems like an important direction. Finally, Section 3.3 proposes to tackle the biggest deficiency in existing applications of differential privacy for interactive data analysis, namely their computational inefficiency. Strangely, the only research question discussed in detail in this section (Question 3.3) seems to be a question about non-interactive mechanisms for differential privacy, which prompts me to wonder whether the question is a suitable starting point for investigating computationally efficient methods for interactive data analysis, but maybe this question just reflects my naivete._x000D_
_x000D_
3. Part 4 is a bit under-developed. For example, Question 4.1 is a restatement of the central question of robust statistics; one could easily write a 15-page project description devoted to nothing but fleshing out the implications of Question 4.1. Question 4.2 looks interesting, and the paragraph following the statement of the question illustrates some thematic and technical connections to the rest of the research proposal, but I would have appreciated a more careful discussion of how one might potentially model data manipulation attacks._x000D_
_x000D_
Creativity/originality/transformativeness:_x000D_
_x000D_
Parts of the proposal exhibit a high degree of creativity and originality. Interactive data analysis methods that prevent false discovery have the potential to transform the practice of science in general, and the widespread scientific interest in this stream of discoveries attests to the very real possibility that this transformation will take place._x000D_
_x000D_
Plan for carrying out the activities:_x000D_
_x000D_
Parts of the proposal (particularly Section 3) contain detailed and sound plans for carrying out the activities. Other parts (particularly Section 4) could benefit for devoting more space to detailing the plans for carrying out the proposed activities._x000D_
_x000D_
Qualifications of the PI:_x000D_
_x000D_
The PI is excellently qualified to carry out the proposed research. He already has a sustained record of important contributions to the theory of differential privacy and interactive data analysis. Indeed, he is one of the most creative young thinkers in the field. _x000D_
_x000D_
Resources available to the PI:_x000D_
_x000D_
I have no concerns about the adequacy of the resources available to the PI for carrying out this research._x000D_
_x000D_
_x000D_
_x000D_
In the context of the five review elements, please _x000D_
evaluate the strengths and weaknesses of the proposal with respect to broader impacts._x000D_
_x000D_
* As noted in the discussion of intellectual merit, the group of researchers working on methods for preventing false disovery in interactive data analysis (including the PI) is developing a body of work with the potential to transform the practice of science in general. _x000D_
_x000D_
* The PI aims to develop a graduate course on data privacy aimed not only at theory students but at students in security and data science, and to integrate privacy into the CS curriculum more broadly. _x000D_
_x000D_
* The PI proposes to create a "differential privacy research highlights" website to connect researchers in diverse fields (CS, law, economics, statistics, databases)._x000D_
_x000D_
* The PI and Allison Bishop Lewko are co-producing a series of podcasts that integrate a scientific perspective into non-academic subjects._x000D_
_x000D_
_x000D_
_x000D_
Please evaluate the strengths and _x000D_
weaknesses of the proposal with respect to any additional solicitation-specific review criteria, if _x000D_
applicable_x000D_
_x000D_
_x000D_
_x000D_
Summary Statement_x000D_
_x000D_
The PI is a brilliant and creative young researcher working on important and timely questions. The broader impacts of the proposal are phenomenal. The intellectual merit is also high in general, but some aspects of the project description could benefit from an improved presentation. _x000D_
_x000D_
_x000D_
</t>
  </si>
  <si>
    <t xml:space="preserve">In the context of the five review elements, please _x000D_
evaluate the strengths and weaknesses of the proposal with respect to intellectual merit._x000D_
_x000D_
_x000D_
Strengths:_x000D_
_x000D_
++ The PI focuses on algorithmic development that preserves privacy and prevents false discovery via work proposed in the field of differential privacy. The proposal has a well-motived, well-integrated, clearly-outlined list of proposed research activities. _x000D_
_x000D_
++ The PI is well qualified to conduct the proposed research; and the proposed research ideas are described in a concise manner that is easy to understand and appreciate. _x000D_
_x000D_
++ The PI proposes a unified suite of techniques for realistic attach is particularly novel.   _x000D_
_x000D_
Weaknesses:_x000D_
_x000D_
-- The proposed research topics touch on both complexity as well as  algorithmic research directions; however, it would be nice to include an evaluation plan and experimental datasets to assess success of the proposed algorithm, in particular, for the topics involving interactive data analysis, particularly since developing such an evaluation plan (e.g. user study) is non-trivial._x000D_
_x000D_
In the context of the five review elements, please _x000D_
evaluate the strengths and weaknesses of the proposal with respect to broader impacts._x000D_
_x000D_
Strengths:_x000D_
_x000D_
++ The PI has a concrete education plan that includes course development in data privacy, which is a much needed area in the computer science education curriculum. _x000D_
_x000D_
++ The proposal has an impressive list of innovative activities to engage the research topic beyond academic community. In particular, the development of a podcast, although ambitious, seems extremely interesting and potentially impactful._x000D_
_x000D_
Please evaluate the strengths and _x000D_
weaknesses of the proposal with respect to any additional solicitation-specific review criteria, if _x000D_
applicable_x000D_
_x000D_
_x000D_
_x000D_
Summary Statement_x000D_
_x000D_
Overall this is a very strong proposal with many research components clearly explained; and the proposed research work will likely have significant impact on society._x000D_
_x000D_
</t>
  </si>
  <si>
    <t>Collecting and analyzing massive amounts of data, and using this data to make high-stakes decisions, is now the norm, raising many questions about how to use this data in a trustworthy manner.  The last decade has seen some of these questions addressed using beautiful applications of stable algorithms---algorithms whose outputs are insensitive to small changes in their inputs.  One example is differential privacy, which is a strong notion of stability that simultaneously guarantees a high degree of individual privacy and allows rich and accurate data analysis.  More recently, differential privacy has been applied to prevent false discovery in the challenging setting of interactive data analysis, where the same dataset is analyzed repeatedly.  Interactive analysis has been implicated by Gelman and Loken (among others) as part of the "statistical crisis in science," and using differential privacy to prevent false discovery in this setting shows the broad power of stable algorithms to make data analysis more trustworthy._x000D_
_x000D_
While algorithmic stability provides a powerful and unifying approach to making modern data analysis more robust, reliable, and aligned with societal values, there are many fundamental questions whose answer could bring these technologies closer to practice and wide adoption.  For many simple, natural applications that arise in practice, we have effective algorithms, but do not have any indication that these algorithms have optimal computational complexity or statistical accuracy.  Even when we do have optimal algorithms, the impossibility results hold only in the worst case, and it is not clear if they are meaningful barriers in practice, or if better solutions are possible in more realistic models._x000D_
_x000D_
Our work will advance the state-of-the-art in privacy and preventing false discovery specifically, and algorithmic stability more broadly, through the following contributions:_x000D_
1) A unified suite of techniques for realistic attacks on privacy that can inform the design and deployment of privacy technologies analogous to the role cryptanalysis plays in cryptography and security._x000D_
2) Optimal stable algorithms for simple and natural data analysis tasks, with respect to both statistical and computational complexity.  _x000D_
3) New applications of stable algorithms in settings where data must be analyzed in the presence of adversarial and self-interested parties, such as machine learning with adversarially manipulated data.This work will lead to new efficient algorithms for analyzing large datasets with rigorous guarantees of privacy, security, and statistical validity.  It will also identify new barriers to achieving these goals and tradeoffs among them, both in theory and in practice.  Finally, this work will enrich the study of these distinct areas using the unifying lens of algorithmic stability.Privacy concerns are an obstacle to the collection, sharing, and use of sensitive data.  Our research will make these sensitive datasets from sources like medical records, smart cities, and online behavior more widely available, and identify unsound methods before they are deployed and cause privacy breaches that shake public confidence.  The empirical sciences are also plagued by false discovery, and our work will make scientific and commercial uses of data more reliable.  We will extend the impact of the proposed research through new courses and pedagogical materials on data privacy that harness the unifying lens of stability as a pedagogical tool to make the next generation of data scientists more fluent in privacy technology, through mentorship of students at all levels, and through the creation of a website that will present outputs from different corners of the fragmented privacy research community in a broadly accessible language.  Finally, we will co-produce a podcast showing how the scientific and technological perspective can be applied to issues faced by the general public, including, but not limited to, the subjects of our proposal.</t>
  </si>
  <si>
    <t>8</t>
  </si>
  <si>
    <t xml:space="preserve"> Panel Summary       
 SUMMARY OF PROPOSED RESEARCH ACTIVITY _x000D_
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are:_x000D_
1) Understanding the "strict saddle condition", and how it can help identify problems that are tractable and those that are not _x000D_
2) Comparison of various first/second order gradient descent style algorithms_x000D_
3) Application of these techniques to tensor decomposition problems. _x000D_
4) Attempts to understand why neural net training algorithms are practically so effective. _x000D_
_x000D_
The PI aims to make progress by decoupling the underlying geometry of the problem (via a condition on the shapes of the functions, not related to any algorithm) and the analysis of the rates and errors of popular algorithms. _x000D_
_x000D_
The proposal borrows from and contributes to a diverse set of ideas/techniques: continuous optimization, probability and statistics, and algorithms._x000D_
_x000D_
INTELLECTUAL MERIT _x000D_
_x000D_
strength = +, weakness = -_x000D_
_x000D_
+ very timely and relevant topic: getting better theoretical understanding of non-convex optimization key to better methods in large-scale machine learning_x000D_
+ clearly explains approach of separation between understanding geometry and algorithms, a nice idea to better make progress overall without one breaking the other_x000D_
+ PI has strong record in several of the proposed directions_x000D_
_x000D_
- Including a few more specifics on how progress would be evaluated, say via synthetic experiments and real datasets, would enhance the proposal._x000D_
- Some reviewers requested better detail on the strict saddle condition: is it  satisfied by many problems, or is it a highly specialized condition ? Examples of when it holds and doesnt would give us a better idea of its meaningfulness._x000D_
_x000D_
BROADER IMPACTS _x000D_
_x000D_
+ Successful completion would improve methods in several very important application domains in machine learning._x000D_
+ The PI has done good outreach to the research community: workshops, blog posts etc._x000D_
 _x000D_
The PI is encouraged to have outreach to under-represented groups (minorities, women), by providing more details about the same in the proposal._x000D_
_x000D_
CAREER SOLICITATION-SPECIFIC REMARKS: _x000D_
_x000D_
Letter of institutional commitment. _x000D_
_x000D_
A letter of support from the Department of Computer Science is part of the proposal, and also lists several specific aspects that would increase chances of success of this proposal._x000D_
_x000D_
Integration of research and education: _x000D_
_x000D_
The PI lists the development of a new undergrad class in ML, which would be a good contribution to the list of offerings at Duke. Will also introduce new classes on cutting edge parts of ML. Both of these are directly tied to the core research thrusts of this proposal._x000D_
_x000D_
_x000D_
ADDITIONAL REMARKS _x000D_
_x000D_
Research plan: _x000D_
_x000D_
The plan for work is clearly specified in terms of the set of objectives; however the proposal does not provide a specific timeline for when each task will be attempted. Level of requested support seems adequate for the tasks identified._x000D_
_x000D_
Data Management Plan: _x000D_
_x000D_
The scope of this proposal is primarily theoretical, and the data management plan listed is adequate for the purposes of this proposal._x000D_
_x000D_
Results of prior support: _x000D_
_x000D_
No prior NSF support for the PI is listed._x000D_
_x000D_
_x000D_
_x000D_
SUMMARY STATEMENT _x000D_
_x000D_
The focus of this proposal - on understanding the geometry of non-convex optimization problems that arise in machine learning, and to use this to develop / modify algorithms that perform well, is a timely one that is likely to have broad impact on current practice if successful. Several reviewers liked the separation between understanding geometry and devising algorithms. There was some concern about the lack of details and specifics in the topics not addressed by the strict saddle condition. With regards to impact on education, the development of a new (and the first) undergraduate class in machine learning at Duke is a plus._x000D_
_x000D_
_x000D_
The recommendation of the panel is _x000D_
_x000D_
___ Highly Competitive _x000D_
_X_ Competitive _x000D_
___ Low Competitive _x000D_
___ Not Competitive. _x000D_
_x000D_
The panelists concur that the Panel Summary accurately reflects the panel discussion._x000D_
</t>
  </si>
  <si>
    <t>I'm sorry that we are unable to make a CAREER award this year. Let me share the brief comments from my review analysis (an internal NSF document) for additional feedback.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</si>
  <si>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Competitive Decline_x000D_
_x000D_
NSF 15-555  Faculty Early Career Development Program_x000D_
Submitted: Jul 20 2016 10:47AM   _x000D_
Req 60 mo; Start: 02/01/17_x000D_
_x000D_
CAREER: Understanding Non-convex Optimization for Machine Learning_x000D_
1651987  Ge, Rong: Duke University: $521,233_x000D_
_x000D_
P170288    AF CAREER Panel: Competitive, _x000D_
         rank 8 of 29 rated projects: 3 HC, 14 C, 11 LC, 1 NC_x000D_
Reviews: E,E/V,V,G_x000D_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Overview: This is a very good proposal, and well worth funding, though it fell just outside the range that we could fund this year.  It does have a couple of ways it could be improved._x000D_
_x000D_
Project Summary: As the panel summary says,_x000D_
This proposal broadly focuses on non-convex optimization with a focus on functions that arise in modern machine learning problems. The hope is to bridge the gap between our substantial theoretical understanding of convex optimizations, and the fact that the most effective methods in machine learning involve non-convex optimization. The main parts of the proposal are: _x000D_
1) Understanding the "strict saddle condition", and how it can help identify problems that are tractable and those that are not _x000D_
2) Comparison of various first/second order gradient descent style algorithms _x000D_
3) Application of these techniques to tensor decomposition problems. _x000D_
4) Attempts to understand why neural net training algorithms are practically so effective. _x000D_
_x000D_
Intellectual Merit:  The problems are good, and the PI has made contributions to the area.  _x000D_
There are some questions:  _x000D_
The strict saddle condition does seem strong (it rules out local maxima, for example) and is coupled in the proposal with the even stronger "We can hope for nice functions all local minima are also globally optimal." Can the PI give other examples of problems that fall into the class?  Or elucidate the connections to Morse theory or established classes?_x000D_
_x000D_
Similar questions on connections can be asked in the other areas.  As the highest scoring review says, "Each of the areas mentioned is already the subject of study by a broad community of researchers. While this speaks to its importance, and the PI is among the leading contributors, it may be a potential issue."  _x000D_
_x000D_
_x000D_
Broader Impact:  Results on the problems could have broad impact.  The PI has done outreach in the research community. (NCSSM is an excellent resource to take advantage of.)  Although proposed outreach and impact are good, both could be strengthened. _x000D_
_x000D_
Integration of Research and Education:  Plans to develop an undergraduate machine learning class; this is a contribution. _x000D_
_x000D_
Reviews:  Reviews (E,E/V,V,G) are strong and consistent: the E is from a reviewer who tended to be a little high and the G from a reviewer who tended to be a little low. Each reviewer identified minor weaknesses related to how the specific problems connected to the larger community, literature, or applications._x000D_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</si>
  <si>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investigate what aspects of the geometry of non-convex optimization problems allow them to be solved efficiently. The proposal considers a number of directions for this research:_x000D_
1) Understanding optimization problems that satisfy the "strict saddle condition", and how they can be solved._x000D_
2) Comparison of various hillcliming algorithms, for example comparisons of first order and second order algorithms._x000D_
3) Application of these techniques to tensor decomposition problems._x000D_
4) Attempts to understand why neural net training algorithms are practically so effective._x000D_
These seem like important questions to ask in order to better understand and improve techniques for optimization problems, however, the specific lower-level questions asked in the proposal seem much more limited in scope. This might be improved if it could be better explained how answers to these specific questions might lead to high level understanding._x000D_
_x000D_
In the context of the five review elements, please _x000D_
evaluate the strengths and weaknesses of the proposal with respect to broader impacts._x000D_
_x000D_
There are several mechanisms by which this project could have broader impacts:_x000D_
1) If the research aims are successful, improving our ability to solve these kinds of optimization problems could have substantial impacts._x000D_
2) The PI intends to participate in outreach programs with a local high school._x000D_
3) The PI plans to do some standard mentoring and course development._x000D_
This section is slightly weaker than is typical of this field. It would be useful to have one or two more items perhaps to help encourage participation by women and minorities._x000D_
_x000D_
Please evaluate the strengths and _x000D_
weaknesses of the proposal with respect to any additional solicitation-specific review criteria, if _x000D_
applicable_x000D_
_x000D_
This research if successful could have large impact, especially if a better understanding of neural net optimization could be found. However, the proposal is relatively light on specifics of which tools might be applied to these problems._x000D_
_x000D_
Summary Statement_x000D_
_x000D_
The proposal suggests working on important problems in optimization. However, it is a little light on broader impacts, and could use a better connection between the specific problems and the high level goals._x000D_
_x000D_
</t>
  </si>
  <si>
    <t xml:space="preserve">In the context of the five review elements, please _x000D_
evaluate the strengths and weaknesses of the proposal with respect to intellectual merit._x000D_
_x000D_
The PI focuses on studying on-convex optimization from two aspects:_x000D_
(1) Identify geometric properties on objective functions, in particular, strict saddle condition that describes structures of critical points (local extrema and saddles), that allows sufficient optimization. _x000D_
(2) Applying acceleration or variance-reduction to stochastic gradient method for non-convex problems. _x000D_
_x000D_
Strengths:_x000D_
_x000D_
++ The PI proposes the novel idea of characterizing geometric properties of objectives (that allow efficient optimization), and then leveraging such properties to design faster algorithms. The separation between "geometry" and "algorithm" aspects of the proposal support more general applicability of the proposed techniques. _x000D_
_x000D_
++ The PI is well qualified for the proposed research tasks and has concrete plans. _x000D_
_x000D_
Weaknesses:_x000D_
_x000D_
-- It is great that the PI considers evaluation as an integrated part of the research in Section 3 by proposing to collect different real data problems according to different properties of the objective functions. It would be nice if the PI could give a couple concrete example as what these real data sets might be/originate from.    _x000D_
_x000D_
-- The PI is primarily concerns with the geometry properties of objectives surrounding critical points (local extrema and saddle points)...are there in some sense ''higher-order" or "less local" geometry that is of interest? In particular, giving that "qualitatively strict saddle functions are known as Morse function" (as pointed out by the PI), it would be nice to bridge Morse Theory (which studies both local and global relations among critical points) with the research proposed here._x000D_
_x000D_
In the context of the five review elements, please _x000D_
evaluate the strengths and weaknesses of the proposal with respect to broader impacts._x000D_
_x000D_
++ The PI proposes to develop machine learning courses that not only focus on practical algorithms but also provide rigorous analysis. _x000D_
_x000D_
++ The PI has concrete mentoring plan and has a track record of mentoring interns at MSR. _x000D_
_x000D_
++ The PI proposes to build a publicly available benchmark for evaluating non-convex algorithms is particularly intriguing. Interacting with NCSSM as well as writing research blog are both great outreach plans._x000D_
_x000D_
Please evaluate the strengths and _x000D_
weaknesses of the proposal with respect to any additional solicitation-specific review criteria, if _x000D_
applicable_x000D_
_x000D_
_x000D_
_x000D_
Summary Statement_x000D_
_x000D_
The PI has a clear vision and the proposal clearly outlines both high-level and detailed research objectives. Overall a great proposal._x000D_
_x000D_
</t>
  </si>
  <si>
    <t xml:space="preserve">In the context of the five review elements, please _x000D_
evaluate the strengths and weaknesses of the proposal with respect to intellectual merit._x000D_
_x000D_
This proposal broadly aims to better understand the optimization of non-convex objective functions that arise in modern machine learning problems. The hope is to bridge the gap between our substantial theoretical understanding of convex optimizations, and the fact that the most effective methods in machine learning involve non-convex optimization._x000D_
_x000D_
General non-convex optimization of course remains too broad an aim. At a high level, the PI hopes to make progress by recognizing the special geometric structure present in the specific classes of non-convex functions of most interest, and designing algorithms that are efficient for those structures._x000D_
_x000D_
The proposal has four parts: understanding geometry (specifically saddle point and local minima structure), designing (better) first-order algorithms, tensor algorithms, and faster optimization of neural networks. _x000D_
_x000D_
Strengths:_x000D_
_x000D_
- An area in real need of better theoretical understanding_x000D_
- PI has very good track record in each of the four aspects highlighted in the proposal_x000D_
- Education: will develop an undergrad ML course, which (surprisingly) Duke still lacks. _x000D_
_x000D_
Weaknesses:_x000D_
_x000D_
- Each of the areas mentioned is already the subject of study by a broad community of researchers. While this speaks to its importance, and the PI is among the leading contributors, it may be a potential issue._x000D_
_x000D_
_x000D_
In the context of the five review elements, please _x000D_
evaluate the strengths and weaknesses of the proposal with respect to broader impacts._x000D_
_x000D_
Strengths:_x000D_
- Research impact: Since non-convex optimization is already widely applied, typically with heuristic methods, outcomes of this research as the potential to improve statistical and computational outcomes across a broad array of applications._x000D_
- Education: PI will develop an undergrad ML class, which (it seems) Duke currently does not have. This would be a key addition._x000D_
_x000D_
_x000D_
Please evaluate the strengths and _x000D_
weaknesses of the proposal with respect to any additional solicitation-specific review criteria, if _x000D_
applicable_x000D_
_x000D_
_x000D_
_x000D_
Summary Statement_x000D_
_x000D_
This is a strong proposal worthy of support, as it hopes to make non-trivial progress in a domain that is screaming out for better theoretical understanding; rigorous approaches have transformed convex optimization, and the hope is that it would similarly transform the non-convex problems from machine learning that are the focus of this proposal._x000D_
_x000D_
</t>
  </si>
  <si>
    <t>HZ0894090</t>
  </si>
  <si>
    <t>katyascheinberg@gmail.com</t>
  </si>
  <si>
    <t xml:space="preserve">In the context of the five review elements, please _x000D_
evaluate the strengths and weaknesses of the proposal with respect to intellectual merit._x000D_
_x000D_
This is a well-written proposal with clear goals that include exploring important and central questions in optimization methods in applications to modern machine learning problems. _x000D_
In particular, the proposal is centered around the question of avoiding saddle points_x000D_
by optimization algorithms when applied to nonconvex models arising in machine learning. The PI is planning to consider two sides of this questions: first, for what particular classes of problems, the saddle points, even if they exist, are "strict" and hence are easy to avoid; and the second question is what algorithms can avoid the saddle points most efficiently - meaning that the trade-off between the iteration complexity of escaping  a saddle point region  and the per-iteration cost is optimal._x000D_
_x000D_
The PI already has contributed successfully  to the related field with the analysis of saddle points and other geometric properties of some particular models arising in ML. He also has worked on some optimization algorithms, although his experience in that area is a bit more limited. His ideas for future research are well thought out and even if not all of his proposed work may result in positive outcome, he clearly outlines some reasonable directions that are bound to bring at least partial results. _x000D_
_x000D_
The main topic of the proposal focuses on some very "hot" questions in the optimization method for ML. With the rise of the popularity of deep neural networks and other nonconvex models understanding the structure of these models and developing appropriate algorithm has become a major focus in the last couple of years. Hence the proposal is right on the frontier of its field. As a consequence, there is also a danger that other researchers may answer the same questions before the PI. However, his past history of contributions demonstrates a successful publication pattern on "hot" topics. _x000D_
_x000D_
The part of the proposal related to the neural networks is less well-explained and explored than the earlier sections. For example, I am not even sure how one can talk about saddle points for NN that uses rectified linear functions. The objective function is nondifferentiable in that case (and if a hinge loss is used, it will be even piecewise linear). Also the questions related to the learnability of the NNs, although interesting, are closer to learning theory than optimization, in the way they are described in the proposal. _x000D_
_x000D_
_x000D_
In the context of the five review elements, please _x000D_
evaluate the strengths and weaknesses of the proposal with respect to broader impacts._x000D_
_x000D_
The main strength of this proposal with respect to the broader impact related to its key question. If the PI is successful in understanding and explaining the structure of many of the nonconvex models in ML, especially deep neural networks, and describing the saddle point behavior for these models, this work will have a very significant impact in theory and practice of ML. Most likely, of course, such answers will be provided slowly, over time, not only by the PIs work but by the whole community. However, I think there is a good chance that the proposed work will play a nice role in such future advances. _x000D_
_x000D_
The other impact and educations plans are reasonable and do not go beyond the usual plans of similar proposals in the field. As the PI has been a faculty only for a year, he has not had a chance to directly supervise PhD students, but I hope he will make it a priority with this project_x000D_
_x000D_
Please evaluate the strengths and _x000D_
weaknesses of the proposal with respect to any additional solicitation-specific review criteria, if _x000D_
applicable_x000D_
_x000D_
_x000D_
_x000D_
Summary Statement_x000D_
_x000D_
This is a very good proposal with clear goals that cover important questions in the field of optimization and machine learning. The PI is clearly capable of carrying out the research._x000D_
_x000D_
</t>
  </si>
  <si>
    <t>Non-convex optimization is extremely successful in machine learning. Especially, multi-layer neural networks have become the dominating approach for many challenging tasks such as voice recognition and image classification. However, theoretical analysis for non-convex problems is very challenging. In this proposal the PI aims to understand why the simplest approaches for non-convex optimization are surprisingly effective in practice, and to design faster algorithms for tensor decomposition and neural networks. The PI will tackle the problems from the following two aspects: _x000D_
_x000D_
Geometry: We try to identify clean geometric properties on objectives that allow efficient optimization. For natural problems such as matrix completion or tensor decomposition, the PI would like to understand the structure of local optima and saddle points, and use these properties to explain why local search algorithms consistently find optimal solutions. _x000D_
_x000D_
Algorithm: Stochastic gradient is the most popular algorithm for non-convex optimization in machine learning. For convex functions, techniques like acceleration or variance-reduction greatly improved the rate of convergence. The PI would like to apply these ideas to non-convex problems to design faster algorithms._x000D_
_x000D_
New geometric properties could lead to new guarantees for non-convex problems without strong initialization. Techniques like variance-reduction could give rise to online algorithms that are more efficient in both theory and practice. The PI highlights applications to two classes of problems:_x000D_
_x000D_
Tensor algorithms can provably learn complicated probabilistic models such as HMMs and topic models. However the provable algorithms are not practical for large datasets. The PI will design faster online algorithms that could make tensor techniques practical._x000D_
_x000D_
Neural Networks are the core of deep learning that lead to the recent breakthroughs. The PI hopes to explain why such networks can be efficiently optimized by identifying plausible geometric properties for the objective function. These properties may lead to faster training algorithms for neural networks.Geometric properties offer a new perspective for analyzing machine learning problems such as tensor decomposition and neural networks: given natural input distributions, the objective functions may not have bad local optima. As a result these functions can be optimized by simple local search. Assuming the geometric properties, algorithm design can then focus on finding the fastest algorithm to optimize worst-case functions. This new perspective disentangles the objective function and the optimization procedure, which enables cleaner theoretical analysis that do not rely on initialization. The projects will also develop fast online algorithms using ideas of acceleration and variance reduction. These algorithms can be widely applied to many machine learning problems, in particular they could make tensor approaches practical, and improve the training time of deep neural networks.This program could impact many different communities including theoretical computer science, machine learning, statistics and optimization. The PI will collect classical non-convex optimization tasks to create a publicly available benchmark for evaluating non-convex algorithms. In education, the PI will develop new graduate course materials related to this project. For undergraduate students, the PI would like to design a new machine learning course that balances between theoretical analysis and practical algorithms. Additionally, the PI plans to increase outreach activities that aim to facilitate the communications between communities, including organizing tutorials, workshops and writing blog posts.</t>
  </si>
  <si>
    <t xml:space="preserve"> Panel Summary       
 SUMMARY OF PROPOSED RESEARCH ACTIVITY _x000D_
_x000D_
The primary aim of this proposal is to further the state of art in adaptive sampling, primarily for_x000D_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 _x000D_
_x000D_
_x000D_
INTELLECTUAL MERIT _x000D_
_x000D_
+ = strengths, - = weaknesses_x000D_
_x000D_
+ The focus areas of the proposal are clearly important - solving of large linear systems and flows on large graphs are central algorithmic problems._x000D_
+ The PI has a strong record, and has been an active participant in a very strong line of recent work that has made many significant advances in solving of linear systems. In that sense the proposal plays to the PIs strengths._x000D_
_x000D_
- Several reviewers felt the proposal was hastily written, and also seemingly written for someone who is already an expert in the specific sub-field. Several parts of the proposal were hard to understand / parse (see the reviews for specific examples). _x000D_
- Possibly due to the above, many aspects were unclear; e.g. what is the gap between diagonally dominant, PSD and general linear systems ? How close are we to solving the most general case with these ideas ?_x000D_
- the precise connection between sampling and the proposed work was hard to tease out, again possibly due to the writing._x000D_
_x000D_
BROADER IMPACTS _x000D_
_x000D_
+ The focus of the research - solving of large linear systems and flows on large graphs - would definitely have broad impact. This could be furthered by the stated intent to develop code packages _x000D_
+ The participation of the PI in programming contests at the high school level, and the tailoring of these for under-represented groups, is very positive. _x000D_
_x000D_
CAREER SOLICITATION-SPECIFIC REMARKS: _x000D_
_x000D_
Letter of institutional commitment. _x000D_
_x000D_
The proposal includes a letter of support from the chair of the PI's home department at Georgia Tech._x000D_
_x000D_
Integration of research and education: _x000D_
_x000D_
The PI has put some thought into this, and several aspects stand out: programming contests , the new institute at Georgia Tech etc._x000D_
_x000D_
ADDITIONAL REMARKS _x000D_
_x000D_
Research plan: _x000D_
_x000D_
While an explicit chronological timeline or research plan is not provided, the overall scope of the proposal seems to match the time and resources requested._x000D_
_x000D_
Data Management Plan:_x000D_
_x000D_
The proposal contains an extensive description of the facilities and plan for data management, more than adequate for this proposal.  _x000D_
_x000D_
Results of prior support: _x000D_
_x000D_
The PI has not listed himself as being the PI or co-PI of any previous funding support._x000D_
_x000D_
SUMMARY STATEMENT _x000D_
_x000D_
The proposal focuses on important problems, and the PI has had a solid track record in the recent line of exciting progress in one of these (the solving of linear systems). However, the proposal is poorly written, to the extent that several reviewers could not fully understand several aspects. A thorough rewrite for clarity would significantly improve it._x000D_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</si>
  <si>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Richard,_x000D_
_x000D_
I'm sorry that we are unable to make a CAREER award this year.  Yours was one of several proposals that started out in Competitive, but was later moved to Low Competitive when the panel considered for which proposals they could give advice for improvement.  Typically program directors use a standard review analysis (an internal NSF document) for LC proposals, but I wanted to record at least a sketch of my notes for myself, so let me also share them to give you as much feedback as I can.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primary aim of this proposal is to further the state of art in adaptive sampling, primarily for _x000D_
(a) efficient solving of linear systems: specific problems addressed are PSD systems, and k-variate Laplacians. _x000D_
(b) graph algorithms (primarily flow/cut problems). _x000D_
The proposal uses ideas from graph theory and algorithms, and probability and optimization. _x000D_
_x000D_
Intellectual Merit: _x000D_
Important problems by an excellent researcher, but the proposal did not make the connections between the topics and methods proposed.  Some of that is just the quality of the writing, as the proposal appears to have be created hurriedly.  _x000D_
_x000D_
Broader Impact: _x000D_
Important topic can have great impact. The PI participation in CS Olympiads is a strong contribution to outreach. _x000D_
_x000D_
Integration of Research and Education: 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who see the entire set of proposals under consideration, deemed that the PI can revise and have a better proposal in a later competition. 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 _x000D_
_x000D_
For the AF team: _x000D_
Tracy Kimbrel, Rahul Shah, and Jack Snoeyink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</si>
  <si>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10:56AM   _x000D_
Req 60 mo; Start: 07/01/17_x000D_
_x000D_
CAREER: Algorithm Frameworks Based on Adaptive Sampling_x000D_
1651999  Peng, Yang: Georgia Tech Research Corporation: $600,000_x000D_
_x000D_
P170288    AF CAREER Panel: Low Competitive, _x000D_
           rank 18 of 29 rated projects: 3 HC, 14 C, 11 LC, 1 NC_x000D_
Reviews: E/V,V/G,V/G,G_x000D_
PRC: 7926       ALGORITHMS_x000D_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primary aim of this proposal is to further the state of art in adaptive sampling, primarily for _x000D_
(a) efficient solving of linear systems: specific problems addressed are PSD systems, and k-variate Laplacians. The main idea seems to be to represent these systems as sums of lower-order structured systems. _x000D_
(b) graph algorithms (primarily flow/cut problems). The main idea seems to be based on an expansion of the inverse of the laplacian as geometric powers of random walk matrices, and connections between graph problems and linear systems. _x000D_
_x000D_
The proposal uses ideas from graph theory and algorithms, and probability and optimization._x000D_
_x000D_
Intellectual Merit:  _x000D_
Important problems by an excellent researcher, but the proposal did not make the connections between the topics and methods proposed.  _x000D_
_x000D_
Broader Impact:  _x000D_
Important topic can have great impact.  The PI participation in CS Olympiads is a strong contribution to outreach. _x000D_
_x000D_
Integration of Research and Education:_x000D_
Good integration: it is clear that the PI has put thought into this. _x000D_
_x000D_
Reviews:  _x000D_
The external reviewer rated the proposal E/V because of recent breakthroughs in this important area, some of which the PI has contributed to. Sloppiness of the writing is deemed minor by the external reviewer, but the panelists see the breadth of proposals under consideration and deem that the PI can revise and have a better proposal in a later competition._x000D_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</si>
  <si>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YR0210687</t>
  </si>
  <si>
    <t>Chazelle</t>
  </si>
  <si>
    <t>chazelle@CS.Princeton.EDU</t>
  </si>
  <si>
    <t xml:space="preserve">In the context of the five review elements, please _x000D_
evaluate the strengths and weaknesses of the proposal with respect to intellectual merit._x000D_
_x000D_
Random sampling is one of the pillars of algorithm design. It is often the first step in deploying the power of random bits for effective computational solutions. The intuition is straightforward: a sample of the input gives us a representative window into a coarse-grained version of the problem. Most often, the sampling is oblivious in that it does not depend on the specific components of the input. In fact, one might argue that's the whole point of randomization._x000D_
And yet, as computation unfolds, it stands to reason that the sampling would benefit from being tailored to the information that has been gathered so far.  In any optimization problem, constraints that have been discarded need not be sampled from that point on._x000D_
There are countless problems for which adaptive sampling yields real dividends. _x000D_
_x000D_
The PI has shown the power of the idea in the areas of graph-related linear systems, max flow algorithms, and low-rank approximation. It is no exaggeration to say that we're living through a mini-revolution in computational linear algebra and optimization, one spearheaded by Dan Spielman, Yin Tat Lee, and their collaborators, including the PI of this proposal. For that reason alone, it would be highly wise_x000D_
to fund this kind of research. After many long years of doldrums, the field is suddenly enjoying a new powerful momentum that needs to be nurtured. No one knows how long this burst of new ideas will persist so now is not the time to curtail it._x000D_
_x000D_
The proposal is laid out along two main lines of inquiries: one is to investigate the power of adaptive sampling in settings where good sparsification techniques are available; another one is the quest for nearly linear algorithms for approximate max flow and shortest paths, as well as subquadratic solvers for wider classes of linear systems (one of the areas where the most dramatic improvements have taken place in recent years). In particular, the PI seeks faster solvers for sparse positive-definite linear systems. _x000D_
_x000D_
_x000D_
In the context of the five review elements, please _x000D_
evaluate the strengths and weaknesses of the proposal with respect to broader impacts._x000D_
_x000D_
The potential impact of progress on the problems mentioned in _x000D_
the proposal is self-evident. Faster linear solvers are a holy grail of sorts. The PI's plans for outreach involve teaching at both_x000D_
undergraduate and graduate levels and organizing workshops (perhaps jointly with FOCS or STOC). A certain amount of mentoring and interdisciplinary work is also part of the plan. The PI has long been involved with the USA Computing Olympiad and intends to use his expertise to further these links._x000D_
_x000D_
_x000D_
Please evaluate the strengths and _x000D_
weaknesses of the proposal with respect to any additional solicitation-specific review criteria, if _x000D_
applicable_x000D_
_x000D_
My only criticism has to do with the sloppiness of the writing. We're told on page 2 that pretty much everything in the proposal hinges on Fact 2.1, which, as stated, happens to be wrong. A typo, of course, but the proposal is littered with such mistakes. We're told that a random walk matrix has spectral radius less than 1 (page 5), notation is used without being defined, etc. Even the title of the proposal is poorly phrased (and misleading). These are all minor complaints, however. The proposal is a very serious attempt at attacking a number of important, timely problems. The PI has proven himself to be an expert in the areas of relevance and his continued research should be supported._x000D_
_x000D_
Summary Statement_x000D_
_x000D_
This is an exciting proposal by one of the leading lights in the field. In view of the resurgence of interest in computational linear algebra, the project is timely and poised to deliver on its objectives. Its funding should be given high priority._x000D_
_x000D_
</t>
  </si>
  <si>
    <t xml:space="preserve">In the context of the five review elements, please _x000D_
evaluate the strengths and weaknesses of the proposal with respect to intellectual merit._x000D_
_x000D_
The PI has been at the forefront of develping fast algorithms for basic problems in numerical linear algebra and applying those algorithms to graph problems. This circle of ideas constitutes one of the most exciting developments in the theory of algorithms in recent years, and the PI has a sustained record of noteworthy contributions to the subject. The proposal aims to advance knowledge on some of the most basic and funadmental algorithmic problems: solving linear systems, computing maximum flows and shortest paths in graphs. Thus, there are many reasons to believe the project will have high intellectual merit. _x000D_
_x000D_
Unfortunately, after struggling to understand the project description, I was frustrated time and again at how difficult it was to apprehend what, exactly, the proposed research will consist of. The project description seems to be written for a reader with intimate knowledge of algorithmic spectral graph theory. An illustrative example: Problem 4.3 states, "Devise sub-quadratic algorithms for solving sub-classes of quadratically coupled k-variate Laplacians." The term "quadratically coupled" is not defined anywhere in the project description (we are merely given a citation to [32]), nor does the PI specify what it means for a Laplacian to be "k-variate" (we are merely given a citation to [24]). If this were merley an isolated instance, I could advise the PI to explain Problem 4.3 better. However, as I said, I merely took this as a representative example. My incomprhension is deep enough that I even find it hard to connect the theme of "adaptive sampling" (i.e., the title of the proposal) with the research plans outlined in Sections 4 and 5. I think maybe the connection is that "sparsified squaring" (a recurring theme in Sections 4 and 5) constitutes an example of adaptive sampling, but I'm mainly relying on guesswork. In a similar vein, I have no idea how to connect the following sentences from Section 3 ("Research Plan") to any of the research plans described in subsequent sections: "We plan to explore alternate invariants and approximation guarantees in adaptive sampling algorithms. In doing so, we hope to address known limitation of structure preserving sampling, as well as additional limitations that become more apparent in the study of algorithmic uses of them." _x000D_
_x000D_
_x000D_
In the context of the five review elements, please _x000D_
evaluate the strengths and weaknesses of the proposal with respect to broader impacts._x000D_
_x000D_
The PI expects to play a significant role in the foundation and long term planning of a new Institute for Data Engineering and Science at Georgia Tech. This will provide an opportunity for disseminating ideas to data scientists and hosting workshops at Georgia Tech. The PI intends to develop code packages implementing some of the algorithms resulting from the project, and make them widely available. The PI is extensively involved in organizing programming contests, including at the high school level (USACO, IOI). The proposal discusses ideas for developing alternate formats for algorithmic problem solving contests that may be more inviting to under-represented groups, e.g. multi-day, open-ended, team-based contests._x000D_
_x000D_
_x000D_
Please evaluate the strengths and _x000D_
weaknesses of the proposal with respect to any additional solicitation-specific review criteria, if _x000D_
applicable_x000D_
_x000D_
_x000D_
_x000D_
Summary Statement_x000D_
_x000D_
The PI is a top-notch researcher in algorithms proposing to attack important problems. Unfortunately, the proposal is written in a way that renders it impossible for me to form a clear opinion about the merits of the specific plans proposed, due to my inability to comprehend the substance of those plans._x000D_
_x000D_
_x000D_
</t>
  </si>
  <si>
    <t xml:space="preserve">In the context of the five review elements, please _x000D_
evaluate the strengths and weaknesses of the proposal with respect to intellectual merit._x000D_
_x000D_
The principal focus of this proposal involves an extension of the PI's research involving the application of adaptive sampling methods for the development of efficient algorithms for linear algebra and graph algorithms. The focus is on developing new methods for adaptively sampling simpler/sparser substructures from much larger structures in a manner that preserves key structural properties. The proposal describes two concrete problems areas, (1) subquadratic time solvers for linear systems that arise from graph problems, and (2) near-linear work parallelizable algorithms for combinatorial optimization problems, such as (approximate) maximum flow and shortest paths._x000D_
_x000D_
The proposed work promises to extend the PI's already very successful work along these lines (which resulted in a number of publications at top conferences and a dissertation award from CMU.) This work is of a very fundamental nature, and potential impacts range well beyond theoretical computer science and computational linear algebra to the development of efficient new approaches for central problems in data science._x000D_
_x000D_
The research plan is well presented and well organized. As one of the leaders of this line of research, the PI is well positioned to make significant progress on the proposed work._x000D_
_x000D_
The principal weakness is that the proposal appears to have been hastily written. There are numerous typographical errors, and important details on the proposed research plan are missing. I believe that this could be a very strong proposal, but not in its present form._x000D_
_x000D_
In the context of the five review elements, please _x000D_
evaluate the strengths and weaknesses of the proposal with respect to broader impacts._x000D_
_x000D_
The proposal discusses broader impacts involving a number of ingredients. The proposal includes plans to (1) organize workshops that will bring together researchers involved in sampling-based approaches in functional analysis, combinatorial graph theory, and randomized numerical linear algebra, (2) develop software packages for algorithms resulting from the research, (3) the development of new courses at Georgia Tech, and (4) outreach through problem-solving competitions such as the USA Computing Olympiad (USACO). The educational goals are nicely supported by the interdisciplinary course structure used by the CS Department at Georgia Tech._x000D_
_x000D_
Please evaluate the strengths and _x000D_
weaknesses of the proposal with respect to any additional solicitation-specific review criteria, if _x000D_
applicable_x000D_
_x000D_
_x000D_
_x000D_
Summary Statement_x000D_
_x000D_
Overall, this proposal focuses on ambitious extensions of the PI's already solid record of research. Unfortunately, the proposal seems to have been hastily composed, and it is difficult to evaluate the feasibility of the proposed plan without a better exposition of the research plan. If these deficiencies were addressed, this could be a strong proposal. The proposed work is innovative and may have significant impact to other areas of science and engineering. The broader impacts and educational plans are quite interesting._x000D_
_x000D_
</t>
  </si>
  <si>
    <t xml:space="preserve">In the context of the five review elements, please _x000D_
evaluate the strengths and weaknesses of the proposal with respect to intellectual merit._x000D_
_x000D_
Summary:_x000D_
_x000D_
- Overview:_x000D_
_x000D_
The primary aim of this proposal is to further the state of art in adaptive sampling, primarily for the faster solving of linear systems of equations, and for faster (but approximate) graph algorithms. Adaptive sampling involves choosing a subset of the input in a sequentially random manner - with each new sample / batch of samples determined after 'looking at' the ones already sampled. _x000D_
_x000D_
- IM: _x000D_
_x000D_
The focus is on two settings: _x000D_
(a) efficient solving of linear systems: specific problems addressed are PSD systems, and k-variate Laplacians. The main idea seems to be to represent these systems as sums of lower-order structured systems._x000D_
(b) graph algorithms (primarily flow/cut problems). The main idea seems to be based on an expansion of the inverse of the laplacian as geometric powers of random walk matrices, and connections between graph problems and linear systems._x000D_
_x000D_
Strengths:_x000D_
_x000D_
- Well laid out plans for the two focus areas of the proposal, and strong track record by the PI in each of them. _x000D_
_x000D_
Weaknesses:_x000D_
_x000D_
- both areas of focus are very well-studied; there are literally dozens of methods for fast linear system solutions, and graph flow problems, each of which has its own unique strengths and weaknesses. This gives rise to a little bit of concern about diminishing returns for the proposed work. Finding new less studied but still important problems where similar techniques could be applied, would have made for a stronger proposal._x000D_
_x000D_
_x000D_
_x000D_
In the context of the five review elements, please _x000D_
evaluate the strengths and weaknesses of the proposal with respect to broader impacts._x000D_
_x000D_
Research impact:the problems outlined in this proposal are of central importance._x000D_
They are also quite standard and there has been quite a bit of work both historically and currently done on them. This could be a potential issue._x000D_
_x000D_
That being said, the PI has a solid track record and has co-authored some of the exciting recent developments in the field (especially in solving of linear systems)._x000D_
_x000D_
_x000D_
Please evaluate the strengths and _x000D_
weaknesses of the proposal with respect to any additional solicitation-specific review criteria, if _x000D_
applicable_x000D_
_x000D_
_x000D_
_x000D_
Summary Statement_x000D_
_x000D_
A clearly written proposal with several ideas well-elucidated, by a PI that has a good track record in some of the recent interesting advances. Problems that this proposal focuses on are quite well studied, which is both a plus (wide impact of potential breakthroughs) and minus (possible overlap/dulpication with several other efforts)_x000D_
_x000D_
</t>
  </si>
  <si>
    <t>Randomized tools are becoming increasingly important to the design of efficient algorithms. Recent works led to the emergence of a variety of new techniques that incorporate sampling inside multi-step algorithmic frameworks. These close interactions between sampling and algorithms require careful trade-offs between the size of the samples, the approximation qualities, and the cost of finding these samples. Resolving such trade-offs often leads to routines that adaptively improve the qualities of samples by iteratively performing expensive computational steps, or even recursing upon themselves. _x000D_
_x000D_
This project aims to further study adaptive sampling based algorithmic frameworks through problems motivated by combinatorial and scientific flows. We plan to develop new ways of performing adaptive sampling, as well as identifying new structures that can be preserved in sampling processes. Such progresses will lead to improvements to fundamental algorithmic problems such as solving linear systems, maximum flows, and shortest paths.The study of problems at the intersection of graph theory and numerical algorithms can provide much insight for designing algorithms with provable performances. Natural graph instances such as long paths represent some of the most difficult cases for numerical routines, while well-connected graphs are often difficult to handle by combinatorial routines that aim to break down the graphs. Sampling routines can lead to highly efficient algorithms in both settings, either by removing rows of matrices (row sampling), or by discarding edges from dense graphs (sparsification). This connection and its algorithmic consequences bring together a wide range of algorithmic tools. Particular problems that we plan to focus on include:_x000D_
_x000D_
Scientific computing: we will extend linear systems solvers based on sparsified squaring of matrices for graph Laplacians and connection Laplacians to other classes of systems closed under squaring or elimination of variables. This will lead to nearly-linear time algorithms for wider classes of linear systems, new notions of matrix approximations, and finer classifications of linear systems that can be efficiently solved._x000D_
_x000D_
Graph algorithms: we plan to develop nearly-linear work algorithms by bringing squaring, a widely used tool for handling dense graphs, to sparse graphs through the incorporation of sampling. This will lead to new approaches toward classical problems such as maximum flow, oblivious routing, and shortest paths.This project is closely aligned with interdisciplinary initiatives at Georgia Tech including the Algorithms, Combinatorics and Optimization program and the Institute for Data Science and Engineering. These programs can also facilitate the development of courses that span topics from operations research, statistics, and computer science. Such interactions are crucial for the scope of the research projects proposed, and also provide a variety of opportunities for practical studies. Observations based on these interactions, as well as the training of students will dictate much of the research aspects of this project._x000D_
_x000D_
Curriculum Development: we plan to develop courses that emphasize connections between various algorithmic tools and incorporate experimental aspects motivated by data science._x000D_
_x000D_
Training of Students: this project will support both the introduction of undergraduates to research and the training of graduate students._x000D_
_x000D_
Outreach Through Algorithmic Problem Solving: this project will support the PI's long-time involvement with coding based algorithmic problem solving activities at both high school and collegiate levels.</t>
  </si>
  <si>
    <t xml:space="preserve"> Panel Summary       
  SUMMARY OF PROPOSED RESEARCH ACTIVITY _x000D_
_x000D_
The proposal focuses on sketching, i.e. compressing data in a way that retains key properties of the underlying data. It is focused on the following aspects:_x000D_
_x000D_
(a) Linear sketches: where the elements stored are linear functions of the input data. This is a popular approach, and the proposal aims to_x000D_
(i) develop new lower bounds for cell probe complexity _x000D_
(ii) use adaptivity and borrow from lower bounds to make faster linear sketches _x000D_
(iii) better guarantees for sparse recovery _x000D_
_x000D_
(b) graph sketching - summarizing large graphs to retain pairwise distances. The aim is to do this via hyper graph sparsifiers, node removed minors etc._x000D_
_x000D_
(c) streaming sub modular functions, where the constraint is that only a small number of elements (and hence all functions that depend on them) can be stored, and one needs to retain a good approximation to the global optimum._x000D_
_x000D_
_x000D_
INTELLECTUAL MERIT _x000D_
_x000D_
+ Streaming and sketching are both important, and several of the reviewers liked the exploration of other aspects (beyond just space) - like adaptivity, the cell probe model, map reduce framework etc. _x000D_
+ PI has strong previous work in this area, which seems success would be likely._x000D_
_x000D_
- Several reviewers felt that the proposal spread itself too thin in the sense of having a somewhat large number of possible directions, at the expense possibly of several/majority of them not being satisfactorily fleshed out in a way that one could identify innovations in the approach. It feels a little bit like a shopping list, the proposal will significantly benefit from a grand vision that unifies the underlying problems_x000D_
_x000D_
_x000D_
BROADER IMPACTS _x000D_
_x000D_
+ Streaming is important in several domains, and the focus on alternative aspects beyond space makes it a bit more realistic._x000D_
_x000D_
The intended impacts on teaching and education seem somewhat pro-forma, nothing specific stands out (but no serious deficiencies)._x000D_
_x000D_
CAREER SOLICITATION-SPECIFIC REMARKS: _x000D_
_x000D_
Letter of institutional commitment. _x000D_
_x000D_
The proposal includes a letter of support from the dean of the college of Computer and Information Sciences, where the PI is housed in Northeastern._x000D_
_x000D_
Integration of research and education: _x000D_
_x000D_
+ The PI served as an editor for the ACM XRDS (the ACM magazine for students) issue on Big Data for students._x000D_
Other proposed education activities - developing graduate and undergraduate class, mentoring etc. are in line with what one would expect in a Career proposal._x000D_
_x000D_
ADDITIONAL REMARKS _x000D_
_x000D_
Data Management Plan: _x000D_
_x000D_
The proposal includes a short plan. But it is adequate for a theory oriented proposal like this one._x000D_
_x000D_
Results of prior support: _x000D_
_x000D_
It is stated that the PI has no prior support from the NSF._x000D_
_x000D_
SUMMARY STATEMENT _x000D_
_x000D_
The proposal takes an interesting approach to streaming algorithms, looking at new aspects in linear sketches, and also new areas like sketching of graphs and submodular functions. The PI has a strong track record. However the proposal suffers from an overly broad agenda with so many different research thrusts stated that many of them lack sufficient detail, a point that several reviewers found a drawback. The proposal may be improved by the PI better articulating an over-arching vision, and thinking about whether and how each sub-problem fits into this vision. _x000D_
_x000D_
The recommendation of the panel is _x000D_
_x000D_
___ Highly Competitive _x000D_
___ Competitive _x000D_
_X_ Low Competitive _x000D_
___ Not Competitive. _x000D_
_x000D_
The panelists concur that the Panel Summary accurately reflects the panel discussion._x000D_
</t>
  </si>
  <si>
    <t xml:space="preserve">In the context of the five review elements, please _x000D_
evaluate the strengths and weaknesses of the proposal with respect to intellectual merit._x000D_
_x000D_
The PI has done influential work on generalizing linear sketches and would like to explore other aspects of sketches, moving beyond just space requirements of linear sketches. He's interested in the cell proble model and the notion of adaptivity. His suggested directions involve improved sparsifiers, compressed sensing, group model time lower bounds, sketching submodular functions. He has preliminary work relating to these questions even though his directions could benefit from some more concrete details. He seems to be interested in a multi-angle treatment of sketches that explore the tradeoffs of various properties. As application, he's interested in the MapReduce model which is currently very relevant. The PI is certainly qualified and offers to present a more comprehensive treatment of sketches which could help with a large number of more specific problems._x000D_
_x000D_
In the context of the five review elements, please _x000D_
evaluate the strengths and weaknesses of the proposal with respect to broader impacts._x000D_
_x000D_
Improving sketches for general classes of problems under different models that the PI mentions could lead to improvements for many theoretical as well as practical problems. The PI already has looked into ML, and there is a good likelihood of impact in the industry. Even though the PI does not propose much outreach, he will take an active role in designing courses, mentoring, setting a reading group, etc._x000D_
_x000D_
Please evaluate the strengths and _x000D_
weaknesses of the proposal with respect to any additional solicitation-specific review criteria, if _x000D_
applicable_x000D_
_x000D_
_x000D_
_x000D_
Summary Statement_x000D_
_x000D_
A comprehensive (if not fully detailed) plan by a very strong PI. It could give us a much closer-to-complete look at sketching and related applications._x000D_
_x000D_
</t>
  </si>
  <si>
    <t xml:space="preserve">In the context of the five review elements, please _x000D_
evaluate the strengths and weaknesses of the proposal with respect to intellectual merit._x000D_
_x000D_
The proposals address the following three generic goals:_x000D_
1.  Design efficient linear sketches for various problems._x000D_
2.  Construct other forms of sketches for problems beyond streaming models_x000D_
3.  Explore new models capturing real work problems._x000D_
_x000D_
On the concrete side, the PI plans to address time complexity of linear sketches (going beyond traditional space consideration alone).  Pi plans to go beyond traditional approaches in streaming model by viewing the problem as dynamic data structure problem and apply cell probe lower bounds to streaming models.  This question builds on recent work on the PI with Larsen and Nelson.  The PI plans to explore the power of adaptive model (adaptively choose which cell to probe) in this model.  Other questions (e.g., group model) are based on PI's recent work.  Another interesting question is the possibility of near linear time processing time for streaming spectral sparsifier approach.   Here the PI plans to use ideas from coding theory.  There is a gap between lower and upper bound on number of measurements (non-zero entries) needed for sparse recovery.  The PI plans to close the gap.  These are solid problems and PI is capable of making progress on these problems.    In graph sketching, the proposal wants to extend graph edge-sparsifiers to vertex-spasifiers and to hyper graphs.  The PI has reported some prior work along these lines.  Finally, the proposal considers maximizing submodular  function in streaming model.  These are interesting next steps and they will advance the state of the art in the streaming model._x000D_
_x000D_
In the context of the five review elements, please _x000D_
evaluate the strengths and weaknesses of the proposal with respect to broader impacts._x000D_
_x000D_
In the new data oriented world, improvement on sketches will have significant impact on many fields.  This is clearly a strong BI.  The PI plans to reach out other applied fields and popularize theoretical ideas. Other mentoring and educational efforts are fairly standard._x000D_
_x000D_
Please evaluate the strengths and _x000D_
weaknesses of the proposal with respect to any additional solicitation-specific review criteria, if _x000D_
applicable_x000D_
_x000D_
_x000D_
_x000D_
Summary Statement_x000D_
_x000D_
The proposal is well written.  Looking at linear sketching from "time" perspective is good but not novel.  Solid proposal and the PI is capable of making progress on the proposed problems.  However, most of the problems are natural extension of current literature.  This is not bad, but having a well-motivated grand challenge question would significantly strengthen the proposal._x000D_
_x000D_
</t>
  </si>
  <si>
    <t xml:space="preserve">In the context of the five review elements, please _x000D_
evaluate the strengths and weaknesses of the proposal with respect to intellectual merit._x000D_
_x000D_
- Overview:_x000D_
_x000D_
This proposal is focused on sketching, i.e. compression in a way that retains easy access to important properties of the data being compressed. It focuses on two aspects: (a) linear sketches, and (b) sketching of structured objects like graphs and submodular functions. _x000D_
_x000D_
- IM: _x000D_
In the linear sketches focus, the PI aims to_x000D_
(a) develop new lower bounds for cell probe complexity_x000D_
(b) use adaptivity and borrow from lower bounds to make faster linear sketches_x000D_
(c) better guarantees for sparse recovery_x000D_
_x000D_
In graph sketching the PI aims to find efficient hyper graph cut sparsifiers, and node-removed minors that preserve distances._x000D_
_x000D_
For streaming sub modular functions (i.e. elements arrive in sequence, and a small number can be stored at any time), the PI hopes to find the best approximation factor for monotone functions in the streaming setting._x000D_
_x000D_
Strengths:_x000D_
_x000D_
The PI seems to have good background and prior work in several of the (many) tasks and directions proposed in this work._x000D_
_x000D_
Weaknesses:_x000D_
_x000D_
This proposal seems to be somewhat incremental, in the sense that while a large array of directions are proposed, none seems to have outlined a unique different approach that would portend significantly new types of results. _x000D_
_x000D_
In particular, the proposal would be well served by maybe reducing its scope, but going into detail about how what makes the PI's approach unique or different from what has already been done._x000D_
_x000D_
_x000D_
In the context of the five review elements, please _x000D_
evaluate the strengths and weaknesses of the proposal with respect to broader impacts._x000D_
_x000D_
Sketching is of interest to both theory and machine learning with large datasets; in that sense improvements could have broad impact._x000D_
_x000D_
Education plan seems somewhat standard._x000D_
_x000D_
Please evaluate the strengths and _x000D_
weaknesses of the proposal with respect to any additional solicitation-specific review criteria, if _x000D_
applicable_x000D_
_x000D_
_x000D_
_x000D_
Summary Statement_x000D_
_x000D_
A wide-ranging proposal with several different directions, by a PI who has done interesting work in several of them. Overall seems a bit too wide in its scope, perhaps at the expense of elaborating on what the fundamental new insights are in the most important subset of problems._x000D_
_x000D_
</t>
  </si>
  <si>
    <t>HB0857656</t>
  </si>
  <si>
    <t>Strauss</t>
  </si>
  <si>
    <t>martinjs@umich.edu</t>
  </si>
  <si>
    <t xml:space="preserve">In the context of the five review elements, please _x000D_
evaluate the strengths and weaknesses of the proposal with respect to intellectual merit._x000D_
_x000D_
1a.   The PI has produces results of both theoretical and practical importance, within the field of data algorithmics.  The PI has published in both theoretical computer science conferences and machine learning conferences._x000D_
1b.  Since data algorithmics is such a large part of modern computing, the research has the potential to impact many areas of computer science, and society.  The PI considered applications where slight relaxations of the common theoretical model leads to significant performance gains.  (See the bottom of page 2.)_x000D_
2.  One of the PIs significant works is "Turnstile Streaming Algorithms Might as Well Be Linear Sketches," which shows a limitation of the popular Turnstile model for data algorithms.  In this proposal, page 2, the PI gives several ideas to go beyond Turnstile/linear sketches, including for graphs and submodular functions.  Results here would be transformative._x000D_
3.  The PI lists many possible avenues for research.  I do not expect that he will be able to succeed on all of them.  Still, that is to be expected for proposals of this kind.  Based on his track record and the plausibility of the proposed problems, I expect that he will make progress on many of them, and that is what NSF should expect._x000D_
4-5. The PI has demonstrated through previous work that he is capable of producing research results at the highest level.  The PI has written many significant works with co-authors in the Boston area and he has colleagues at Northeastern that are experts on the MapReduce Algorithm that is a part of this proposal._x000D_
_x000D_
In the context of the five review elements, please _x000D_
evaluate the strengths and weaknesses of the proposal with respect to broader impacts._x000D_
_x000D_
The proposed Broader Impacts are sufficient, but not outstanding.  The PI will develop courses, mentor students, organize a reading group, work with researchers in other areas of CS, work on problems of interest to industry, and write popular articles.  It is worth noting that the PI has a history of collaboration, a history of publishing in learning conferences, and in writing articles with broad appeal to CS students._x000D_
_x000D_
Please evaluate the strengths and _x000D_
weaknesses of the proposal with respect to any additional solicitation-specific review criteria, if _x000D_
applicable_x000D_
_x000D_
n/a_x000D_
_x000D_
Summary Statement_x000D_
_x000D_
The PI is a strong researcher, who should be awarded his first funding for this ambitious-yet-plausible agenda.  His proposed work on graph sparsification and sketching for submodular functions would advance theory and practice._x000D_
_x000D_
</t>
  </si>
  <si>
    <t>The last decade has witnessed an unprecedented growth of new data, pushing new systems to their limits in not only storage capacity but also communication bandwidth and computational power. A fundamental challenge underlying these constraints is the need for suitable representations of the data that facilitate efficient computation and communication and can be stored on a single machine. A promising approach is the design and analysis of sketches, data structures that support updates to the underlying data and a pre-specified set of queries while requiring significantly less space than the size of the original data. This proposal aims to develop a comprehensive framework for the study of sketches by pursuing the following goals: _x000D_
_x000D_
- Investigate holistically linear sketches, a form of sketching universal for turnstile streaming algorithms in a broad class of problems and also applicable to distributed algorithms and classical algorithms on a single machine. The PI plans to study  linear sketches not just from the traditional space angle but also with respect to time and other resources._x000D_
_x000D_
- Develop new forms of sketches for non-linear and abstract objects. To this end, the proposal considers sketching for graphs and submodular functions, two popular models for learning applications. In graphs, the proposal focuses on graph sparsification, a particular form of sketching where the sketch is a smaller graph that retains important properties of the original graph. In submodular optimization, the proposal considers sketching for submodular maximization in various streaming and distributed computation models. _x000D_
_x000D_
- Turn new algorithmic knowledge into informed decisions for designing new models that are both expressive and algorithmically tractable. The proposal considers possible modeling assumptions based on applications and explores the tradeoff between the generality of models and quality guarantees.The proposal will lead to deeper understanding and novel algorithms for fundamental problems in streaming algorithms, compressed sensing, graph algorithms and submodular optimization. The proposed research is of interest to not only theoretical computer science but also databases and machine learning, combining theoretical insights with computational models arising in applications. As an added benefit, the proposal involves techniques from a wide variety of areas including analysis, information theory, coding theory, combinatorics, and optimization and it can potentially lead to new connections among them.The proposal aims to develop new sketching techniques for a wide variety of applications. To this end, the PI will actively pursue research in both theory and applications, publishing in both theory and machine learning venues and also reaching out to experts in computer vision, natural language processing, and network security to bring theoretical results to practical applications._x000D_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t>
  </si>
  <si>
    <t xml:space="preserve"> Panel Summary       
  _x000D_
SUMMARY OF PROPOSED RESEARCH ACTIVITY_x000D_
_x000D_
The proposal focuses on new algorithmic development that deals with high-dimensional, massive, complex datasets that are found in modern spatial data analysis. _x000D_
The complex nature of real data sets requires new spatial data structures, models of computation, smart sampling and adaptive/data-driven metrics. 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representations;_x000D_
(2) Developing new algorithms for sampling spatial data sets based on greedy permutations;_x000D_
(3) Developing simpler, alternative metrics such as adaptive metric and heterogeneous distances that capture the complexity of modern dataset. _x000D_
_x000D_
INTELLECTUAL MERIT_x000D_
_x000D_
Strengths:_x000D_
++ This proposal addresses the challenges faced by modern data analysis where data can be high-dimensional, with or without clear metric structure, not-necessary coming from a uniform sample, and containing varying density. _x000D_
++ The PI proposes to apply geometric and topological techniques to data that does not fit the conventional (sometimes highly simplified) model and the results can have strong impact. _x000D_
++ The PI has many novel ideas, in particular, connecting his background in meshing to geometric and topological data analysis inspires new algorithms. _x000D_
++ The PI is very active in his field and his proposed activities are  core to his research profile. The PI is well-positioned to conduct the proposed research. _x000D_
_x000D_
Weaknesses &amp; suggestions for improvement: _x000D_
-- The proposal is light on specific details within the research plan. The reviewer would like to see more in-depth elaboration of the proposed research directions. _x000D_
_x000D_
BROADER IMPACTS _x000D_
_x000D_
Strengths: _x000D_
++ The proposal could extend the reach and applicability of geometric and topological methods in practical data analysis._x000D_
++ The development of project-based learning in algorithm course is much appreciated by the reviewers._x000D_
++ The PI has a concrete plan in continuous participation of the McNair Fellows Program that attracts rising undergraduates to pursue graduate study in a STEM field. _x000D_
++ The PI will participate in the daVinci program with the goal of training high school teachers in geometry and computing.  _x000D_
++ The PI has a track record of advising undergraduate and graduate students. _x000D_
_x000D_
_x000D_
CAREER SOLICITATION-SPECIFIC REMARKS:_x000D_
_x000D_
Letter of institutional commitment: submitted. _x000D_
_x000D_
Integration of research and education: the PI has plan to integrate the proposal with existing computational geometry course. The PI  also proposes a new project-based course that tackles the practical aspects of solving geometric problems. The PI participates in McNair Fellow Program that attracts under-represented groups. He also plans to educate high school teachers to help train the next generation researchers/students in geometry and computation. _x000D_
_x000D_
ADDITIONAL REMARKS_x000D_
_x000D_
Research plan: This is a 5-year CAREER proposal with a reasonable time line. _x000D_
_x000D_
Collaboration plan: 2 letters of collaboration have been provided from the director for graduate outreach and diversity and the directory of McNair Scholars Program that both support the PI's mission in research outreach. _x000D_
_x000D_
Postdoc Mentoring plan: None. _x000D_
_x000D_
Data Management Plan: Adequate. _x000D_
_x000D_
Results of prior support: The results from prior support are clearly stated with a description of of their relationship to the current proposal. _x000D_
_x000D_
SUMMARY STATEMENT_x000D_
_x000D_
Overall, the panel felt that the proposal contains many components of algorithmic novelty and the PI has a great potential in making impact in the fields of computational geometry, computational topology and spatial data analysis.  _x000D_
_x000D_
_x000D_
The recommendation of the panel is  _x000D_
_X_Highly Competitive_x000D_
___ Competitive_x000D_
___ Low Competitive_x000D_
___ Not Competitive_x000D_
_x000D_
The panelists concur that the Panel Summary accurately reflects the panel discussion._x000D_
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</si>
  <si>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representations._x000D_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will develop new data structures, models of computation, sampling theories, sampling algorithms, and metrics for addressing these challenges._x000D_
  _x000D_
  The specific aim of the project is to adapt hierarchical metric data structures to work with locally adaptive distances using new models of computation that only use approximate distance comparisons.  These models acknowledge the reality that with sufficiently complex data, even a single distance computation can be expensive.  A second specific aim is to develop new multiscale sampling theories as well as new algorithms for computing such samples.  These samples and sampling algorithms will be applicable to a wide range of problems and will extend and generalize greedy and farthest-point strategies.  A third specific aim is to develop algorithms for new metrics and distance functions for heterogeneous data to more accurately represent intrinsic structure in data.  These algorithms will generalize methods used in both Voronoi refinement mesh generation and topological data analysis._x000D_
_x000D_
  The project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The PI will also work one-on-one to mentor undergraduates from traditionally underrepresented groups and help train high school teachers.</t>
  </si>
  <si>
    <t>NATIONAL SCIENCE FOUNDATION _x000D_
Arlington, Virginia 22230 _x000D_
Directorate for Computer and Information Science and Engineering (CISE) _x000D_
Division of Computing and Communication Foundations (CCF) _x000D_
_x000D_
Review Analysis Recommendation: Award_x000D_
_x000D_
NSF 15-555  Faculty Early Career Development Program_x000D_
Submitted: Jul 20 2016  1:32PM   _x000D_
Req 60 mo; Start: 02/01/17_x000D_
_x000D_
CAREER: Algorithmic Challenges and Opportunities in Spatial Data Analysis_x000D_
1652218  Sheehy, Donald: University of Connecticut: $511,429_x000D_
_x000D_
P170288    AF CAREER Panel: Highly Competitive, _x000D_
         rank 2 of 29 rated projects: 3 HC, 14 C, 11 LC, 1 NC_x000D_
Reviews: E/V,E/V,E/V,E/V_x000D_
PRC: 7929       COMPUTATIONAL GEOMETRY_x000D_
PRC: 1045       CAREER: FACULTY EARLY CAR DEV_x000D_
_x000D_
_x000D_
Context: _x000D_
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to combine efficient spatial data structures with methods in computational geometry and topology. _x000D_
Three research aims are specified to analyze spatial datasets: _x000D_
(1) Developing new spatial data structures with new models of computation, such as approximated metric/distances and local to global hierarchical representations; _x000D_
(2) Developing new algorithms for sampling spatial data sets based on greedy permutations; _x000D_
(3) Developing simpler, alternative metrics such as adaptive metric and heterogeneous distances that capture the complexity of modern dataset. _x000D_
_x000D_
Intellectual Merit:  _x000D_
The PI is very active in the field of computational topology and geometry, and brings novel ideas from his background in meshing.  The proposal addresses the challenges faced by modern data analysis: data can be high-dimensional, with or without clear metric structure, not-necessary coming from a uniform sample, and containing varying density.  Motivation of each of these problems is well done, but the specifics of the research plan could be more fleshed out.   The PI has thought more than he says, as evidenced by discussions on "Potential problems and alternative approaches", which on reviewer said, "help to shed further lights on issues involved in the proposed problems. "_x000D_
_x000D_
_x000D_
Broader Impact:  Excellent._x000D_
The PI is considering important techniques that can extend the practice of topological data analysis. He has experience with, and concrete plans for, outreach at the high school, undergrad, and graduate levels.  _x000D_
_x000D_
Integration of Research and Education: _x000D_
The PI clearly thinks about integration of research and education already. The PI participates in McNair Fellow Program that attracts under-represented groups. _x000D_
_x000D_
He plans to integrate his work in his existing computational geometry course, and to propose a new project-based course that tackles the practical aspects of solving geometric problems. He also plans to educate high school teachers to help train the next generation researchers/students in geometry and computation. _x000D_
_x000D_
_x000D_
Reviews: The three panelists and an ad hoc reviewer all gave scores of E/V. The recommendation was HC, tie for second.  _x000D_
Reviewers were uniformly of the opinion that proposal itself would have benefitted from more specific details in some of its research directions. One summarized as follows,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awarded as a continuing grant, with budget as below. _x000D_
_x000D_
_x000D_
Jack Snoeyink _x000D_
21 Dec 2016_x000D_
_x000D_
For the AF team: _x000D_
Tracy Kimbrel, Rahul Shah, and Jack Snoeyink_x000D_
_x000D_
_x000D_
_x000D_
Continuing Grant_x000D_
1652218  Sheehy, Donald: University of Connecticut: $511,429_x000D_
Req 60 mo; Start: 02/01/17_x000D_
_x000D_
FY17:  $223,632  org: 05010000  pec: 7796_x000D_
FY19:  $118,221  org: 05010000  pec: 7796_x000D_
FY20:  $117,257  org: 05010000  pec: 7796_x000D_
FY21:  $ 52,319  org: 05010000  pec: 7796_x000D_
 _x000D_
PRC: 7929       COMPUTATIONAL GEOMETRY_x000D_
PRC: 1045       CAREER: FACULTY EARLY CAR DEV</t>
  </si>
  <si>
    <t xml:space="preserve">In the context of the five review elements, please _x000D_
evaluate the strengths and weaknesses of the proposal with respect to intellectual merit._x000D_
_x000D_
The PI wants to combine ideas from topological data analysis (TDA)_x000D_
with well-known spatial data structures, such as quad-trees and_x000D_
kd-trees, to extend the applicability of the data structures to spaces_x000D_
where the underlying metric is not Euclidean.  There are three_x000D_
proposed foci:_x000D_
_x000D_
(1) Enhanced data structures, with approximate metrics or other_x000D_
shortcuts to control the cost of evaluating distances.  For example,_x000D_
the approach might use a hierarchical metric along with a_x000D_
hierarchical spatial data structure._x000D_
_x000D_
(2) Algorithms for sampling from spatial data sets using greedy_x000D_
permutations, approximate greedy permutations, or locally greedy_x000D_
permutations, using ideas from mesh generation._x000D_
_x000D_
(3) Computing and representing alternative metrics, including adaptive_x000D_
and parameterized metrics, so that traditional data structures are_x000D_
applied, but with a different underlying distance function.  (The_x000D_
relationship between this idea and focus (1) was not clear to this_x000D_
reviewer.)  This item also includes sublevel sets, topological data_x000D_
analysis, and k-nearest neighbors._x000D_
_x000D_
The proposal is somewhat light on specific detail, but the PI has a_x000D_
strong record of accomplishment, so I expect the proposed research to_x000D_
succeed._x000D_
_x000D_
Note: The project description should have been paginated.  The number_x000D_
of typographical errors (words out of order) is above average._x000D_
_x000D_
_x000D_
In the context of the five review elements, please _x000D_
evaluate the strengths and weaknesses of the proposal with respect to broader impacts._x000D_
_x000D_
The PI integrates research and education.  He mentors undergraduate_x000D_
and graduate students, especially underrepresented groups through the_x000D_
McNair Fellows Program at UConn.  The PI helps train high school_x000D_
teachers in geometry and computing through the da Vinci program._x000D_
_x000D_
At the intellectual level, cross-fertilization between topological_x000D_
data analysis and spatial data analysis may be the most important_x000D_
broad impact._x000D_
_x000D_
_x000D_
Please evaluate the strengths and _x000D_
weaknesses of the proposal with respect to any additional solicitation-specific review criteria, if _x000D_
applicable_x000D_
_x000D_
_x000D_
_x000D_
Summary Statement_x000D_
_x000D_
The proposal is somewhat light on specific detail, but the PI has a_x000D_
strong record of accomplishment, so I expect the proposed research to_x000D_
succeed._x000D_
_x000D_
_x000D_
</t>
  </si>
  <si>
    <t xml:space="preserve">In the context of the five review elements, please _x000D_
evaluate the strengths and weaknesses of the proposal with respect to intellectual merit._x000D_
_x000D_
The proposed research involves the analysis of massive, complex spatial data sets through a multiscale, hierarchical approaches that adapt to the local properties of the data set. The proposal describes a wide variety of new algorithmic challenges and discusses approaches that satisfy a number of criteria, such as local adaptivity, sensitivity to structure at various scales, robustness to approximate distances, and the capability of handling data from heterogeneous (even non-spatial) sources. One of the broad objectives is to extend the applicability of geometric methods to data sets to settings where the data are not so obviously spatial._x000D_
_x000D_
Towards this end, the proposal presents three concrete research aims:_x000D_
_x000D_
1. Spatial Data Structures from Theory to Practice_x000D_
_x000D_
2. Develop New Algorithms for Sampling Spatial Data Sets_x000D_
_x000D_
3. Algorithms for Alternative Metrics and Distance Functions_x000D_
_x000D_
The proposed work has the virtues of the PI's research to date, an eclectic collection of approaches and ideas but all motivated by the goal of bringing theoretical rigor to challenging applications in science and engineering. The resulting research has the promise of making significant impacts to real world computation, but an inevitable consequence is that the proposal lacks the clarity of focus that usually characterizes more theory-based proposals._x000D_
_x000D_
In the context of the five review elements, please _x000D_
evaluate the strengths and weaknesses of the proposal with respect to broader impacts._x000D_
_x000D_
The proposal offers a number of contributions with broader impacts. This includes the usual assurances for mentoring graduate and undergraduate students and incorporating material into courses. Additional elements include programming projects in the computational geometry class, participation with the programs to recruit students from under-represented groups, and training of area high school teachers._x000D_
_x000D_
Please evaluate the strengths and _x000D_
weaknesses of the proposal with respect to any additional solicitation-specific review criteria, if _x000D_
applicable_x000D_
_x000D_
_x000D_
_x000D_
Summary Statement_x000D_
_x000D_
Overall, this is a well-written and well-motivated proposal that presents a variety of ambitious research challenges that will extend spatial data analysis to nontraditional contexts through the use of more flexible metrics and topological approaches. The PI has established a strong track record of innovative and creative work in this area, which appears in the top journals and conferences in his area. The focus on issues arising in real-world applications is a strong feature of the work._x000D_
_x000D_
</t>
  </si>
  <si>
    <t xml:space="preserve">In the context of the five review elements, please _x000D_
evaluate the strengths and weaknesses of the proposal with respect to intellectual merit._x000D_
_x000D_
Strengths:_x000D_
_x000D_
++ The proposal includes very novel ideas in developing algorithms and techniques in dealing with massive and complex datasets with noise. The idea of combining both Euclidean metrics rooted in computational geometry to non-metric ideas from computational topology is particular original, which may lead to significant development for better understanding spatial data from sampling/sparsification, data-driven metrics and computing perspectives.  _x000D_
_x000D_
++ Even though most of the proposed research activities are rooted in theory, the PI has a good understanding and is keen on connecting the developed theory with modern data analysis challenges. _x000D_
_x000D_
++ The PI is in a unique position to conduct the proposed research given his background in both computational geometry and TDA. The PI also has a clear long-term vision to turn geometric and topological data analysis into mainstream data science and has a concrete research plan to support his vision. _x000D_
_x000D_
Weaknesses:_x000D_
_x000D_
-- Although the research plan is well-written, it would have been nice to see some more in-depth discussions on several research topics (currently research plan spans 4 pages). For example, section 1.5 "hierarchical data structures used for proximity queries of all kinds" -- it would be nice to see further expansion on this topic; section 2.6, it would be nice to expand further how to obtain efficient implementation of various versions of the greedy permutations. _x000D_
_x000D_
-- Finally, because of the tight connection between the proposed theoretical work with data analysis in practice, it would be nice for the PI to include an evaluation plan. _x000D_
_x000D_
_x000D_
_x000D_
In the context of the five review elements, please _x000D_
evaluate the strengths and weaknesses of the proposal with respect to broader impacts._x000D_
_x000D_
++ The PI's participation within the McNair Fellows program as well as specific plan to train high school teachers on the topics of geometry and computing can have potentially good societal impact.  _x000D_
_x000D_
-- In terms of mainstream adaptivity of geometric and topological techniques, the PI mentioned briefly some existing effort in software development ([9] and data management). The PI could expand further on how the research results could be disseminated, in particular, which aspects of the research activities correspond to deliverables such as software tools._x000D_
_x000D_
Please evaluate the strengths and _x000D_
weaknesses of the proposal with respect to any additional solicitation-specific review criteria, if _x000D_
applicable_x000D_
_x000D_
_x000D_
_x000D_
Summary Statement_x000D_
_x000D_
This is an overall strong proposal; although certain research directions could be further elaborated._x000D_
_x000D_
</t>
  </si>
  <si>
    <t>DN0867085</t>
  </si>
  <si>
    <t>yusu@cse.ohio-state.edu</t>
  </si>
  <si>
    <t xml:space="preserve">In the context of the five review elements, please _x000D_
evaluate the strengths and weaknesses of the proposal with respect to intellectual merit._x000D_
_x000D_
Strength of the proposal: _x000D_
-- The need for analyzing spatial data is ubiquitous in many applications. The PI identified several important challenges present for modern spatial data analysis. _x000D_
_x000D_
-- The PI proposes to study a set of interesting and original directions that ranging from the modeling aspects to algorithmic development. While some of the directions are not completely new (such as the modeling of adaptive sampling), a formal formulation and investigation of them is both lacking and highly desirable, and the PI injects new perspectives and insights to these directions (such as the formulation of $\tau$-locally greedy permutation as a generalization of greedy permutation). _x000D_
_x000D_
-- The proposed work will integrate ideas from algorithms and data structures for metric spaces as well as techniques from computational and differential geometry as well as computational topology. It has a good potential to lead to transformative new methodologies. _x000D_
_x000D_
-- The PI is highly qualified to carry out the proposed research. He has an excellent track record in combining ideas/methods from computational geometry, computational topology and theoretical computer science. This would be an important quality needed for performing the proposed research._x000D_
_x000D_
-- As a minor note, I really like those discussions in "Potential problems and alternative approaches", which help to shed further lights on issues involved in the proposed problems. _x000D_
_x000D_
Weakness of the proposal:_x000D_
-- The PI proposes several interesting problems / directions to investigate, and he does a wonderful job in motivating these problems. The proposal however would be even better if more concrete strategies / approaches can be provided for some of the proposed problems in Section 5._x000D_
_x000D_
In the context of the five review elements, please _x000D_
evaluate the strengths and weaknesses of the proposal with respect to broader impacts._x000D_
_x000D_
Strength of the proposal: _x000D_
-- The proposed work will integrate ideas from different research communities, and can help bridge these fields and further advance the general field of data analysis. _x000D_
-- Given the importance of efficient algorithms/data structures for data analysis application, the proposed project can potentially impact many application fields in science and engineering beyond the fields of algorithms and computational geometry. _x000D_
-- The project has a very nice plan for outreach activities. The PI has a good history working with undergraduate students. Other aspects of the education, mentoring, and curriculum development plans are adequate._x000D_
_x000D_
Please evaluate the strengths and _x000D_
weaknesses of the proposal with respect to any additional solicitation-specific review criteria, if _x000D_
applicable_x000D_
_x000D_
_x000D_
_x000D_
Summary Statement_x000D_
_x000D_
The PI proposes to develop new algorithms and data structures/computational models to aid modern spatial data analysis. The need for analyzing spatial data is ubiquitous in many applications, and there is a vast literature on algorithmic tools and data structures to facilitate efficient processing of such data. _x000D_
This proposal aims to investigate several directions to address the challenges caused by the complicated nature of real data sets, such as the local variation in sample density, and the presence of heterogeneous non-metric information associated to data. _x000D_
More precisely, the PI proposes to study new models for metric comparison or for analyzing complexity of computation; to model and support locally adaptive sampling and heterogeneous data; and to develop new algorithms and hierarchical data structures for the resulting metrics and new models. _x000D_
_x000D_
Overall, I think this is a very good proposal, with good potential to lead to important new methodologies and results for spatial data analysis. Given the importance of efficient algorithms/data structures for data analysis application, the proposed project can potentially impact many application fields in science and engineering beyond the fields of algorithms and computational geometry._x000D_
_x000D_
</t>
  </si>
  <si>
    <t>Spatial data takes many forms including configuration spaces of robots or proteins, collections of shapes or measures, and physical models and measurements from new sensing technologies.  These data sets often contain intrinsic, nonlinear, low-dimensional structure hidden in complex high-dimensional input representations.  To uncover such structure one needs to adapt to local changes in scale, recognize multiscale structure, represent the intrinsic space underlying the data, compute with coarse approximate distances, and integrate heterogeneous data into meaningful distance functions.  There is a need for algorithms and data structures that can search, represent, and summarize such data sets efficiently.  The PI proposes to develop new data structures, models of computation, sampling theories, sampling algorithms, and metrics for addressing these challenges.This creative and original approach to spatial data analysis is the first to combine the efficient data structures on spatial data with state-of-the-art methods in discrete differential geometry.  The methods will generalize both Euclidean ideas from mesh generation and non-metric ideas from topological data analysis.  It is potentially transformative as it proposes new models for algorithms on metric spaces as well as a new perspective on heterogeneous data, both of which open entirely new problem domains for algorithms researchers.The proposed research will make geometric methods applicable to a much wider range of problems and with that comes the need for wider understanding of advanced geometry and topology.  The PI will integrate research and education, introducing computer science students at both the undergraduate and graduate level to foundational ideas in spatial data analysis, from geometry to topology that are rare even in modern curricula despite their proven importance.  The proposed research will also be a training ground for a graduate student who will get the experience of traveling to conferences and presenting the work to a wide audience.  The PI will also work one-on-one to mentor undergraduates from traditionally underrepresented groups and help train high school teachers.</t>
  </si>
  <si>
    <t>11</t>
  </si>
  <si>
    <t xml:space="preserve"> Panel Summary       
 SUMMARY OF PROPOSED RESEARCH ACTIVITY _x000D_
_x000D_
Proposal will tackle a number of important questions in derandomization and learning theory, including Read-Once Branching Programs and Linear-Threshold Functions/Polynomial-Threshold Functions, and finding better/new Pseudo-Random Generators. _x000D_
_x000D_
INTELLECTUAL MERIT _x000D_
 _x000D_
+ These are fundamental questions for which the proposal presents tractable next steps._x000D_
+ The PI is very good at finding ideas in the math literature, learning and applying them to TCS. 	_x000D_
_x000D_
- A question that came up is: What are the exciting new approaches? While the problems proposed seemed to be the right ones, the panel felt the proposal could have been more exciting/inspiring. _x000D_
- The proposal has three distinct parts --- derandomization and learning, with PTFs in common, and density estimation, which is perhaps a bit different from the others. _x000D_
_x000D_
BROADER IMPACTS_x000D_
_x000D_
Broader impact is a bit weak, with standard course development material. Organized the TCS+ seminar. Some plans for outreach programs. _x000D_
_x000D_
CAREER SOLICITATION-SPECIFIC REMARKS: _x000D_
_x000D_
Letter of institutional commitment: Included. _x000D_
_x000D_
Integration of research and education: Includes quarterly mini-workshops at Northwestern, involvement in the TCS+ online lecture series, development of curriculum, student advising and writing surveys.  _x000D_
_x000D_
ADDITIONAL REMARKS _x000D_
_x000D_
Data Management Plan: Adequate. _x000D_
_x000D_
Results of prior support: Clearly stated. _x000D_
_x000D_
_x000D_
SUMMARY STATEMENT _x000D_
_x000D_
This proposal attacks problems on the frontier of derandomization and learning of polynomial threshold functions. Progress on these seems essential to understanding the role of randomness in computation. The PI has an excellent track record on these topics, including some of the state-of-the-art results._x000D_
_x000D_
The recommendation of the panel is  _x000D_
_x000D_
___ Highly Competitive_x000D_
_X_ Competitive_x000D_
___ Low Competitive_x000D_
___ Not Competitive_x000D_
_x000D_
The panelists concur that the Panel Summary accurately reflects the panel discussion._x000D_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</si>
  <si>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Analysis in Derandomization and Learning_x000D_
_x000D_
Proposal Number: 1652235_x000D_
PI: De, Anindya_x000D_
Institution: Northwestern University_x000D_
Recommendation: Decline_x000D_
_x000D_
Ranking in Panel and Panel Procedures:_x000D_
_x000D_
Panel Number: P170288_x000D_
Reviewers Ratings: V, V, V/G, V/G_x000D_
Panel Recommendation: Competitive_x000D_
This project was ranked 11th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The PI proposes to study fundamental problems in derandomization and learning theory using tools from analysis and probability theory. The problems in derandomization focus mostly on space-bounded computation (such as the well-known L vs. RL problem)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  The PI proposes a good range of problems, from very difficult but very important to more tractable but still important. Reviewers were somewhat mixed on the quality and depth of plans for approaching the problems._x000D_
_x000D_
Broader Impacts:_x000D_
_x000D_
The PI was one of three founders of the online seminar TCS+, which presents online talks by leading researchers. The PI plans to continue organizing this. The PI proposes other broader impacts, including theory activities at Northwestern, expository pieces, and outreach such as "Career Day for Girls."  Overall, reviewers felt the broader impact was solid but not outstanding._x000D_
_x000D_
PI Qualifications:_x000D_
_x000D_
The PI has a strong track record of using analytic methods to solve problems in these areas, and he is likely to continue doing so. The PI will certainly explore creative and original concepts, and the plan is well-reasoned. The PI is highly qualified._x000D_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_x000D_
November 3, 2016</t>
  </si>
  <si>
    <t xml:space="preserve">In the context of the five review elements, please _x000D_
evaluate the strengths and weaknesses of the proposal with respect to intellectual merit._x000D_
_x000D_
This proposal deals with the general question of derandomization as well as noise tolerant PAC learning algorithms for basic function classes/distributions. In terms of derandomization, the PI is interested in logspace (L and RL) algorithms. He's willing to work on the L vs RL problem by relating the random bits to Read Once Branching Programs (ROBPs). In general he's interested in constructing PRGs for ROBPs  of fixed width (followed by more general ROBPs). He also proposes to develop PRGs for small space branching programs, then work on derandomization of low degree polynomials and PTFs. In learning, he's interested in learning boolean functions (as well as distributions) in the PAC model. The PI seems to have direction and preliminary results for some of the many directions he mentions. He seems very qualified and this work would add to our knowledge of learning and derandomization, while setting up a common framework in the models and techniques. Some problems and directions are fleshed out better than others, but that is to be expected._x000D_
_x000D_
In the context of the five review elements, please _x000D_
evaluate the strengths and weaknesses of the proposal with respect to broader impacts._x000D_
_x000D_
The PI's education plan involves new courses, undergraduate and graduate advising, and restructuring existing theory courses. He is interested in programs aimed at high school girls with the goal of attracting women to math and computer science. He's also interested in work for attracting other underrepresented groups at the undergraduate level to math/CS._x000D_
_x000D_
Please evaluate the strengths and _x000D_
weaknesses of the proposal with respect to any additional solicitation-specific review criteria, if _x000D_
applicable_x000D_
_x000D_
_x000D_
_x000D_
Summary Statement_x000D_
_x000D_
All in all this is a strong PI with clear goals related to complexity and learning and a solid proposal/directions._x000D_
_x000D_
</t>
  </si>
  <si>
    <t xml:space="preserve">In the context of the five review elements, please _x000D_
evaluate the strengths and weaknesses of the proposal with respect to intellectual merit._x000D_
_x000D_
The PI plans to tackle a number of important questions in derandomization and learning theory of basic functions (LTFs/PTFs/RoBPs/etc). These are fundamental questions about complexity theory with numerous applications throughout CS theory. The PI proposes work on problems that are both at the forefront of the field in these areas, but are also potentially tractable next steps in developing this theory._x000D_
_x000D_
In the context of the five review elements, please _x000D_
evaluate the strengths and weaknesses of the proposal with respect to broader impacts._x000D_
_x000D_
This section was somewhat weaker. In addition to the more or less standard teaching and course development, the PI has done a couple other things of note. The first of these is the organization of the TCS+ seminar, which has recently provided a useful way for researchers across the country to share their work. Secondly, he has plans for work in a number of outreach programs to attract women and minorities to the field._x000D_
_x000D_
Please evaluate the strengths and _x000D_
weaknesses of the proposal with respect to any additional solicitation-specific review criteria, if _x000D_
applicable_x000D_
_x000D_
Perhaps the strongest aspect of this proposal is that the PI lays out a number of concrete problems along with plausible plans to attack them. This combined with the PIs history of solving difficult problems within this field and ability to bring new ideas from the mathematics literature to bear on such problems, it seems very likely that the he will manage to make significant progress on this project. Most of the projects proposed here would be substantial advances in their respective areas, however, except for a few perhaps overly ambitious goals, few are likely to be truly transformative._x000D_
_x000D_
Summary Statement_x000D_
_x000D_
A solid proposal. Studies important problems in learning and pseudorandomness. Has clear problems both significant in the area and within the expertise of the PI. A bit lacking in broader impacts._x000D_
_x000D_
</t>
  </si>
  <si>
    <t xml:space="preserve">In the context of the five review elements, please _x000D_
evaluate the strengths and weaknesses of the proposal with respect to intellectual merit._x000D_
_x000D_
This proposal aims to make progress on fundamental problems of derandomization, agnostic learning and density estimation by (1) building pseudo-random generators (PRGs) that are secure against Read Once Branching Programs (ROBPs) and Polynomial Threshold Functions (PTFs) (2) learning PTF's agnostically and (3) improved algorithms for density estimation of mixtures, both discrete and continuous.  _x000D_
_x000D_
The PI has some of the state-of-the-art results on these topics, including a deterministic approximate counting algorithm for solutions of PTFs that runs in time poly(n^d, f(d,\eps)); notably the approximation factor is not in the exponent. He proposes to improve this by combining this idea with the work of Kane, who gave a PRG with the current best seed length.   _x000D_
_x000D_
For agnostic learning, the PI plans to build on his prior work to find agnostic learning algorithms for learning linear threshold functions for the uniform distribution over the Boolean hypercube. _x000D_
_x000D_
For density estimation, basic questions include the complexity of learning a sum of n independent random variables with a finite support._x000D_
_x000D_
In the context of the five review elements, please _x000D_
evaluate the strengths and weaknesses of the proposal with respect to broader impacts._x000D_
_x000D_
The proposal addresses problems on the frontier of research in derandomization and agnostic learning for PTFs, as well as density estimation of discrete distributions. The PI has strong prior work on these topics. The tools proposed are also interesting and of interest on their own (e.g., developing Fourier analysis and stochastic calculus in these contexts)._x000D_
_x000D_
Please evaluate the strengths and _x000D_
weaknesses of the proposal with respect to any additional solicitation-specific review criteria, if _x000D_
applicable_x000D_
_x000D_
_x000D_
_x000D_
Summary Statement_x000D_
_x000D_
The proposal builds on the PI's existing work and lays out several interesting directions. While the high-level ideas of combining different approaches to get improved results are promising, it is unclear from the proposal how they will fit together. However, these are difficult problems and it might be hard to tell in advance what will work._x000D_
_x000D_
</t>
  </si>
  <si>
    <t>AS0721756</t>
  </si>
  <si>
    <t>Zuckerman</t>
  </si>
  <si>
    <t>diz@cs.utexas.edu</t>
  </si>
  <si>
    <t xml:space="preserve">In the context of the five review elements, please _x000D_
evaluate the strengths and weaknesses of the proposal with respect to intellectual merit._x000D_
_x000D_
Strengths:_x000D_
_x000D_
The PI proposes to study fundamental problems in derandomization and learning theory using tools from analysis and probability.  The problems in derandomization focus mostly on space-bounded computation and low-degree polynomial threshold functions (PTFs).  The learning theory questions focus mostly on agnostic learning of low-degree PTFs and learning probability distributions.  Derandomization and learning theory may seem quite different, but the PI shows how understanding the structure of Boolean functions such as PTFs can yield results in both fields._x000D_
_x000D_
The PI has a strong track record of using analytic methods to solve problems in these areas, and he proposes to continue doing so. Some of the problems are extremely difficult, such as constructing pseudorandom generators (PRGs) for space-bounded computation.  The PI has proposed difficult problems where there is some hope, such as PRGs for regular branching programs and order-independent PRGs for branching programs.  These would still be major results, and the PI has proposed further cases that may be more tractable, such as PRGs for specific branching programs.  Overall, the PI proposes a good range of problems, from very difficult but hugely important to more tractable but still important._x000D_
_x000D_
The PI is likely to advance knowledge and understanding within derandomization and learning theory, and potentially more areas of theoretical computer science such as lower bounds.  The PI will certainly explore creative and original concepts, and the plan is well-reasoned.  The PI is highly qualified, and the limited resources he needs will be available._x000D_
_x000D_
Weaknesses:_x000D_
_x000D_
There is no significant weakness, but perhaps a couple of minor ones.  The PI doesn't suggest specific ideas to solve these problems, but the PI does seem to come up with plenty of good ideas so I don't fault him for that.  Also, nothing in the proposal stands out as being amazing; it may be hard to do that without a recent breakthrough or a specific idea.  This proposal is more a standard strong proposal from a strong researcher._x000D_
_x000D_
In the context of the five review elements, please _x000D_
evaluate the strengths and weaknesses of the proposal with respect to broader impacts._x000D_
_x000D_
Strengths:_x000D_
_x000D_
The PI was one of three founders of the online seminar TCS+, which presents online talks by leading researchers.  This is a very good way to make advances in theory accessible to a larger audience than usual.  The PI plans to continue organizing this, and perhaps spawn off more specialized online seminars, though at a rare frequency.  The PI proposes other broader impacts, including theory activities at Northwestern, expository pieces, and outreach such as "Career Day for Girls."_x000D_
_x000D_
Weaknesses:_x000D_
_x000D_
There is no significant weakness, though again one could say there is nothing amazing._x000D_
_x000D_
Please evaluate the strengths and _x000D_
weaknesses of the proposal with respect to any additional solicitation-specific review criteria, if _x000D_
applicable_x000D_
_x000D_
N/A_x000D_
_x000D_
Summary Statement_x000D_
_x000D_
The PI proposes to study fundamental problems in derandomization and learning theory using tools from analysis and probability.  The PI has a strong track record, and the PI is likely to prove some original, important results.  This proposal should be funded if at all possible._x000D_
_x000D_
</t>
  </si>
  <si>
    <t>The aim of the proposed research is to address the following two fundamental questions in theoretical computer science: (i) Can every randomized algorithm be derandomized without significant increase in time and space? (ii) Are there provably efficient noise tolerant learning algorithms for basic classes of functions and distributions?_x000D_
While the above questions may seem to be disjoint at first glance, a significant amount of progress for both these questions has been rooted at a common source. Namely, by using ideas and methods from analysis and probability theory, key structural understanding has been achieved for several important classes of functions and distributions. This structural understanding has led to design of new learning algorithms as well as major progress in derandomization. Additionally, the tools developed in this pursuit have led to progress in many other areas of theoretical computer science such as hardness of approximation, concrete complexity and data structures to name a few.The main intellectual merit of the proposed research is in investigating the following topics:_x000D_
_x000D_
-Derandomization of small space computation and concrete complexity classes related to small space computation._x000D_
-Derandomization of low degree polynomial threshold functions and related complexity classes such as TC0._x000D_
-Designing noise tolerant learning algorithms for important classes of Boolean functions such as linear and polynomial threshold functions._x000D_
-Broaden the scope of analytic and probabilistic techniques to algorithms for learning distributions and other unsupervised learning tasks._x000D_
_x000D_
Additionally, the PI believes that research in the aforementioned directions will lead to development of new analytic and probabilistic tools which are going to be useful in other areas of theoretical computer science.The PI intends to achieve broader impact in three ways: advising and training graduate students in their development as independent researchers and educators; quick and effective dissemination of research; participation in outreach programs aimed at high school students and undergraduate students especially those belonging to underrepresented groups. Highlights of this plan are: building a research group of about 2 graduate students at Northwestern University; dissemination of research results via publications in conferences and journals; participation in and dissemination via seminars and workshops; organization of online seminars such as TCS+ (of which the PI is one of the organizers) to facilitate quick and cheap dissemination of research; survey articles and graduate courses centered around the topic of proposed research; reaching out to high school students especially women and other minority groups to consider a career in mathematical sciences; attracting undergraduate students (especially underrepresented groups) to research in theoretical computer science.</t>
  </si>
  <si>
    <t xml:space="preserve"> Panel Summary       
  SUMMARY OF PROPOSED RESEARCH ACTIVITY_x000D_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_x000D_
_x000D_
Educational and Outreach Plans:_x000D_
_x000D_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INTELLECTUAL MERIT_x000D_
_x000D_
Strengths:_x000D_
_x000D_
* The proposed work on correlated effects is interesting and reasonable._x000D_
The section on hedge connectivity was well-thought-out, although one_x000D_
panelist was surprised it did not mention vertex connectivity._x000D_
Partial results are given for this topic._x000D_
_x000D_
* The proposed work on network design with limited recourse was especially_x000D_
appreciated._x000D_
_x000D_
* The panel liked the dynamic on-line model section and were impressed_x000D_
by the partial results here._x000D_
_x000D_
Weaknesses_x000D_
_x000D_
* At least one panelist thought that the network formation problem has_x000D_
been around for a while, and that no breakthrough will come out of this_x000D_
direction._x000D_
_x000D_
* The presentation gives the impression that the three models are newer than they actually are, as they have appeared previously in the literature._x000D_
_x000D_
Suggestions for Improvement:_x000D_
_x000D_
* Aim for more ambitious goals; consider generalizing some of the models_x000D_
especially relating to the correlated effects._x000D_
_x000D_
* The presentation could be improved to make a better case for how the_x000D_
three topics fit together._x000D_
_x000D_
* The section on network formation could be deleted._x000D_
_x000D_
BROADER IMPACTS _x000D_
_x000D_
Strengths: _x000D_
_x000D_
* The PI will be doing a variety of tasks related to teaching and_x000D_
research mentoring._x000D_
_x000D_
Weaknesses:_x000D_
_x000D_
* The proposal could suggest more efforts relating to diversity or_x000D_
reaching out to K-12 education._x000D_
_x000D_
* The courses to be designed are pretty standard, and the benefit from_x000D_
them is not great._x000D_
_x000D_
Suggestions for improvement:_x000D_
_x000D_
* Add some activities relating to diversity or K-12 education._x000D_
_x000D_
CAREER SOLICITATION-SPECIFIC REMARKS:_x000D_
_x000D_
Letter of institutional commitment: Included._x000D_
_x000D_
Integration of research and education:  The education plan is_x000D_
well-integrated with the research plan.  The PI will incorporate research results obtained in his graduate_x000D_
graph algorithms course.  He also plans to make a more interactive_x000D_
version of the undergraduate algorithms course using software tools._x000D_
He plans to develop a new graduate course in combinatorial optimization_x000D_
and a new undergraduate course on great ideas in theoretical computer_x000D_
science.  He will continue working with graduate and undergraduate_x000D_
students in research._x000D_
_x000D_
ADDITIONAL REMARKS_x000D_
_x000D_
Data Management Plan:  Adequate._x000D_
_x000D_
Results of prior support:  Clearly stated._x000D_
_x000D_
SUMMARY STATEMENT_x000D_
_x000D_
The proposal has identified important problems relating to graph_x000D_
algorithms in more realistic models, and has outlined credible_x000D_
approaches to solving them.  The broader impacts activities are very_x000D_
good, but could perhaps be tailored to take more advantage of local_x000D_
opportunities.  The panel liked many aspects of this proposal, but the competition was extremely intense.  Adding some more ambitious goals would help._x000D_
_x000D_
The recommendation of the panel is _x000D_
_x000D_
___ Highly Competitive_x000D_
___ Competitive_x000D_
_X_ Low Competitive_x000D_
___ Not Competitive_x000D_
_x000D_
_x000D_
The panelists concur that the Panel Summary accurately reflects the_x000D_
panel discussion._x000D_
</t>
  </si>
  <si>
    <t>NATIONAL SCIENCE FOUNDATION_x000D_
Directorate for Computer and Information Science and Engineering (CISE)_x000D_
Computing and Computing Foundations Division (CCF)_x000D_
Algorithmic Foundations Cluster (AF)_x000D_
_x000D_
CAREER Program Review Analysis_x000D_
_x000D_
PEC:  7796 Algorithmic Foundations_x000D_
PRC : 7926 Algorithms_x000D_
Panel ID : P170288_x000D_
_x000D_
Recommendation:  Decline_x000D_
_x000D_
Overview:  _x000D_
_x000D_
This proposal was one of 12 proposals rated Not Competitive or Low Competitive by the Algorithmic Foundations CAREER review panel, P170288, which met on October 17-18, 2016.  The panel considered a total of 29 proposals.  3 proposals were rated Highly Competitive, 14 were rated Competitive, 11 were rated Low Competitive, and 1 was rated Not Competitive._x000D_
_x000D_
Reviews:  _x000D_
_x000D_
Each proposal was reviewed by at least 3 experts, including at least one reviewer external to the panel chosen specifically for the proposal.  These ad hoc reviews were read and discussed, along with the panelists' own reviews, during the panel meeting.  Proposals were reviewed based on the standard NSF review criteria of intellectual merit and broader impacts of the proposed activity, with the objectives of the Algorithmic Foundations Program in mind, as well as with respect to CAREER-solicitation-specific review criteria.  Ratings ranged from Very Good (V) to Poor (P).  No reviewer rated this proposal as Excellent.  At the panel meeting the proposal was discussed by the entire panel and evaluated for its intellectual merit and the potential for broader impacts. The panel rated the proposal as Not Competitive (NC) or Low Competitive (LC).  The panel summary and individual reviews document the particular deficiencies of this proposal as evaluated by the panel, along with recommendations for improvement where appropriate._x000D_
_x000D_
Response to E/V rating:_x000D_
_x000D_
One reviewer gave a rating of E/V.  This reviewer is a relative outsider to the area.  The ad hoc reviewer and the other two panelists, all of whom gave lower scores, are more familiar with graph algorithms and optimization; the E/V reviewer's area is distributed algorithms.  The proposal seems to make a good case in the eyes of the general AF audience, but fails to rise to the level of a Competitive or Highly Competitive proposal in the view of any reviewer with deep expertise on its content._x000D_
_x000D_
Intellectual Merit and Broader Impacts:  _x000D_
_x000D_
Although the panel saw some merit in all proposals, this proposal was lacking in one or more of the following respects: vague problem definition; unsubstantiated relation between ambitious goals and detailed plan; incremental nature of some or all of the proposed work; research topics were not particularly novel from a theoretical perspective; lack of detail on partial results and specific barriers to progress; lack of specific ideas regarding how known barriers can be overcome; proposed solutions are natural and obvious extensions of known results; lack of novelty relative to the PI?s past research; Broader Impacts limited to training of grad students funded by the project; narrow focus on results with limited impact in the context of the broader research community._x000D_
_x000D_
The AF program directors concur with the panel?s assessment and recommend that this proposal be declined._x000D_
_x000D_
_x000D_
Tracy Kimbrel, Rahul Shah, Jack Snoeyink, Program Directors_x000D_
CISE/CCF/AF</t>
  </si>
  <si>
    <t xml:space="preserve">In the context of the five review elements, please _x000D_
evaluate the strengths and weaknesses of the proposal with respect to intellectual merit._x000D_
_x000D_
strengths:_x000D_
- important directions for network design to make the problem statements more realistic/practical._x000D_
- a decent set of nine problems to work on._x000D_
- the three directions considered study more "robust" and realistic models for network design (I suggest the PI use such terms while trying to argue that the three thursts are related), which are becoming more and more important as such problems arise in practice and better solutions are needed._x000D_
- PI is a strong researcher with proven expertise and abilities.  he has a good network of collaborators.  he has done extensive research in graph algorithms and in particular, network design, and some of his prior work shows that he knows this area well and he is likely to succeed in solving these problems._x000D_
_x000D_
weaknesses:_x000D_
- more details of the timeline for the proposal would have been useful.  some problems (particularly, those in section 4) are too broad._x000D_
- proposal time and again calls the three directions of research "novel," but the second and third directions are not so much so.  in particular, different flavors of network design under uncertainty has been studied in the late 2000s and early 2010s, as the PI cites some of those work (mostly coauthored by Anupam Gupta)._x000D_
- more creative/novel models for "correlated effect" (than the basic hedge or reliability versions) could have been proposed/explored.  for starters, let's say that for each edge/resource we have a failure function depending on the failure of different owners.  or we could say that there are adversaries owning the resources, but each can only fail a fixed number of resources, rather than letting them break down all the resources they own: a combination of hedge and reliability.  one could say, an edge fails if all its potential owners fail or if any one of them fails, etc.  I understand that some of these reduce to one another, and that even the basic problems are not well-understood, but still I feel it's best to explore alternative models for correlated effects._x000D_
_x000D_
In the context of the five review elements, please _x000D_
evaluate the strengths and weaknesses of the proposal with respect to broader impacts._x000D_
_x000D_
strengths:_x000D_
- graph algorithms are important everywhere (transportation/information networks, e.g.) and modeling the problems in more "robust" ways (all the three goals tends to produce more realistic problems than the vanilla versions of many network design problems, hence greater potential for being impactful in practice._x000D_
- PI has been actively mentoring several undergrad/grad students._x000D_
_x000D_
weaknesses:_x000D_
- The PI suggests that the proposed research will be incorporated in the Spring 2017 offering of a graduate algroithms course he is going to teach.  I suspect that the questions proposed for study in the proposal might be too difficult for average students in a graduate algorithms course, specially if it is a broad course with attendees from differing backgrounds (as the PI mentions).  Usually more mature students with specific interest in algorithms research are more suitable to puruse this kind of research.  If the questions had been broken down into smaller pieces, or maybe just survey work would be more appropriate.  Alternately, once some results are obtained (in the year two or three of the proposal), students can be encouraged to either implement the algorithms and/or think about extending the results or find applications for them._x000D_
- some of the efforts of the PI discussed in section 6 do not seem too relevant to the subject of the proposal (e.g., the logistical changes to an undergraduate course the PI has offered).  these are nonetheless important to get more students into computer science._x000D_
- in the "collaborations" paragraph of section 6, it might have been beneficial to have some citations.  (some are mentioned in section 5.)_x000D_
- more attention could have been paid to underrepresented minorities/women in the proposal.  there is little evidence in the proposal to suggest the PI is actively doing this._x000D_
- considering implementation aspects of the algorithms (new or older ones not the fruit of this very proposal) could be a better way to get the undergrad or even master students involved._x000D_
- the proposal could have given some attention to exciting high-school students about the sciences and specifically computer science._x000D_
- the courses proposed to be design are not particularly new and perhaps a good portion of the material is already available on the web._x000D_
_x000D_
Please evaluate the strengths and _x000D_
weaknesses of the proposal with respect to any additional solicitation-specific review criteria, if _x000D_
applicable_x000D_
_x000D_
_x000D_
_x000D_
Summary Statement_x000D_
_x000D_
In summary, I believe the proposal is modest but has a good set of theoretical, yet practically motivated, problems to pursue._x000D_
_x000D_
The proposal aims to explore three directions for network design algorithms: facing correlated effects, strategic players, and uncertainty.  Each is an interesting direction to pursue, theoretically and practically, and the proposal tries to sort of tie them together._x000D_
_x000D_
The proposal has a modest education/outreach plan, but underrepresented groups as well as high school students could have been involved more.  Though there is great potential for practical work in the area (in the form of having students implement the algorithms and/or ensuring the results are used in industry), little attention is given to this aspect._x000D_
_x000D_
</t>
  </si>
  <si>
    <t xml:space="preserve">In the context of the five review elements, please _x000D_
evaluate the strengths and weaknesses of the proposal with respect to intellectual merit._x000D_
_x000D_
This is an excellent proposal dealing with several interesting generalizations of several classical graph problems which have been widely studied.  These include a generalization of studying min cuts to the case when edge failures are co-related (in summary, a set of edges called a hedge, all fail together) as well as studying game theoretic questions about the Price of Anarchy and the Price of Stability, and finally studying online network design questions (with recourse) generalization the pure online Steiner tree problem._x000D_
I was surprised to find no discussion of vertex connectivity as in some sense this captures exactly co-related edge failures - if a vertex fails, then all the edges incident to this vertex fail together. _x000D_
_x000D_
I am not sure the problem of Price of Stability is as interesting as the problems dealing with the Price of Anarchy._x000D_
_x000D_
Personally, the parts of the proposal I found most valuable were dealing with hedge-connectivity (certainly an interesting generalization of the case when each hedge is a singleton edge) and the online network design parts where decisions can be revoked._x000D_
Here unlike in dynamic algorithms where the main goal is to keep update time low, the quality of the solution is what is the main measure and not update time. I find this set of results to be quite relevant and interesting._x000D_
_x000D_
I think the problems are interesting, the PI has made contributions and presented approaches that are all sound and interesting._x000D_
_x000D_
_x000D_
In the context of the five review elements, please _x000D_
evaluate the strengths and weaknesses of the proposal with respect to broader impacts._x000D_
_x000D_
The PI is working with several graduate and undergraduate students and that_x000D_
mentoring looks terrific.  The problems and techniques are certainly of broad interest and the PI is professionally involved in the community, especially with organizing a Shonan_x000D_
workshop on optimization under uncertainty._x000D_
_x000D_
The biggest weakness is the weak involvement of minorities and women._x000D_
_x000D_
Please evaluate the strengths and _x000D_
weaknesses of the proposal with respect to any additional solicitation-specific review criteria, if _x000D_
applicable_x000D_
_x000D_
_x000D_
_x000D_
Summary Statement_x000D_
_x000D_
This is an excellent proposal by a PI who has done stellar work already. I was impressed with the clear presentation, quality of writing and line of attack presented._x000D_
_x000D_
</t>
  </si>
  <si>
    <t>HH0921688</t>
  </si>
  <si>
    <t>Roughgarden</t>
  </si>
  <si>
    <t>tim@theory.Stanford.EDU</t>
  </si>
  <si>
    <t xml:space="preserve">In the context of the five review elements, please _x000D_
evaluate the strengths and weaknesses of the proposal with respect to intellectual merit._x000D_
_x000D_
What is the potential for the proposed activity to_x000D_
advance knowledge and understanding within its own field or across different fields (Intellectual Merit); and_x000D_
benefit society or advance desired societal outcomes (Broader Impacts)?_x000D_
_x000D_
--Very good, short of outstanding_x000D_
_x000D_
To what extent do the proposed activities suggest and explore creative, original, or potentially transformative concepts?_x000D_
_x000D_
--Most of the research problems proposed are reasonable and likely to lead to progress in graph algorithms.  (See Summary Statement for details.)_x000D_
_x000D_
Is the plan for carrying out the proposed activities well-reasoned, well-organized, and based on a sound rationale? _x000D_
_x000D_
--Most of the proposed problems are reasonable and leverage the PI's expertise._x000D_
_x000D_
Does the plan incorporate a mechanism to assess success?_x000D_
_x000D_
--Presumably, success will be based on the publications produced._x000D_
_x000D_
How well qualified is the individual, team, or institution to conduct the proposed activities?_x000D_
_x000D_
--Well qualified._x000D_
_x000D_
Are there adequate resources available to the PI (either at the home institution or through collaborations) to carry out the proposed activities?_x000D_
_x000D_
--Yes_x000D_
_x000D_
In the context of the five review elements, please _x000D_
evaluate the strengths and weaknesses of the proposal with respect to broader impacts._x000D_
_x000D_
What is the potential for the proposed activity to_x000D_
benefit society or advance desired societal outcomes (Broader Impacts)?_x000D_
_x000D_
--Minimal_x000D_
_x000D_
To what extent do the proposed activities suggest and explore creative, original, or potentially transformative concepts?_x000D_
_x000D_
--The proposed activities are the "usual" ones._x000D_
_x000D_
Is the plan for carrying out the proposed activities well-reasoned, well-organized, and based on a sound rationale? Does the plan incorporate a mechanism to assess success?_x000D_
_x000D_
--Yes._x000D_
_x000D_
How well qualified is the individual, team, or institution to conduct the proposed activities?_x000D_
_x000D_
--Qualified._x000D_
_x000D_
Are there adequate resources available to the PI (either at the home institution or through collaborations) to carry out the proposed activities?_x000D_
_x000D_
--Yes._x000D_
_x000D_
Please evaluate the strengths and _x000D_
weaknesses of the proposal with respect to any additional solicitation-specific review criteria, if _x000D_
applicable_x000D_
_x000D_
_x000D_
_x000D_
Summary Statement_x000D_
_x000D_
The PI is a very productive young researcher in combinatorial optimization.  In general, the proposed research is well chosen given the PI's expertise._x000D_
_x000D_
Some but not all of the specific research problems are timely.  My favorite section was Section 4.  Network design with limited recourse is just getting going as a subfield, and there seems to be lots to do, so this is a perfect direction for a young algorithms researcher to focus energies._x000D_
_x000D_
My least favorite section was Section 3, which concerns a game-theoretical model of network formation.  Problems of this type were popular last decade but interest in them has waned since.  Of course it's great when old open problems get solved, but many people have worked on these problems and there's no evidence that a new breakthrough is around the corner.  So there's a concern that this direction would be largely a waste of time.  The proposal does not explain why results for quasi-bipartite graphs might be relevant more generally (e.g., for the Steiner tree problem, quasi-bipartite graphs appear genuinely simpler than general graphs).  _x000D_
_x000D_
The problems in Section 2 have solid motivation, in that we'd like to know pretty much everything there is to know about graph connectivity, and asking about batched edge failures is reasonably natural and seems technically interesting.  So while not exactly a "hot" area these days, I could imagine the PI proving some nice and well-received results in this direction._x000D_
_x000D_
The educational plan is very appropriate (if unremarkable)._x000D_
_x000D_
</t>
  </si>
  <si>
    <t xml:space="preserve">In the context of the five review elements, please _x000D_
evaluate the strengths and weaknesses of the proposal with respect to intellectual merit._x000D_
_x000D_
The PI proposes to find new algorithms and lower bounds for problems in_x000D_
graphs that exhibit the following behavior:  _x000D_
(1) correlated link failures for connectivity problems;_x000D_
(2) strategic (selfish) agents for network design games; and_x000D_
(3) dynamic network design allowing limited recourse (changing previous_x000D_
decisions)._x000D_
Although these will be studied primarily separately, there is a causal_x000D_
relationship mentioned._x000D_
_x000D_
These new aspects of graphs are well-motivated by practical considerations_x000D_
(communication links usually don't fail independently; networks are used_x000D_
by autonomous agents; network requirements do change over time)._x000D_
Specific application areas mentioned include the web, social networks,_x000D_
and the natural sciences._x000D_
_x000D_
For handling correlated link failures, the PI proposes to use the_x000D_
notion of hedges (subsets of edges) and solve fundamental problems_x000D_
relating to (generalizations of) minimum cuts, sparsification, and_x000D_
sampling.  For the selfish agents work, the PI proposes to obtain_x000D_
bounds on the price of stability for various network design games and_x000D_
study equilibria for them.  For the dynamic network design with_x000D_
limited recourse, the PI plans to focus on the Steiner forest problem_x000D_
and try to adapt some recent work of his.  In all these cases,_x000D_
convincing discussion is given for where current approaches fail and_x000D_
some new ideas for how to get around these challenges._x000D_
_x000D_
Although it is not stated explicitly, success can be measured by seeing_x000D_
how many of the desired lower bounds and algorithms are obtained, and_x000D_
how efficient the algorithms are._x000D_
_x000D_
The PI is highly qualified to perform the proposed research and to_x000D_
be successful, as he has already contributed numerous high-impact results_x000D_
in the area.  Institutional resources are certainly adequate._x000D_
_x000D_
Strengths:  The proposal makes the case why these graph problems are_x000D_
important, explains well what the difficulties are in solving them, and_x000D_
provides credible directions toward solutions.  _x000D_
_x000D_
Weaknesses:  None that I can tell_x000D_
_x000D_
Suggestions for Improvement:  Nothing really._x000D_
_x000D_
_x000D_
In the context of the five review elements, please _x000D_
evaluate the strengths and weaknesses of the proposal with respect to broader impacts._x000D_
_x000D_
On the educational side, the PI plans to incorporate research results_x000D_
obtained in his graduate graph algorithms course.  He also plans to_x000D_
make a more interactive version of the undergraduate algorithms course_x000D_
using software tools.  And he plans to develop a new graduate course in_x000D_
combinatorial optimization and a new undergraduate course on great ideas_x000D_
in theoretical computer science._x000D_
_x000D_
The PI will, as is standard, work with graduate and undergraduate students_x000D_
in research._x000D_
_x000D_
On the outreach side, the PI is organizing a workshop on algorithms and _x000D_
optimization under uncertainty that will be held in Japan in 2017._x000D_
_x000D_
These are fairly generic activities, which nevertheless are valuable._x000D_
No explicit ways of measuring success are given._x000D_
_x000D_
Strengths: The technical results that may be obtained through this_x000D_
proposal can have a significant impact both in the theoretical_x000D_
computer science community and in various application areas.  The_x000D_
educational activities are solid._x000D_
_x000D_
Weaknesses: The broader impact activities seem to be a bit rote, and_x000D_
things that faculty members do anyway as part of their job (teaching_x000D_
classes, updating classes, mentoring students in research).  No metric_x000D_
for evaluating success is given._x000D_
_x000D_
Suggestions for Improvement: Is there something unique about any_x000D_
resources or activities at Duke or in the area that could be_x000D_
leveraged to have higher impact activities?  Add a metric for_x000D_
evaluating success._x000D_
_x000D_
_x000D_
Please evaluate the strengths and _x000D_
weaknesses of the proposal with respect to any additional solicitation-specific review criteria, if _x000D_
applicable_x000D_
_x000D_
_x000D_
_x000D_
Summary Statement_x000D_
_x000D_
In the context of intellectual merit, this is an excellent proposal,_x000D_
which has identified important problems relating to graph algorithms,_x000D_
and has outlined credible approaches to solving them.  The broader_x000D_
impacts activities are very good, but could perhaps be tailored to take_x000D_
more advantage of local opportunities._x000D_
_x000D_
</t>
  </si>
  <si>
    <t>For more than fifty years, graph algorithms have played a central role in both theoretical and practical branches of computer science. Over time, networks have evolved in scale, structure, and functionality, requiring new models, problems, and algorithms. This proposal defines three novel, broad, and important directions of research in graph algorithms:_x000D_
(a) Correlated network effects: The vast literature in graph algorithms assumes independent and uncorrelated failure of network links, whereas real world networks typically exhibit strong correlation based on geographical proximity, common ownership and management, and shared equipment. This proposal outlines a comprehensive study of graph connectivity algorithms under correlated network effects. This includes the design of a new framework called hedge connectivity, it connections to classical algorithmic questions in graphs and hypergraphs, and an exploration of the novel algorithmic tools required to tackle this new problem domain. _x000D_
(b)	Strategic agents in a network: Increasingly, networks are being designed for and used by a heterogeneous set of autonomous users, who behave as selfish agents optimizing individual costs. This gives rise to a class of games called network design games, where the strategic behavior of network users leads to system inefficiencies. This proposal gives a comprehensive plan for understanding the equilibria and dynamics of this class of games, including the impact of limited intervention by a central authority. This study will involve the synergistic use of concepts, tools, and techniques from algorithmic game theory and graph algorithms. _x000D_
(c) Network design under uncertainty: In real world networks, the requirements of a network change over time, and the network designer must take decisions under uncertainty about future demands. More generally, the underlying graph may itself be dynamic since the feasibility and/or cost of links changes over time. In this context, this proposal focuses on network design algorithms that can adapt to such changes with limited recourse, so that previous decisions are revoked to the minimum extent possible.The project aims to advance the state-of-the-art in graph algorithms. The three thrusts represent fundamental departures from classical models and give rise to a large body of new problems relevant to modern applications. Furthermore, they bring together areas such as combinatorial optimization, randomized algorithms, algorithmic game theory, online and dynamic algorithms. Successful completion of this project will (a) foster research in these novel directions thereby opening new frontiers for research in graph algorithms, (b) incorporate features in theoretical models that are important from practical considerations thereby bringing theory and practice closer, and (c) give a new perspective on closely related classical problems that are open, and provide new tools to study them. Many of the basic and widely used tools in algorithm design trace their roots to research in graph algorithms, and the PI hopes that the techniques developed in the course of the proposed research will also be widely applicable to algorithms in other domains.Graph algorithms are relevant not only for computer scientists, but also serve as a crucial network analysis tool for a broad spectrum of professionals including sociologists, statisticians, economists, and decision makers in the government and in corporate entities. The proposed research will enhance the capabilities of this diverse set. In fact, graph algorithms ranging from finding transit directions on maps to searching in social networks are instrumental in providing crucial services to the population at large. Progress in graph algorithms eventually leads to better and newer services offered via these applications. _x000D_
This research program will also help recruit and train graduate students at Duke University in theoretical computer science, with emphasis on gender diversity and the participation of underrepresented groups. The results obtained will be widely disseminated via publications in top-tier journals such as JACM, SICOMP, etc. and conference proceedings in FOCS, STOC, SODA, etc. The PI has developed and taught an advanced course on graph algorithms, which will be offered at regular intervals. The proposed research with be integrated with the course in the form of student course projects.</t>
  </si>
  <si>
    <t xml:space="preserve"> Panel Summary       
  SUMMARY OF PROPOSED RESEARCH ACTIVITY _x000D_
_x000D_
The central question addressed by this proposal is the following: Which frequency-based functions can be computed in the streaming model? This is a lofty goal and a huge question for the field, open since the seminal paper of Alon-Matias-Szegedy._x000D_
_x000D_
PI has had many outstanding results recently, making progress towards the more general questions of this proposal. The subproblems considered are also important on their own._x000D_
_x000D_
_x000D_
INTELLECTUAL MERIT _x000D_
_x000D_
+ The proposal addresses arguably the most general question in the study of streaming algorithms. _x000D_
+ Even if this is not completely resolved, any progress towards this characterization would be valuable._x000D_
_x000D_
- Some of the other problems discussed are nominally related to the main theme. _x000D_
- Some questions are too narrow. _x000D_
- The citation numbers seem to be erroneous (e.g., [67] should be [68]). _x000D_
_x000D_
- Are the directions proposed practical? E.g., sliding-window might not be of practical relevance. No experimental studies are proposed. _x000D_
_x000D_
 _x000D_
BROADER IMPACTS_x000D_
_x000D_
+ The proposal includes collaborations with astronomers and statisticians. _x000D_
+ School in Baltimore area in a low-income neighborhood. _x000D_
+ Workshop with first generation college students. _x000D_
_x000D_
+ The PI collaborates with people in other fields. He organized a very successful workshop on streaming. _x000D_
_x000D_
CAREER SOLICITATION-SPECIFIC REMARKS: _x000D_
_x000D_
Letter of institutional commitment: Included. _x000D_
_x000D_
Integration of research and education: This component is outstanding. It includes a very successful workshop and plans for an annual one on sublinear algorithms, ongoing collaborations with astronomers and statisticians, detailed plans for outreach activities with a low-income public school, involvement of undergraduates in research and development of courses and seminars._x000D_
_x000D_
ADDITIONAL REMARKS _x000D_
_x000D_
Data Management Plan: Adequate. _x000D_
_x000D_
Results of prior support: Clearly stated. _x000D_
_x000D_
_x000D_
SUMMARY STATEMENT _x000D_
_x000D_
This is an ambitious proposal, seeking to settle the central mathematical problem in the streaming model. The PI has a strong track record and any partial results will be very interesting.  The broader impacts are strong._x000D_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t>
  </si>
  <si>
    <t>The streaming model is a powerful model of computation that has made a significant impact on computer science over the past decade. Recent developments demonstrate the critical need for streaming methods in numerous applications such as networking, machine learning, astronomy and statistical inference. The project will develop new streaming and sketching algorithms that will be applicable in the aforementioned areas. The project will support undergraduate research and engage students in working on cutting-edge theoretical problems. The project will promote STEM education by collaborating with Independence School Local 1 (IHS), a public charter high school in Baltimore city, where minority students constitute about 60 percent of the student body. This project will help to organize (I) a workshop for first generation students and (II) an annual Sublinear Algorithms Workshop at Johns Hopkins University. The project will promote core education and will introduce new advanced courses and seminars that will convey the principles of algorithms to non-theory students._x000D_
_x000D_
In 1996, Alon, Matias and Szegedy published a fundamental paper on streaming algorithms. The paper introduced the problem of approximating frequency moments in the streaming model and asked the open question, ?What other frequency-based functions can be approximated on streams?? Since 1996 the research on data streams has resulted in great progress. Despite this progress, our understanding of many fundamental streaming problems is far from being complete. The main technical objective of this project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 Extend this knowledge to the decay and distributed models. (3) Design new sampling methods for data streams. Extend the sampling methods for the sliding window model to decay models, improve the weighted and distributed sampling.</t>
  </si>
  <si>
    <t xml:space="preserve">In the context of the five review elements, please _x000D_
evaluate the strengths and weaknesses of the proposal with respect to intellectual merit._x000D_
_x000D_
This proposal focuses on streaming algorithms and asks a big (in general terms) question: what kinds of frequency-related questions can be answered in small space within the streaming framework? The goal is very lofty: the types of problems of a statistical nature that he mentions, as he himself observes, have been *extremely* well studied, big results are rare (but they do exist, some, notably, belonging to the PI). He is perhaps asking too big an overarching question, but is unquestionably well equipped to attack it. He knows the background well, has many important results himself, and presents concrete problems and directions as well as preliminary results. His ambition extends to a very large class of problems as well as different streaming models (cash register, turnstile, sliding window), both sampling and sketching. I'm not sure how much of this can be delivered, and at this stage of knowledge there's always the risk that the results might not be as general or as useful as we'd like, but I can see at the very least that they will probably be interesting from a technical point of view. If he answers the bigger, general problems, it will be great for the streaming community._x000D_
_x000D_
In the context of the five review elements, please _x000D_
evaluate the strengths and weaknesses of the proposal with respect to broader impacts._x000D_
_x000D_
The PI has worked with big data in an industry setting and seems to have an understanding of what is involved in practice. While streaming algorithms have not found considerable practical use, improving our knowledge will certainly be a push in that general direction. The PI has plans to collaborate with people in astronomy, networking, or statistics, which would be a good way to test the practical applicability of streaming techniques. He also seems to be more involved with outreach than other PIs -- including underprivileged grade school students and first generation college students who would benefit from his expertise and enthusiasm._x000D_
_x000D_
Please evaluate the strengths and _x000D_
weaknesses of the proposal with respect to any additional solicitation-specific review criteria, if _x000D_
applicable_x000D_
_x000D_
_x000D_
_x000D_
Summary Statement_x000D_
_x000D_
A very qualified PI, a very lofty goal in a well thought out proposal on very well studied problems. Ambition and direction combination might lead to great results, if not all that are mentioned in the proposal (or perhaps all *can* be achieved, which would be a great day for streaming)._x000D_
_x000D_
</t>
  </si>
  <si>
    <t>ET0558873</t>
  </si>
  <si>
    <t>Gibbons</t>
  </si>
  <si>
    <t>gibbons@cs.cmu.edu</t>
  </si>
  <si>
    <t xml:space="preserve">In the context of the five review elements, please _x000D_
evaluate the strengths and weaknesses of the proposal with respect to intellectual merit._x000D_
_x000D_
Strengths:_x000D_
_x000D_
* The proposal has a very high potential to advance the knowledge and understanding in a field that is important today and growing in importance._x000D_
_x000D_
* The proposal for the most part addresses the key open questions in its area and provides creative approaches to seek to solve them, building upon the PI's significant progress in these areas.  For frequency-based functions, Objective #1 aims to resolve the entire area, which is a bold goal.  This is complemented by Objectives #3-#6 that target important general subquestions of Objective #1._x000D_
Going beyond just frequency-based functions, Objectives #7-#11 consider other key questions in streaming algorithms.  Objective #8 is of considerable theoretical interest in understanding the hardness of the sliding windows model (but see the caveat below).  Section 2.8 addresses very important questions, as subsampling and weighted sampling are of great theoretical and practical interest._x000D_
_x000D_
* The plan is very good._x000D_
_x000D_
* The PI is one of the few top researchers in the world in the proposed area of study, with 20+ recent papers in this area at top conferences including several in 2016.  For nearly all the proposed research objectives, the PI has published important preliminary work, thereby providing high confidence of making significant progress on the proposed work.  Moreover, the proposed collaborators are also stars in this area (e.g., Woodruff) and the PI has a proven track record of publishing with these collaborators._x000D_
_x000D_
* The resources are sufficient to carry out the proposed activity._x000D_
_x000D_
Weaknesses:_x000D_
_x000D_
* There is no experimental study proposed.  Often, the constants in a streaming algorithm make it less effective in practice, and there is value in designing simple algorithms with small constants._x000D_
_x000D_
* While of theoretical interest, I am skeptical of the practical importance of large frequency moments (between F_2 and F_infinity) and there is no attempt in the proposal to provide practical motivation for this objective (#2)._x000D_
_x000D_
* The question considered in Section 2.4 seems very narrow, although Objective #4 in that section is sufficiently broad._x000D_
_x000D_
* The exact sliding window model (Section 2.7), while well-studied in the streaming literature, is an overly restrictive model in practice.  It would be more interesting from a practical standpoint to study the mini-batch variant: time is divided into epochs and queries are only asked about consecutive complete epochs._x000D_
_x000D_
* Another real-world use of streaming algorithms is in Facebook's Summingbird, e.g., its use of sketches for keeping per-user statistics.  I suggest looking into that domain for further applications._x000D_
_x000D_
(As an aside to the PI, a number of the self-citations appear not to have been updated since 2013-2014, e.g., [41,52,54,55,57].  Also, the use of the term "zero-one law" to mean a necessary and sufficient condition was annoying to me since a new term is not needed and it wasn't defined until page 6.)_x000D_
_x000D_
_x000D_
_x000D_
_x000D_
_x000D_
In the context of the five review elements, please _x000D_
evaluate the strengths and weaknesses of the proposal with respect to broader impacts._x000D_
_x000D_
The area of streaming algorithms continues to grow in importance with the trends towards extracting value from larger and larger data sets, and indeed the Facebooks and Googles of the world rely heavily on such algorithms.  The PI has successfully applied streaming algorithms to astronomy and networking domains, and proposes to collaborate as well with a statistics professor on applications to statistical inference.  Not much of the proposal is devoted to these collaborations (two short paragraphs)--I would have liked to see more details._x000D_
_x000D_
The proposed education plan and activities are a strength of the proposal.  I particularly liked (i) the after-school curriculum to support the growth of mathematical curiosity in high-schoolers at a school with 79% economically disadvantaged students (there is a support letter from the Math/Technology teacher at the school); (ii) the workshop for first-generation college students in computer science with its focus and well-considered plan; (iii) the PI's proven track record on successful undergraduate research; and (iv) the teaching methodologies targeting students with limited prior CS background._x000D_
_x000D_
(As an aside to the PI, there is an off-by-one error in the citations in Section 3.4.)_x000D_
_x000D_
_x000D_
_x000D_
_x000D_
_x000D_
Please evaluate the strengths and _x000D_
weaknesses of the proposal with respect to any additional solicitation-specific review criteria, if _x000D_
applicable_x000D_
_x000D_
The PI seems to meet the criteria for a CAREER award._x000D_
_x000D_
Summary Statement_x000D_
_x000D_
In consideration of both the intellectual merits and broader impacts, I rate this proposal Very Good._x000D_
_x000D_
</t>
  </si>
  <si>
    <t xml:space="preserve">In the context of the five review elements, please _x000D_
evaluate the strengths and weaknesses of the proposal with respect to intellectual merit._x000D_
_x000D_
The PI proposes to work on important problems in data stream_x000D_
computing.  Specifically, he hopes to find algorithms for all_x000D_
frequency-based stream functions that can be approximated efficiently_x000D_
and prove non-approximability for the rest, find new algorithms for_x000D_
the sliding window model, and discover new results for sampling from a_x000D_
data stream.  The PI has made notable recent progress in this area._x000D_
_x000D_
Note: the bibliography has some numbering errors, e.g., on page 6_x000D_
reference [67] should be [68].  Perhaps BibTeX needed to be run one_x000D_
more time._x000D_
_x000D_
_x000D_
In the context of the five review elements, please _x000D_
evaluate the strengths and weaknesses of the proposal with respect to broader impacts._x000D_
_x000D_
The broad impact of the proposed work is excellent.  The PI_x000D_
collaborates with domain experts in fields (like astronomy and network_x000D_
monitoring) in which data streams arise naturally.  This kind of_x000D_
cross-disciplinary collaboration often receives lip service, but the_x000D_
concrete commitment to applying theory to practice shown here is_x000D_
unfortunately rare.  The PI's education and outreach plans are also_x000D_
above average--outreach to first-generation college students is_x000D_
particularly notable and worthwhile.  He participates in outreach to_x000D_
high school students in Baltimore, co-organizes a workshop on_x000D_
sublinear algorithms, and has a good track record of undergraduate_x000D_
research._x000D_
_x000D_
_x000D_
Please evaluate the strengths and _x000D_
weaknesses of the proposal with respect to any additional solicitation-specific review criteria, if _x000D_
applicable_x000D_
_x000D_
_x000D_
_x000D_
Summary Statement_x000D_
_x000D_
The PI will continue his successful work on important problems in_x000D_
streaming computation.  The broad impact of his work is well above_x000D_
average._x000D_
_x000D_
_x000D_
</t>
  </si>
  <si>
    <t xml:space="preserve">In the context of the five review elements, please _x000D_
evaluate the strengths and weaknesses of the proposal with respect to intellectual merit._x000D_
_x000D_
The PI intends to work on trying to understand the complexity of a number of questions in the streaming model and to try to gain a better classification of which problems are easy or difficult to solve in this model. In particular, the proposal focuses on several classes of functions, trying to understand which functions in the class are efficiently computable in the streaming model. Particular classes considered include:_x000D_
1) Frequency based functions, and in particular:_x000D_
1A) Sums of one- or two-variable functions over all frequencies (such as moment functions)._x000D_
1B) Heavy hitters._x000D_
2) Functions in the sliding window model._x000D_
3) Sampling problmes._x000D_
The streaming model is an important model of computation with many practical (and a few theoretical) applications. The questions that the PI asks are natural next steps in this model. Furthermore, the PI has collaborations with people outside of computer science where some of these algorithms are being applied._x000D_
_x000D_
In the context of the five review elements, please _x000D_
evaluate the strengths and weaknesses of the proposal with respect to broader impacts._x000D_
_x000D_
There are several potential sources of broader impact for this proposal._x000D_
1) The material studied in this proposal has the potential for substantial practical application, and the PI has already formed collaborations to being applying some of it. _x000D_
2) In terms of outreach, the PI has mentioned two main things: _x000D_
2A) A program at a local high school for introducing mathematical and algorithmic ideas through puzzles and_x000D_
2B) A program for first generation undergraduate students to help introduce them to academia better._x000D_
3) Mentoring and teaching._x000D_
These seem to be more or less in line with other proposals in this field._x000D_
_x000D_
Please evaluate the strengths and _x000D_
weaknesses of the proposal with respect to any additional solicitation-specific review criteria, if _x000D_
applicable_x000D_
_x000D_
A thorough understanding of the complexity of streaming algorithms in the sense of solving the problems mentioned in this proposal would be a substantial advance. The PI does seem well positioned to make this progress as he has already done significant work in the field and has several collaborators already lined up. The problems discussed seem not out of reach, but the PI says very little about what kinds of techniques might be used to attack them._x000D_
_x000D_
_x000D_
Summary Statement_x000D_
_x000D_
This is a strong proposal. It covers important theoretical problems with significant practical applications. The PI seems well set up to do this research. However, it would be nice to see a little more detail on what methods might be used to attack these problems._x000D_
_x000D_
Also, I feel like the proposal uses the phrase "zero-one law" to mean necessary and sufficient condition rather than the more standard reference to a theorem stating that probabilities (or limiting probabilities) of certain classes of events will always be zero or one._x000D_
_x000D_
</t>
  </si>
  <si>
    <t xml:space="preserve">In the context of the five review elements, please _x000D_
evaluate the strengths and weaknesses of the proposal with respect to intellectual merit._x000D_
_x000D_
This proposal addresses streaming algorithms and complexity. The PI has been a leader in this topic, with striking results, including so-called zero-one laws for characterizing the tractability of some classes of functions in the streaming model. In this proposal, he aims to address several open questions including, the exact streaming space complexity of  approximating frequency moments (only recently he showed an asymptotically tight bound for large moments in terms of the number of distinct elements), conjectures on the tractability of classes of functions of frequencies, first of one variable, and then of two variables (very little is known about the latter), the heavy hitters problem, extensions to the sliding window model (where statistics are to be computed on a recent large window rather than all the data so far) and understanding the effectiveness of uniform and weighted random sampling. The characterizations obtained by the PI for monotonic functions are particularly impressive._x000D_
_x000D_
In the context of the five review elements, please _x000D_
evaluate the strengths and weaknesses of the proposal with respect to broader impacts._x000D_
_x000D_
The PI has substantial prior experience in industry as well and makes a strong case for the practical utility of the proposed research. He has organized a very successful workshop on this topic and plans to make it annual._x000D_
_x000D_
Please evaluate the strengths and _x000D_
weaknesses of the proposal with respect to any additional solicitation-specific review criteria, if _x000D_
applicable_x000D_
_x000D_
_x000D_
_x000D_
Summary Statement_x000D_
_x000D_
The streaming model has played a crucial role in the theory of algorithms in the past two decades, and has now established strong connections to distributed algorithms, communication complexity, random sampling and other topics. This proposal will enhance our understanding of which functions can be efficiently computed in the streaming model and likely provide new algorithms._x000D_
_x000D_
</t>
  </si>
  <si>
    <t>The streaming model is a powerful model of computation that has made a significant impact on computer science over the past decade. Today streaming algorithms have found applications in databases, networking, machine learning, and astronomy.In 1996 Alon, Matias and Szegedy published a fundamental paper that introduced the problem of approximating frequency moments in the streaming model. They asked the open question, "What other frequency-based functions can be approximated on streams?".  In the proposed research I will investigate this central question._x000D_
The main objective of this proposal is to develop new algorithms that will resolve central problems and overcome existing barriers of streaming methods. The specific goals are the following: (1) Answer the main open question of Alon, Matias and Szegedy and obtain a zero-one law for all frequency-based functions. (2)	Discover the relation between the sliding window model and the unbounded model._x000D_
(3) Design new sampling methods for data streams. Extend my method for the sliding window model to decay models, improve the weighted and distributed sampling._x000D_
_x000D_
Recently, together with my coauthors, we have made a significant progress towards resolving the aforementioned problems. For constant error, we obtained a first algorithm for large frequency moments with optimal space complexity (RANDOM 15) resolving a long-standing open problem. In addition, we provided a zero-one law for nearly all functions of a single variable (PODS 16). Also, we resolved another long-standing open problem of understanding the space complexity of the $L_2$-heavy hitters in insertion-only streams (STOC 16) improving the famous CountSketch algorithm. Our algorithm works in $O(\log n)$-space and $O(1)$ update time. Our new bounds are based on a surprising connection between the insertion-only streaming model and the popular Chaining Method that has been developed by Fernique and Talagrand. In another work (ArXiv, 1511.01111), we introduced a notion of "modulus of concentration" that determines the streaming space complexity of any symmetric norm. We present fresh examples with heretofore unknown streaming space_x000D_
complexity, like the top-$k$ norm, $Q$ norms, and $Q'$ norms._x000D_
Our work creates new connections between streaming, the local theory of Banach spaces and the Dvoretzky's Theorem. In addition, we presented the first polylogarithmic space O(1)-approximation to the metric k-median and metric k-means problems in the sliding window model (SODA 16), answering the main open problem posed by Babcock, Datar, Motwani and O'Callaghan (PODS 2003), which has remained unanswered for over a decade.Efficient algorithms for the aforementioned theoretical problems will have immediate applications in astronomy, networking and statistics, to name just a few. My collaborations with Alex Szalay (astronomy, E-Science 15), Vyas Sekar (networking, HotNets 15, SIGCOMM 16), and Carey Priebe (statistics, ongoing) demonstrate the critical need for streaming methods in applications._x000D_
_x000D_
Recently, together with two undergraduate students, we have resolved the aforementioned long standing open problem of large frequency moments. I will continue supporting undergraduate research and engage students in attacking cutting-edge theoretical problems. I will promote STEM education by collaborating with Independence School Local 1 (IHS), a public charter high school in Baltimore city, where minority students constitute about 60 percent of all students. In 2016 I successfully co-organized (1) a Workshop on Sublinear Algorithms with more than one hundred and forty attendees, (2) the Capital Area Theory Day and (3) a visit day for prospective PhD students. This proposal, if granted, will help to organize (I) a workshop for first generation students and (II) an annual Sublinear Algorithms Workshop at JHU. I have been teaching the core algorithms course since 2011. I maintain a weekly Seminar in Algorithms and co-organize a theory seminar in our department. I will continue to promote core education and will introduce new advanced courses and seminars that will convey the principles of algorithms to non-theory students.</t>
  </si>
  <si>
    <t xml:space="preserve"> Panel Summary       
 SUMMARY OF PROPOSED RESEARCH ACTIVITY_x000D_
The proposal is on studying in a structural way problems for which we know of polynomial-time, but not linear solutions. The research directions proposed include tools and problem categories such as:_x000D_
- "amnesic dynamic programming": how to speed up dynamic programming _x000D_
- speeding up (min, +)-product (&amp; convolution),_x000D_
- applying polynomial method to approximation problems _x000D_
- parallel algorithms (with connections to faster poly-time algorithms) _x000D_
- query complexity._x000D_
Some concrete problems include all pairs shortest paths, edit distance, and clustering._x000D_
_x000D_
_x000D_
INTELLECTUAL MERIT_x000D_
_x000D_
The area of fine grained complexity has garnered increased attention lately, where upper and lower bounds, as well as reductions carried over into a smaller, polynomial domain. Some of the notable results are by the PI herself, a leader in this field and an excellent problem solver. The area is vibrant and important, and relatively unexplored. The research directions she mentions are very relevant, interesting, and, in addition to improving our understanding of this field, have potential to be practically useful.  In particular, the proposed work on speeding up dynamic programming and (min,+) product algorithms could result in breakthroughs (that  would extend to other problems using these techniques, such as edit distance). The PI has had success with producing preliminary results for some of these problems before, and it is realistic to assume that she will continue to do so. _x000D_
The proposal is well written; it lays out 18 problems at the right level of specificity. The problems, their importance and the state of the art are clearly defined and the research directions, possible techniques (along with explanations of why they are relevant, new, and promising) are  laid out. The proposal also discusses implications of the projected discoveries on practical problems. It is creative, ambitious, and transformative. The five year vision is clearly articulated._x000D_
The panel felt that the MapReduce part could have been mature and detailed with more references._x000D_
The panel also suggests that a consideration of communication complexity might add breadth to the work.  _x000D_
_x000D_
_x000D_
BROADER IMPACTS _x000D_
_x000D_
The broader impacts of the work are well thought out. The technical advances proposed in the proposal would answer important Big Data challenges (the PI has industry/research lab collaborators, and some of her work has already been implemented). The PI has plans for curriculum development, mini-course, symposium and tutorial development. Her amount and breadth of work with women and other underrepresented groups, including the Eureka! Program, as well as international work and undergraduate/graduate mentorship are appreciated. _x000D_
_x000D_
_x000D_
CAREER SOLICITATION-SPECIFIC REMARKS:_x000D_
_x000D_
Letter of institutional commitment: Included. Letters of collaboration attached from AT&amp;T, Google, as well as UMass Center for Data Science, IIT Hyderabad noted._x000D_
_x000D_
Integration of research and education: _x000D_
The PI has a history of working with undergraduate students and involvement with the REUMass program, which she will continue. Her course design and other curriculum development activities involve topics that might lead the interested students from a diverse group of majors/areas towards research._x000D_
_x000D_
_x000D_
ADDITIONAL REMARKS_x000D_
_x000D_
Research plan: Appropriate._x000D_
_x000D_
Collaboration plan: Letters of collaboration attached from AT&amp;T, Google, as well as UMass Center for Data Science, IIT Hyderabad._x000D_
_x000D_
Data Management Plan: Adequate_x000D_
_x000D_
Results of prior support: Clearly stated, important results from prior support were appreciated by the panel._x000D_
_x000D_
SUMMARY STATEMENT_x000D_
_x000D_
This is a proposal that addresses important problems in the young, vibrant area of fine-grained complexity from a theoretical perspective with an eye on applications. It_x000D_
addresses a coherent set of important problems, both from the theoretical perspective, as well as with applications to practice, by a highly qualified PI. The suggested approaches are concrete, promising, and actionable, with the possibility of major progress. _x000D_
_x000D_
The recommendation of the panel is_x000D_
_x000D_
_X_ Highly Competitive_x000D_
___ Competitive_x000D_
___ Low Competitive_x000D_
___ Not Competitive._x000D_
_x000D_
_x000D_
The panelists concur that the Panel Summary accurately reflects the panel discussion._x000D_
_x000D_
_x000D_
</t>
  </si>
  <si>
    <t>Ever since the inception of computation, the fundamental question has been- what problems can be solved by computers? And which ones can be solved in a reasonable time? This brought in the notion of polynomial time solvable problems which are considered efficient vs NP-hard problems which take prohibitively long time to solve. The field of approximation algorithms, along with the theory of inapproximability, deals with which of the NP-hard problems can be solved efficiently by allowing approximate solutions. However, this crude distinction of algorithmic efficiency--polynomial vs NP-hard, is insufficient when handling today's large scale of data. We need a finer-grained design and analysis of algorithms that pinpoints the exact exponent of polynomial running time, and a better understanding of when a speed-up is not possible. Unfortunately, except for a few problem-specific innovations, the study of such algorithms is deeply lacking in the literature._x000D_
_x000D_
This project targets to build a unified theory of fine-grained algorithm design to study fast approximation algorithms, and their fine-grained hardness. Developing systematic techniques that emphasize on the trade-offs between running time, approximation and randomness, and aid in designing low-complexity parallel algorithms will significantly improve the state of the art. Moreover, motivated by core machine learning applications, the project proposes an alternate model of efficiency via classical query complexity. Tools from classical query complexity have previously inspired development of fast algorithms and vice versa; the PI expects similar connections to happen in this project. Elements of this endeavor will be integrated with new courses, many of the algorithms developed herein will be implemented and the close connection of the PI with industry will result in possible adaptation of methodologies._x000D_
_x000D_
The project will address a suite of important optimization problems, from long-standing open questions to modern problems with diverse applications. It will introduce fresh tools from additive combinatorics, fourier analysis, rate distortion theory, and circuit complexity for analysis of algorithms, and establishing lower bounds. Specifically, new generic techniques of amnesic dynamic programming, fast matrix-product over semiring, and low-degree polynomial method will be developed to design fine-grained approximation algorithms and their parallel counterparts. Time complexity may not always be the primary measure of efficiency. There are many core machine learning problems where query complexity, that quantifies the amount of labeled data acquired via active querying, is more important. The project will analyze for the first time the query complexity of basic learning problems, and explore its connections to developing fast algorithms.</t>
  </si>
  <si>
    <t>ZP0930146</t>
  </si>
  <si>
    <t>Andoni</t>
  </si>
  <si>
    <t>andoni@cs.columbia.edu</t>
  </si>
  <si>
    <t xml:space="preserve">In the context of the five review elements, please _x000D_
evaluate the strengths and weaknesses of the proposal with respect to intellectual merit._x000D_
_x000D_
The PI proposes to design faster algorithms, for problems for which we_x000D_
know of polynomial-time, but not linear, algorithms. The standard_x000D_
example is computing edit distance between two strings: the classical_x000D_
dynamic programming runs in quadratic time, and it is a major open_x000D_
question to improve this to even n^1.9 time. (In fact, recent results_x000D_
show this is SETH-hard.) This goal has obviously always been out_x000D_
there, but this has been brought back to light as the "fine-grained_x000D_
complexity" area, motivated in part by the concepts developed in the_x000D_
recent years (including understanding of hardness via reductions from_x000D_
SETH, as well as polynomial method, approximation, query complexity,_x000D_
etc)._x000D_
_x000D_
This proposal is about studying such questions more_x000D_
systematically. The PI is one of the several leaders who works on such_x000D_
problems (as evidenced by her long-term participation in the_x000D_
corresponding Simons program:_x000D_
https://simons.berkeley.edu/programs/complexity2015 )._x000D_
_x000D_
The PI lists a few concrete research directions, ranging from_x000D_
interesting to very exciting. In particular:_x000D_
- "amnesic dynamic programming": how to speed up dynamic programming_x000D_
- speeding up (min, +)-product (&amp; convolution), in general or in some_x000D_
more restricted cases_x000D_
- applying polynomial method to approximation problems_x000D_
- parallel algorithms (with connections to faster poly-time algorithms)_x000D_
- query complexity: studying several poly-time solvable problems via a_x000D_
query complexity lens (that has been useful for speeding-up some_x000D_
problems)._x000D_
_x000D_
Nearly all the problems from the proposal are extremely relevant and_x000D_
would benefit of faster algorithms. The PI has had some success with_x000D_
some of these problems before, and it is natural to expect further_x000D_
progress._x000D_
_x000D_
I particularly like the discussion of speeding up dynamic_x000D_
programming questions (like edit distance), as well as faster_x000D_
(min,+)-product algorithms. Progress on any of these would be major_x000D_
breakthrough. In the case of (min,+)-product, the PI mentions a few_x000D_
promising directions, explaining well why they are *new*, and *highly_x000D_
promising*._x000D_
_x000D_
_x000D_
In the context of the five review elements, please _x000D_
evaluate the strengths and weaknesses of the proposal with respect to broader impacts._x000D_
_x000D_
The PI has a very well developed broader impact proposal. First of_x000D_
all, the research part of the proposal is mainly about designing more_x000D_
efficient and scalable algorithms, particularly motivated by the "big_x000D_
data" challenges. Specifically, given the data processing_x000D_
requirements, we often cannot afford quadratic runtime, and have to_x000D_
process the data (usually) in essentially linear time.  Indeed, some_x000D_
of the PI's prior research is motivated by practical considerations,_x000D_
and has been ultimately implemented._x000D_
_x000D_
PI is involved in development of a few algorithms classes at her_x000D_
institution, as well as internationally. She is also affiliated with_x000D_
the Center for Data Science at her institution, where she promises to_x000D_
devise mini-courses._x000D_
_x000D_
Most impressively, the PI is involved in mentoring undergraduate_x000D_
students and minority outreach. She is involved in a few grouped_x000D_
focused on drawing women to Computer Science, taught STEM classes to_x000D_
girls aged 12--18, and advised female students._x000D_
_x000D_
_x000D_
Please evaluate the strengths and _x000D_
weaknesses of the proposal with respect to any additional solicitation-specific review criteria, if _x000D_
applicable_x000D_
_x000D_
N/A_x000D_
_x000D_
Summary Statement_x000D_
_x000D_
Overall, I find the proposal to be highly competitive. It looks at_x000D_
problems in a young, vibrant area of fine-grained complexity. It_x000D_
addresses very important problems, both from the theoretical_x000D_
perspective, as well as with applications to practice (as some of her_x000D_
previous papers have demonstrated). Finally, the PI lists concrete,_x000D_
promising, and actionable directions for central problems in the area,_x000D_
which, if successful, would constitute major progress in_x000D_
algorithms. The PI is well equipped to attack the problems in the_x000D_
proposal._x000D_
_x000D_
The Broader Impact part of the proposal is well-developed. First, the_x000D_
research itself is highly impactful: today we really need to rethink_x000D_
algorithms that have (high) polynomial runtime, given the amount of_x000D_
processed data. Second, the PI is committed to developing algorithmic_x000D_
curriculum at her institution and internationally. Third, the PI is_x000D_
involved in undergraduate and minority outreach._x000D_
_x000D_
_x000D_
</t>
  </si>
  <si>
    <t xml:space="preserve">In the context of the five review elements, please _x000D_
evaluate the strengths and weaknesses of the proposal with respect to intellectual merit._x000D_
_x000D_
strengths:_x000D_
- a good set of 18 problems (each not too broad nor too specific), coupled with a five-year timeline, are suitable for guiding graduate students, and help with assessing progress._x000D_
- promising area of research that is not well-studied, but is timely and important, specially in practice.  even the recent FOCS included a couple of work in this field, but our knowledge of approximation algorithms is fairly limited (in terms of "fine-grained complexity")._x000D_
- PI is a good problem-solver and has ample mentorship experience, so she can guide students well.  her industry background makes it all the more likely that good implementations of the solutions will come out at the end._x000D_
_x000D_
weaknesses:_x000D_
- the MapReduce section could have been more mature.  the PI has some experience in the area (say, as a mentor while in AT&amp;T labs), however, when talking about lower-bounds and computational models, she misses the recent work by Roughgarden, Vassilvitskii and Wang (best paper at SPAA), titled "Shuffles and Circuits (On Lower Bounds for Modern Parallel Computation)"._x000D_
- the proposal could have a slightly broader scope if some sort of "communication complexity" had also been considered: e.g., "sketches" can help with both parallel computations and also sending the instance to someone else to do the actual computation._x000D_
_x000D_
In the context of the five review elements, please _x000D_
evaluate the strengths and weaknesses of the proposal with respect to broader impacts._x000D_
_x000D_
strengths:_x000D_
- good interaction with industry (partly because of prior affiliation) and has previously implemented some algorithms there._x000D_
- PI has proved her ability to get underrepresented minorities involved and is also internationally active.  she is working in several outreach programs in her school and in the surrounding area._x000D_
- having course material for fine-grained complexity is quite timely as the field is getting more attention.  this can get more researchers involved._x000D_
- she has access to good resources in the "center for data science" at her university._x000D_
_x000D_
weaknesses:_x000D_
- too much emphasis on women, maybe look a bit into diversity as well._x000D_
_x000D_
_x000D_
Please evaluate the strengths and _x000D_
weaknesses of the proposal with respect to any additional solicitation-specific review criteria, if _x000D_
applicable_x000D_
_x000D_
_x000D_
_x000D_
Summary Statement_x000D_
_x000D_
In summary, this is a well-written and ambitious proposal with a sound execution plan.  The subject of research is quite timely and will have impact on theory and practice of algorithm design._x000D_
_x000D_
The proposal aims at developing a unified theory of "fine-grained complexity": instead of settling with NP-hardness and polynomial-time solvability, we would like to classify problems based on the exponent of the polynomial running time (for the best algorithm)._x000D_
_x000D_
Now that the computational complexity is more mature and algorithms are finding applications in the big data settings, it is more important than before to design really fast algorithms (not just polynomial time) and/or understand if such is not possible for certain problems._x000D_
_x000D_
PI's industry background means that she understand this point really well and is at a position to guide this project to be of practical use.  This research direction is of theoretical interest as well, and even the PI herself (with her colleagues) had a paper on fine-grained complexity in the most recent FOCS._x000D_
_x000D_
</t>
  </si>
  <si>
    <t xml:space="preserve">In the context of the five review elements, please _x000D_
evaluate the strengths and weaknesses of the proposal with respect to intellectual merit._x000D_
_x000D_
The PI is interested in improved polytime algorithms. She's interested in analyzing and approximating algorithms that are already fast enough -- often ignored because of a focus on approximation algorithms for harder problems. She is interested in amnesic DP (DP table is forgotten with some probability over time) and its relationship to approximations. She has a recent result on edit distance for CFLs which has led to a very interesting embedding for the edit distance problem and its implications are not yet fully understood/exploited. She notices that many problems depend on (min, +) matrix multiplication, if this can be improved it would immediately lead to improvements for various problems. She lists various directions and has preliminary results on many that could lead to further betterment of our understanding. Her focus is especially on building blocks common to multiple algorithms, and would like to improve these. Overall, her previous work promises improvements in basic problems that might lead to improvements in many more more complicated problems that use these basic problems as a building block. This is a very qualified PI who has a different way of thinking who might improve a very large number of solutions._x000D_
_x000D_
In the context of the five review elements, please _x000D_
evaluate the strengths and weaknesses of the proposal with respect to broader impacts._x000D_
_x000D_
Since she is interested in such general techniques, the implications on all kinds of problems can be very significant. Some of these would benefit more applied areas (bioinformatics comes to mind)._x000D_
This is a female PI who has developed three new coures and will design more. She teaches in India, she is involved in teaching minorities. She is involved with REUMass, which is a summer data science program. This is a very energetic PI who could make a difference._x000D_
_x000D_
Please evaluate the strengths and _x000D_
weaknesses of the proposal with respect to any additional solicitation-specific review criteria, if _x000D_
applicable_x000D_
_x000D_
_x000D_
_x000D_
Summary Statement_x000D_
_x000D_
This is a promising proposal on techniques by a very capable female PI who has a track record of thinking outside the box. She's active on many fronts, and her work would benefit theoretical CS community as well as underrepresented student groups._x000D_
_x000D_
</t>
  </si>
  <si>
    <t xml:space="preserve">In the context of the five review elements, please _x000D_
evaluate the strengths and weaknesses of the proposal with respect to intellectual merit._x000D_
_x000D_
Designing fine-grained approximation algorithms for some fundamental problems is the main objective of this proposal.   Developing techniques to understand the tradeoff between running time and approximation factor is a driving force of this project.   Instead of focussing on traditional NP-hard problems, this project considers All Pairs Shortest Path, Language Edit Distance, matrix multiplication under (min,+), amnesic dynamic programming etc.  In addition to sequential computations, this project explores lower and upper bounds for fine-grained parallel algorithms (under map-reduce model).  All these problems (APSP, matrix multiplication under (min,+), clustering) are revisited in query complexity model where the goal is to minimize the number of bits accessed by the algorithm.  In clustering,  similarity measure is accessed through queries.  Information theoretic tools are applied to derive bounds for the query complexity models. _x000D_
Problems are fundamental and the PI provides feasible approaches for these problems.  The PI has had success in the past and it is reasonable to expect the same in the future._x000D_
_x000D_
In the context of the five review elements, please _x000D_
evaluate the strengths and weaknesses of the proposal with respect to broader impacts._x000D_
_x000D_
BI of improving the bounds of the proposed problems is high.  The PI plans to implement the developed algorithms and make the code available for public use.  It appears that Google, AT&amp;T and UMass center for Data Science have shown interest in this research project (see collaboration letter)._x000D_
_x000D_
International BI effort is appreciated.  PI plans to start a biweekly seminar series to interest women and minority in engineering research.  The PI is also organizing a summer workshop on algorithmic thinking thro the Eurek program (College of Natural Science and Girls Inc. of Holyoke).    The PI is currently advising a grad student (woman) and has mentored many women students while at AT&amp;T.  There are many more such good examples in the proposal and this panelist appreciate the effort of the PI._x000D_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The PI has a CRII grant.  It appears that the PI has reported good success ( many publications that include resolving forty-years old problem).  Even though speeding up dynamic programming appears to be common, the proposed topics are different and the PI makes an explicit statement regarding the disjointness of the two projects.  Broader impact is fine._x000D_
_x000D_
Summary Statement_x000D_
_x000D_
Well written proposal.  Interesting and important problems are addressed in the proposal.  The PI is highly qualified to make good progress._x000D_
_x000D_
</t>
  </si>
  <si>
    <t>From its inception, complexity theory through concepts such as NP-Hardness has classified computational problems into those that have relatively efficient solutions versus those that are intractable. Any problem solvable in time polynomial in the input size falls in the first category. However, this crude distinction of algorithmic efficiency is clearly insufficient when handling today's large scale of data. We need a finer-grained design and analysis of algorithms that pinpoints the exact exponent of polynomial running time, and a better understanding of when a speed-up is not possible. _x000D_
_x000D_
 Based on stronger complexity assumptions than P vs NP, like the Strong Exponential Time Hypothesis, recently conditional lower bounds for a variety of fundamental problems in P have been proposed. Unfortunately, these conditional lower bounds completely break down when one may settle for a near-optimal solution. There are many applications where this optimality requirement can be relaxed, yet there exists no systematic tool set to study approximation algorithms for polynomial time problems._x000D_
_x000D_
 This proposal targets to build a unified theory of fine-grained algorithm design,  and to explore trade-offs between approximation, running time, and randomness. It will introduce new tools from additive combinatorics, circuit complexity, and information theory to tackle decades-old questions, as well as modern optimization problems of practical significance. Moreover, motivated by core machine learning applications, the project will study an alternate model of efficiency via classical query complexity. Tools from classical query complexity have previously inspired development of fast algorithms and vice versa; we expect similar connections to happen in this proposal.A suite of important optimization problems, from long-standing open questions to modern problems with diverse applications, will be addressed, which in turn will give rise to many intellectual challenges. First, to design fine-grained approximation algorithms, new generic techniques of amnesic dynamic programming, fast matrix-product over semiring, and low-degree polynomial method will be developed. Second, fresh tools from additive combinatorics, fourier analysis, rate distortion theory, and circuit complexity will be introduced for analysis of algorithms, and establishing lower bounds. Third, an easy-to-implement framework for fine-grained parallel algorithms will be developed. Fourth, an alternate model of efficiency via query complexity will be analyzed for the first time for basic learning problems like clustering.The PI plans to involve underrepresented minorities and undergraduate students by organizing biweekly seminars in collaboration with women in engineering and by the means of directed studies, research experience for undergraduates (REUMass) and Eureka! program._x000D_
 _x000D_
In terms of curriculum development, elements of this endeavor will be integrated with the course of Approximation Algorithms, and the newly developed course on Algorithms for Data Science at the University of Massachusetts Amherst (UMass). The PI is a member of Center for Data Science, UMass (see collaboration letter), which will facilitate arrangement of workshops and mini symposia as part of this project to help quick dissemination of the acquired knowledge. The PI is also engaged in international collaboration, and will be organizing summer courses on related research areas (see collaboration letter). _x000D_
_x000D_
The proposed work will significantly improve the state-of-the-art approaches to design fast algorithms for major optimization problems arising in Big Data domains. Many of the algorithms, specifically their parallel versions will be implemented and the source code will be publicly available via open source license. Finally, the close connection of the PI with industry (see collaboration letters), and industry affiliation of center for data science will result in adaptation of methodologies._x000D_
Keywords: Approximation Algorithms; Fast Algorithms; Matrix Multiplication; Dynamic Programming; Query Complexity.</t>
  </si>
  <si>
    <t xml:space="preserve"> Panel Summary       
 SUMMARY OF PROPOSED RESEARCH ACTIVITY_x000D_
_x000D_
The proposal aims to address the massive data analysis challenges by building the theory of sublinear algorithms. The PI focuses on two areas of research:_x000D_
(1) Studying graph analysis questions such as subgraph finding/pattern counting, dense subgraph discovery and property testing for graph minors under different query models; _x000D_
(2) Computing edit distance between strings by exploring the relationship between LCS to edit distance. _x000D_
_x000D_
INTELLECTUAL MERIT_x000D_
_x000D_
Strengths:_x000D_
++ The proposal mentions practical use of the proposed research, e.g. large pattern finding in bioinformatics  _x000D_
++ The PI leverages graph properties such as power law structures to derive effective algorithms_x000D_
++ The PI proposes to tackle important problems in the field _x000D_
++ The PI is well qualified to conduct the proposed research_x000D_
++ The PI is interested in sublinear time algorithms under a sampling model, which sets him apart from other approaches. _x000D_
_x000D_
Weaknesses &amp; suggestions for improvement: _x000D_
-- The proposal could offer more specifics on the chosen query models _x000D_
-- Certain areas of the proposal could benefit from better exposition. There are some coarse discussions in places involve actual development, the depths of technical difficulty is not highlighted enough. _x000D_
-- It would be good if the PI could provide convincing applications, it would have made the proposal mush stronger. For example, in section 3.1, the PI pointed out potential applications in "physics, biology...etc."  without giving concrete examples. _x000D_
_x000D_
_x000D_
BROADER IMPACTS _x000D_
_x000D_
Strengths: _x000D_
++ The proposal tackles fundamental problems, may lead to deep theoretical results as well as potential broader impact. _x000D_
++ The PI will provide implementation for applied researchers (such as codes in Matlab). The PI has a track record in experimental testing. _x000D_
++ The PI has concrete plan in developing new courses. _x000D_
++ The PI has a track record of mentoring students even when working at the national lab. Note a student has won best paper under his guidance, which reflects the positive aspect of his mentoring. _x000D_
++ The PI has a track record of organizing workshops. _x000D_
_x000D_
CAREER SOLICITATION-SPECIFIC REMARKS:_x000D_
_x000D_
Letter of institutional commitment: submitted. _x000D_
_x000D_
Integration of research and education:  The PI has developed a graduate course on pattern mining in large graphs and is planning to  expand the course to be a broad survey of the field; he also plans to design a new class on mathematical foundations for computer scientists. _x000D_
_x000D_
ADDITIONAL REMARKS_x000D_
_x000D_
Research plan: This is a 5-year CAREER proposal with a reasonable time line. _x000D_
_x000D_
Collaboration plan: 3 letters of collaboration have been provided to describe industrial and national lab collaborations. _x000D_
_x000D_
Postdoc Mentoring plan: not applicable. _x000D_
_x000D_
Data Management Plan: Adequate. _x000D_
_x000D_
Results of prior support: not applicable. _x000D_
_x000D_
SUMMARY STATEMENT_x000D_
_x000D_
The proposal tackles sublinear algorithms in graph analysis and edit distances between strings by using novel approaches such as query models. _x000D_
Overall this is a solid proposal. The PI tackles important problems in the field and the results may have transformative impact. _x000D_
_x000D_
_x000D_
_x000D_
_x000D_
The recommendation of the panel is  _x000D_
___ Highly Competitive_x000D_
_X_ Competitive_x000D_
___ Low Competitive_x000D_
___ Not Competitive_x000D_
_x000D_
The panelists concur that the Panel Summary accurately reflects the panel discussion._x000D_
_x000D_
_x000D_
</t>
  </si>
  <si>
    <t xml:space="preserve">In the context of the five review elements, please _x000D_
evaluate the strengths and weaknesses of the proposal with respect to intellectual merit._x000D_
_x000D_
The PI proposes to work on sublinear time algorithms. Most of it relates to finding subgraphs of certain kinds -- there is significant work on finding triangles under various models, which can be generalized to finding clieques. If the pattern graph has diameter &gt;1, the problem becomes harder and more interesting. The PI offers some general directions; this is an area where for incremental gains one might need tremendous amount of technique. The PI presents directions that use a query model where a sublinear number of queries can be made to the graph. The most common model is degree queries or querying various neighbors of a node but the PI considers different and weaker query models. He is also interested in finding if the graph is H-minor free or dense subgraph discovery, subgraph counting, etc and links them to the degeneracy of a graph. The second focus (that I find a bit disjointed from the first) is edit distance approximation, which the PI tends to attack by developing sublinear DP models. The PI is well qualified and he offers some directions. However, some of these problems (certain aspects of subgraph discovery, certainly edit distance) are well studied and might require readically different techniques. I am not entirely sure that I see hints of these techniques in the directions that the PI offers; perhaps a bit more preliminary work would have been helpful. Both types of questions are interesting and have theoretical and practical impact; I would have liked to see more justification of the model for this specific type of question._x000D_
_x000D_
In the context of the five review elements, please _x000D_
evaluate the strengths and weaknesses of the proposal with respect to broader impacts._x000D_
_x000D_
The PI has collaborated with industry before; this research might be useful to further the collaboration and attack real life problems. While not much outreach is proposed, the new courses and student mentoring will be useful. The problems proposed might have significant_x000D_
practical impact in the future (IMO, especially edit distance) but for that the problem definitions and models need to be validated in terms of application, and the PI may be the person to do this._x000D_
_x000D_
Please evaluate the strengths and _x000D_
weaknesses of the proposal with respect to any additional solicitation-specific review criteria, if _x000D_
applicable_x000D_
_x000D_
_x000D_
_x000D_
Summary Statement_x000D_
_x000D_
Interesting theoretical work by a qualified PI on sublinear time problems of subgraph search and edit distance. Approaches could be fleshed out a bit more since some of these problems are well studied._x000D_
_x000D_
</t>
  </si>
  <si>
    <t xml:space="preserve">In the context of the five review elements, please _x000D_
evaluate the strengths and weaknesses of the proposal with respect to intellectual merit._x000D_
_x000D_
Advancing the theory of sub-linear algorithms for data analysis is the major goal of this project. PI focuses on two target areas:  Graph properties, and Edit distance.  Problems are well motivated with wide range of applications.  In the basic sparse graph model of the proposal, the algorithm can query the degree of any vertex (aka. degree query).  The proposal also considers alternate query models, such as random neighbor,star, or wedge.  Given such query model, the PI plans to design sublinear time algorithm for counting (approximately) the number of triangles or other small sub-graphs.  Many applications in Physics to social science benefit from such fast counting algorithms.  Concrete examples will be more convincing.  The PI and his coauthors have developed techniques for such approximate counting which resulted in triangles counting.  The proposal explores this counting problem to various other (small) pattern graphs.  There is a strong effort to implement and test these algorithms for large input and making such software available for other scientists.  The PI has a track record of experimentally testing the algorithms.  _x000D_
_x000D_
Another part of the involves in finding an H-minor in G if G is \epsilon-far from being H-minor free.  The Pi was successful in finding sublinear algorithm for certain graphs H (cycle, tree etc.).    The major open problem is the general (constant size)  minor detection problem.  The PI has some preliminary promising results._x000D_
_x000D_
Another interesting direction involves the design of sublinear algorithms for dense subgraph discovery.  The PI has been successful in answering some of these questions such as sublunar time expansion test posed by Goldreich and Ron.  Designing practical sublinear algorithm is an important component of the proposal.  _x000D_
_x000D_
The PI plans to develop a sub quadratic approximation algorithm (based on sublinear dynamic programming technique) for edit distance problem.  This is another fundamental problem._x000D_
_x000D_
In summary, this proposal is a mix of deep theoretical results.  The PI plans to go beyond theory to implement the ideas and make them available for applied researchers._x000D_
_x000D_
In the context of the five review elements, please _x000D_
evaluate the strengths and weaknesses of the proposal with respect to broader impacts._x000D_
_x000D_
The PI has a track record of experimentally testing the algorithms and strong collaboration with industry and government.  The proposed problems have strong impact in various other fields.  The PI has organized workshop on streaming algorithm and another on Incomplete Networked Data.  The PI's codes on triangle counting and others were released as a Matlab package.  Curriculum development and student mentoring are standard.  The PI has a track record of mentoring while he was at Sandia Lab.  One student won best paper at KDD 2013._x000D_
_x000D_
Please evaluate the strengths and _x000D_
weaknesses of the proposal with respect to any additional solicitation-specific review criteria, if _x000D_
applicable_x000D_
_x000D_
The vision of the PI (and his career) is well laid out.  I consider this to be a strength of the proposal._x000D_
_x000D_
Summary Statement_x000D_
_x000D_
This is an excellent proposal and very well written.   The proposed problems are fundamental.  The broader impacts are huge.  The PI is well qualified._x000D_
_x000D_
</t>
  </si>
  <si>
    <t>NB0810818</t>
  </si>
  <si>
    <t xml:space="preserve">In the context of the five review elements, please _x000D_
evaluate the strengths and weaknesses of the proposal with respect to intellectual merit._x000D_
_x000D_
Some high level thoughts.  This is a good proposal by a good researcher (or, using terms above, perhaps a very good proposal and researcher) , but somewhat poorly written, which makes it hard to give it a top mark.  Besides some English/grammar issues, the introduction to sublinear algorithms is a bit self-aggrandizing;  I would argue that there are previous sampling-based algorithms that are sublinear for problems such as triangle counting in slightly different models (e.g., where you can sample edges uniformly at random -- in such a case you may not have to read all of the data), so it is perhaps the PI should be saying that it is specifically in the "query model" where he can claim developing the first sublinear algorithms.  In this vein, I had trouble accepting statements of the author of the form, "Sublinear algorithms has remained quite disjoint from fields like data mining, and_x000D_
there is little work in applying these methods in real applications."  This is not the experience of this reviewer.  Also, the PI gives only very informal mathematical explanations of existing work or planned work in some places, and punts entirely on attempts at mathematical explanations in others.  This makes it somewhat more difficult to judge the proposal.  I have laid these concerns aside -- although I would ask the PI to reflect on them -- to try to judge the proposed work over the problematic writing.  _x000D_
_x000D_
1.  There is potential for advancing knowledge and understanding within the PIs field and across fields.  In the big data setting, there are large opportunities to develop better algorithms that can have significant impact.  The PI has done good work in this area and has several good problems for future work outlined throughout the proposal;  it is possible that some of the work could have an impact on the more practical data mining community.  It is, however, an area where many people are jumping (or have jumped) in, and it is somewhat difficult to place the overall significance in the PIs proposed work in this larger context.  _x000D_
_x000D_
2.  I think the PI has demonstrated in past work (and demonstrates in the proposed problems and lines of attack) that the work performed will be creative and original.  It is somewhat more difficult to suggest that they may be transformative, as this is a crowded area and the basic approaches are, it seems, reasonably well understood.  (This does not imply that solving the problems will not require significant creativity and originality.)  This questions would be easier to answer if the PI had provided somewhat more formal descriptions of planned work, but it is reasonable that such descriptions are not given in a more theoretical proposal.  (This may also be a writing issue.)_x000D_
_x000D_
3.  For a theoretical proposal, the concept of a "plan" for doing research is, in general, wrong-headed.  You look at problems, work hard, and hope for the best.  Within that understanding, the PI has a well-reasoned and well-organized plan for pursuing research goals -- working on good problems that stretch beyond previous work, but are within the framework where the PI has been working.  Similarly, much of the assessment of success will be publication-driven, and this is a natural mechanism.  _x000D_
_x000D_
4.  The proposer seems well qualified to conduct the proposed activities.  He has been working in the areas described in the proposal successfully, and has a good historical track record in terms of publications in top-level venues.  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Of course, however, this is arguably to be expected 8 years out from PhD._x000D_
_x000D_
In the context of the five review elements, please _x000D_
evaluate the strengths and weaknesses of the proposal with respect to broader impacts._x000D_
_x000D_
1.  As with many theoretical proposals, the potential to benefit society or advance desired societal outcomes appears potentially distant.  However, the PI is working on problems that may have an impact on data mining efforts in social networks, biological sciences, and other real-world scenarios, and as such I would say the potential is perhaps more immediate than for many theoretical proposals._x000D_
_x000D_
2.  In the context of broader impacts, I'm not clear how the proposed activities are supposed to suggest and explore creative, original, or potentially transformative concepts.  The broader impacts suggested are rather standard, so one could argue that this is a weakness of this proposal, although I do not think it is a large weakness.  _x000D_
_x000D_
3.  The proposed activities related to broader impacts include teaching novel classes at UCSC, mentoring students, and attempting to connect theoretical and practical work.  While these activities are fairly standard, I would say they are well-reasoned, well-organized, and based on sound rationale.   _x000D_
_x000D_
4.  The PI seems well qualified to conduct the proposed activities.  He has mentored students in the past while at Sandia Labs, appears ready and capable of working with industrial partners, and appear well qualified to develop new classes at UCSC._x000D_
_x000D_
5.  There are adequate resources available to the PI to carry out the proposed activities.  UC Santa Cruz appears to have plans in the big data area where much of this research lies, and the PI has established collaborations with many other researchers and institutions.  The evidence for this is given in the PI's additional letters. _x000D_
_x000D_
_x000D_
_x000D_
Please evaluate the strengths and _x000D_
weaknesses of the proposal with respect to any additional solicitation-specific review criteria, if _x000D_
applicable_x000D_
_x000D_
I do not think this is applicable.  However, I note here that it is hard to provide a full review (as this is an ad hoc review, not a panel review) without a comparison set;  in particular, given that this PI has had both postdoc and work experience, it is not clear how to compare this PI to other possible CAREER applicants who necessarily have shorter track records._x000D_
_x000D_
Summary Statement_x000D_
_x000D_
Overall this is a solid proposal from the point of view of the proposed research problems, and provides a fulfilling story both in terms of intellectual merit and broader impacts. The author should be commended for attempting to be a bridge between theory and practice, in particular.  A possible concern is that the PI is in an area that is currently becoming overcrowded, so it may be harder to do work that will stand out, or be truly transformative.  The proposal is worthy of support, and should be viewed as a high quality proposal._x000D_
_x000D_
</t>
  </si>
  <si>
    <t xml:space="preserve">In the context of the five review elements, please _x000D_
evaluate the strengths and weaknesses of the proposal with respect to intellectual merit._x000D_
_x000D_
Strengths:_x000D_
_x000D_
++ The proposal aims to build theory of sublinear algorithm towards massive data analysis.  The PI is well qualified to conduct the proposed research giving his expertise. It is also nice to see the explicit goal to bridge theory (sublinear algorithms) and practice (analyzing massive graphs/strings). _x000D_
_x000D_
Weaknesses:_x000D_
_x000D_
-- The PI focuses on two target areas: pattern counting and dense subgraph discovery in graphs; as well as computing editing distance between strings. Although these questions are very important in the "massive data analysis" domain, the question would be whether these particular questions are ambitious enough. It would be nice for the PI to give a long-term vision as how sublinear algorithms might impact other types of data/areas of research beyond the presented examples.  _x000D_
_x000D_
_x000D_
_x000D_
In the context of the five review elements, please _x000D_
evaluate the strengths and weaknesses of the proposal with respect to broader impacts._x000D_
_x000D_
++ The collaboration with industry and government helps to bridge academic research with applications in the field.  _x000D_
_x000D_
-- Please elaborate a bit more on the proposed research activities' societal impact in terms of cyber security and malware detection.  . _x000D_
_x000D_
-- However, it would be nice if the PI could further expand on community outreach beyond typical academic roles (advising students, course develop, conference workshops)._x000D_
_x000D_
Please evaluate the strengths and _x000D_
weaknesses of the proposal with respect to any additional solicitation-specific review criteria, if _x000D_
applicable_x000D_
_x000D_
_x000D_
_x000D_
Summary Statement_x000D_
_x000D_
This is a good proposal overall; however, it would be nice for the proposal to have a more ambitious grant vision beyond topics covered in the proposal._x000D_
_x000D_
</t>
  </si>
  <si>
    <t>My research agenda is to bring the mathematical tools of theoretical computer science to the real-world problems of massive data. The aim is to build rigorous foundations for big data algorithmics, using the theory of sublinear algorithms. How to infer properties of a large data set in sublinear time, by looking at a tiny fraction of it? How to design algorithms under severe memory or time constraints? How to algorithmically exploit the peculiar properties of massive real- world datasets? My agenda is to do theoretical work that has an impact on real world algorithmic challenges. The central theme of this  project  is  provable  algorithmics  for  massive  data  problems. The specific goals involve the use of sublinear algorithms for provable, practical algorithms for the following two domains: (1) Massive scale graph analysis: In disciplines as varied as machine learning, social sciences, bioinformatics, physics, and cybersecurity, graphs are used to represent and manipulate data. Developing provable and practical algorithms for massive graph analysis is essential for furthering data science. This project will focus on using the theory of sublinear algorithms for classic graph mining tasks such as subgraph counting and dense subgraph discovery. (2) Edit distance between strings: The problems of edit distance and longest common subsequence are fundamental algorithmic tasks that appear in bioinformatics, software analysis, and cybersecurity. It is a long standing challenge to get provable algorithms that scale better than the classic dynamic programming solution. This project will use new ideas from sublinear algorithms to develop better algorithms for edit distance. Keywords: Sublinear algorithms, Massive data algorithmics, Graph analysis, Motif analysis, Edit distanceBridging the gap between theoretical computer science and practical algorithmics is a major intellectual challenge. Massive data problems abound in today?s world, and we need mathematically provable algorithms that are efficient in practice. This project will lead to advances in both theory and practical algorithmics. This project aims to enrich theoretical computer science by providing a new source of problem inspired by practice; it will push the boundaries of big data algorithmics by introducing new ideas from theory. The focus areas of graph analysis and edit distance are rich research areas in their own right.Advances in graph analysis will impact numerous domains such as machine learning, computational social science, bioinformatics, and cybersecurity. Edit distance is an extremely important practical problem, and new algorithms could impact gene sequence analysis and malware detection.</t>
  </si>
  <si>
    <t xml:space="preserve">Panel Summary       _x000D_
 _x000D_
 SUMMARY OF PROPOSED RESEARCH ACTIVITY _x000D_
_x000D_
The ultimate goal of the field of algorithms has to been to decide what problems can be solved and what cannot, and this has been done via the beautiful theory of NP-completeness.  Several efforts have been made over the years to extend this to the cases when the problem is hard in the worst case but can still be tackled "in practice."_x000D_
_x000D_
This proposal seeks to study this question by looking at some notion of average-case as well as smoothed analysis, without restricting to planted instances or naive random graphs.  These "semirandom" instances (a combination of noise and randomness) fall between previously studied worst case and average case studies, which were too difficult and too optimistic (and unrealistic), respectively._x000D_
_x000D_
A host of important problems in approximation algorithms and machine learning are considered.  The problems range from doable to very hard._x000D_
_x000D_
_x000D_
INTELLECTUAL MERIT _x000D_
_x000D_
strengths:_x000D_
- Problems are challenging and are of interest to a wide community._x000D_
- The PI has already done some great work in three out of five  mentioned goals.  He is certainly qualified to research in this area and continue shaping the field._x000D_
- A reasonable set of problems with varying levels of difficulty, from doable to very hard._x000D_
_x000D_
weaknesses &amp;amp; suggestions for improvement:_x000D_
- Certain notions were not defined properly or at the right place (e.g., KL divergence)._x000D_
- Connection to learning mixture of Gaussian could have been explained better.  At first glance, the suggested directions may seem unrelated and arbitrary._x000D_
- An implementation component could have been added or spelled out better to emphasize that these results have applications for real-world instances._x000D_
_x000D_
BROADER IMPACTS _x000D_
_x000D_
strengths:_x000D_
- Studies an important area that when developed will potentially impact broader field's notion of "real-world" instances._x000D_
- Serious outreach to high-needs high schools, with a letter from a school official supporting the PI's plans to give lectures and presentations._x000D_
- Organizing workshops (with rough timing) to gather 50-100 researchers._x000D_
- The PI might have benefited from establishing more contacts with industries that may use the fruits of such research._x000D_
_x000D_
CAREER SOLICITATION-SPECIFIC REMARKS: _x000D_
_x000D_
Letter of institutional commitment.  Submitted._x000D_
_x000D_
Integration of research and education:_x000D_
_x000D_
The proposal includes a standard education component, including course development, student mentorship, and preparation of lecture notes and surveys.  The latter, in particular, will be crucial for a growing field like this one.  The PI's outreach to high-needs high-school students to encourage STEM is pretty serious, as suggested by a letter from an Evanston school official supporting the PI's plans for giving presentations and lectures to encourage STEM among the students._x000D_
_x000D_
_x000D_
ADDITIONAL REMARKS _x000D_
_x000D_
Research plan:  This is normal CAREER proposal with the span of five years.  The scope of the project and the requested funds are pretty standard._x000D_
_x000D_
Data Management Plan: Adequate._x000D_
_x000D_
Results of prior support: Clearly stated._x000D_
_x000D_
Upon successful completion, the results will advance our knowledge of algorithmic analysis and can potentially transform our view of real-world instances._x000D_
_x000D_
SUMMARY STATEMENT _x000D_
This is a great proposal submitted by a PI with a very good track record.  The problems are very important and can potentially change our view of what "real-world" instances mean._x000D_
_x000D_
The recommendation of the panel is _x000D_
___ Highly Competitive_x000D_
_X_ Competitive_x000D_
___ Low Competitive_x000D_
___ Not Competitive._x000D_
_x000D_
The panelists concur that the Panel Summary accurately reflects the panel discussion. _x000D_
 _x000D_
 _x000D_
</t>
  </si>
  <si>
    <t>abanerje</t>
  </si>
  <si>
    <t>Combinatorial optimization problems such as clustering, and unsupervised learning of probabilistic models are important computational problems that arise in diverse areas including machine learning, computer vision, operations research and data analysis. However, there is a large disconnect between our theoretical and practical understanding of these problems -- while theory tells us that many interesting computational problems in combinatorial optimization and machine learning are intractable in the worst case, practitioners in areas such as machine learning and computer vision have made significant progress in solving such theoretically hard problems. This project focuses on bridging the fundamental gap between theory and practice by developing paradigms and machinery that will allow us to reason about the performance of algorithms on real-world instances. This research has the potential to have broad impact on both theory and practice of computational problems across different areas of computer science, machine learning and statistics. The project will involve students at all levels of research, will integrate aspects of average-case analysis in both graduate and undergraduate courses, and will include outreach activities in high schools in Evanston and the broader Chicago area._x000D_
_x000D_
The PI will study several problems in machine learning and combinatorial optimization by using realistic average-case models and smoothed analysis. Broad goals include designing new model-independent algorithms with provable guarantees for realistic average-case models of graph partitioning and clustering and challenging average-case settings where there is no unique or planted solution. These algorithms will also lead to new algorithmic techniques for learning probabilistic models such as mixtures of Gaussians and stochastic block models that are robust to various kinds of modeling errors and noise. Another focus of the project is on developing new efficient algorithms for learning latent variable models and for reasoning about the performance of algorithms using smoothed analysis.</t>
  </si>
  <si>
    <t>NATIONAL SCIENCE FOUNDATION_x000D_
Directorate for Computer and Information Science and Engineering (CISE)_x000D_
Division of Computing and Communication Foundations (CCF)_x000D_
CCF CAREER Program - Fiscal Year 2017_x000D_
_x000D_
Review Analysis_x000D_
_x000D_
Title: CAREER: Beyond Worst-Case Analysis: New Approaches in Approximation Algorithms and Machine Learning_x000D_
Proposal Number: 1652491_x000D_
PI: Vijayaraghavan, Aravindan_x000D_
Institution: Northwestern University _x000D_
Requested Amount: $505,251_x000D_
Recommended Amount: $505,251_x000D_
_x000D_
Ranking in Panel and Panel Procedures:_x000D_
_x000D_
Panel Number: P170288_x000D_
Reviewer Ratings: E/V, E/V, V, V_x000D_
Panel Recommendation: Competitive_x000D_
_x000D_
This project was ranked 5th place in a panel of 29 projects._x000D_
_x000D_
This project was the the second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panel._x000D_
_x000D_
Scope of Project and Intellectual Merit:_x000D_
_x000D_
The PI aims to develop paradigms and machinery that will allow one to reason about the performance of algorithms on real-world instances of hard optimization problems including many that arise in the context of machine learning.  The proposal focuses on bridging this fundamental gap between theory and practice by using paradigms that go beyond traditional worst-case analysis. The panel felt that the problems were of interest to a wide community, and the PI considers a good set of problems ranging from readily approachable to quite ambitious._x000D_
_x000D_
Broader Impacts:_x000D_
_x000D_
In addition to the practical applicability of the theoretical work proposed, the panel praised the PI's plans for for outreach to high schools and organizing workshops.  The integration of research and education was considered standard but acceptable._x000D_
_x000D_
PI Qualifications and Budget:_x000D_
_x000D_
This is a very strong proposal from an excellent researcher, with a track record of fundamental results related to the proposal.  The panel was very confident in the PI's abilities.  The budget is reasonable for the work proposed, including funds for the broader impact activities._x000D_
_x000D_
Recommendations and Conditions:_x000D_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below._x000D_
_x000D_
Proposal Number: 1652491_x000D_
Recommended Award: $505,251 as a Continuing Grant, distributed as below_x000D_
Duration: 60 months_x000D_
Start Date: 03/01/2017_x000D_
Program Element Code: 7796 Algorithmic Foundations_x000D_
Program Reference Codes: 7926 Algorithms, 1045 CAREER_x000D_
_x000D_
FY 2017 $55,436_x000D_
FY 2018 $100,269_x000D_
FY 2019 $106,032_x000D_
FY 2020 $106,795_x000D_
FY 2021 $136,719_x000D_
_x000D_
_x000D_
Dr. Tracy Kimbrel_x000D_
Program Director_x000D_
NSF CISE/CCF_x000D_
_x000D_
January 27, 2017</t>
  </si>
  <si>
    <t>ZH0730742</t>
  </si>
  <si>
    <t>Arora</t>
  </si>
  <si>
    <t>arora@cs.princeton.edu</t>
  </si>
  <si>
    <t xml:space="preserve">In the context of the five review elements, please _x000D_
evaluate the strengths and weaknesses of the proposal with respect to intellectual merit._x000D_
_x000D_
A very solid proposal by a PI with a good track record. It contains many good research directions, spread nicely on the spectrum from doable to very hard. These research questions have to do with creating new models and analysis techniques for problems ---especially those motivated by machine learning and data analysis---that lie between worst case and average case. Average case models  (eg stochastic block models) can sometimes be a bit unrealistic, and the PI has a good track record in recent years inventing new semi-random models which can be thought of as average-case models, and with small but fairly adversarial misspecification. (I agree  this is more realistic for machine learning than other theoretical models in STOC-FOCS literature like smoothed analysis)._x000D_
_x000D_
The PI has a good track record in this area, especially in his work with Makarychev and Makaryvhen. _x000D_
_x000D_
The proposal is chockful of research questions, but all of them are interesting and make sense given the PI's past body of work. I especially liked the idea for a formal analysis of EM-style algorithms for mixtures of gaussians and the proposal for a method of moments with misspecification (to be attempted using convex relaxations and sum of squares). Progress here could advance understanding of nonconvex problems in ML. I was a little less enthusiastic about old problems like LPN and k-juntas etc. (In general I was less enthusiastic about Section 4, while recognizing that several of these problems are well-known in the STOC-FOCS world and solving them would win plaudits there.) _x000D_
_x000D_
_x000D_
_x000D_
In the context of the five review elements, please _x000D_
evaluate the strengths and weaknesses of the proposal with respect to broader impacts._x000D_
_x000D_
While the work here falls solidly ---in approach and techniquesùin 'core theoretical CS', it seeks to develop connections with machine learning and data analysis. The PI mentions an ongoing collaboration with Sontag, a leading ML researcher. The PI also outlines plans for outreach to high schoolers as part of efforts to attract them to STEM and especially to algorithmic thinking. He is also active in organizing periodic workshops on interesting topics. _x000D_
_x000D_
_x000D_
Please evaluate the strengths and _x000D_
weaknesses of the proposal with respect to any additional solicitation-specific review criteria, if _x000D_
applicable_x000D_
_x000D_
Strengths: Seeks to develop an interesting subfield of theoretical CS that needs support and encouragement. Good broader impacts. _x000D_
_x000D_
Weaknesses: Possibly too many research questions. But this is a mild complaint; the PI has a good track record in this kind of work and the questions are all reasonable._x000D_
_x000D_
Summary Statement_x000D_
_x000D_
Overall,  I like this proposal, and would place it easily among the top third of CAREER proposals I have seen over the years.  It has good potential to advance theoretical CS  in new directions, which it needs to do to connect better with machine learning. Developing fundamental techniques here is worthwhile. _x000D_
_x000D_
_x000D_
</t>
  </si>
  <si>
    <t xml:space="preserve">In the context of the five review elements, please _x000D_
evaluate the strengths and weaknesses of the proposal with respect to intellectual merit._x000D_
_x000D_
strengths:_x000D_
- algorithmic analysis is supposed to ultimately explain which algorithms work well in practice and which do not.  worst case analysis has been useful but is often tangential to this original goal, hence the need to pursue the general direction of this proposal.  average-case and smoothed analysis are two popular directions to rectify this issue, but neither is too well understood._x000D_
- the proposal has a dozen specific questions to be solved._x000D_
- has applications to combinatorial optimization and machine learning._x000D_
- the proposed research has the potential to advance our knowledge of algorithmic analysis, lead to design of new algorithms that useful in practice, with a sound theoretical backing._x000D_
- the actual problems to be studied (e.g., graph partitioning, learning mixture of Gaussians, and learning parity with noise) are very important and practical._x000D_
- both in machine learning and combinatorial optimization, one might fall into the trap of working with an artifical input.  in ML, one may assume a perfect model from which the input is derived.  in TCS, we may think of a planted/unique solution that we want to extract.  the proposal tries to address the challenge of designing algorithms that work well in the absense of such strong assumptions, though those have been good ways to *start* the research._x000D_
- the PI has a good standing in this research area and several recent papers are coauthored by him.  he has a good circle of collaborators who are experts in the field._x000D_
- the goals set and suggested questions sound realistic._x000D_
_x000D_
weaknesses:_x000D_
- a more detailed timeline for the proposed research would help with the assessment of progress._x000D_
_x000D_
In the context of the five review elements, please _x000D_
evaluate the strengths and weaknesses of the proposal with respect to broader impacts._x000D_
_x000D_
strengths:_x000D_
- applications to combinatorial optimization and machine learning._x000D_
- the PI plans to reach out to high-needs schools in the area in order to introduce them to STEM and computer science, in particular._x000D_
- the actual problems proposed for study have broad applications in computer science and neighboring fields._x000D_
- despite some progress on average-case and smoothed analysis in the past decade, there are still few suitable lecture notes for new researchers to get familiar and pursue this research direction.  these are considered too advanced for textbooks and most standard "advanced algorithms" courses.  an attempt to put these into a coherent course will be quite useful.  Tim Roughgarden has already done a good job but his course offering does not emphasize machine learning applications and approximation algorithms._x000D_
- upon successful completion of the proposal, we will potentially see a new wave of algorithms or a new algorithm design paradigm that is more useful in practice and will benefit the larger community by bringing the theoreticians closer to addressing the practicioners' needs._x000D_
_x000D_
weaknesses:_x000D_
- the proposal could have paid some attention to diversity and involving the underrepresented minorities/women in TCS._x000D_
- better contacts with industry could mean faster dissemination of knowledge in the relevant circles where the algorithm ought to be eventually used._x000D_
_x000D_
Please evaluate the strengths and _x000D_
weaknesses of the proposal with respect to any additional solicitation-specific review criteria, if _x000D_
applicable_x000D_
_x000D_
_x000D_
_x000D_
Summary Statement_x000D_
_x000D_
The proposal focuses on bridging the gap between theory and practice by using paradigms that go beyond worst-case analysis.  Instead of looking at artificial random instances like the Erdos-Renyi random graphs or uniform distributions, the PI aims to study more realistic distributions.  In the context of machine learning, one would like to get noise better into the modeling.  And in TCS, it would be interesting to go beyond assumptions such as planted or unique solution._x000D_
_x000D_
A clear set of a dozen realistic problems to study shows that the PI is well aware of the status of the field and has a good grasp over the techniques and what may work.  A more detailed plan for timing of the proposed research would have helped with assessing the progress._x000D_
_x000D_
The education and outreach components are pretty good, but the issue of diversity has not gotten the attention it deserves.  Nonetheless, the PI has a good plan for raising awareness about this research direction and disseminating information the results of this proposal._x000D_
_x000D_
</t>
  </si>
  <si>
    <t xml:space="preserve">In the context of the five review elements, please _x000D_
evaluate the strengths and weaknesses of the proposal with respect to intellectual merit._x000D_
_x000D_
The PI proposes to work on "beyond" worst case analysis, since worst case_x000D_
analysis for many NP-hard problems focuses on the worst case - however many_x000D_
simple heuristics and algorithms are employed by practitioners and widely used. _x000D_
How can we explain the success of such effective methods?  _x000D_
_x000D_
One method is to use average case analysis, but again models such as the Erdos-Renyi_x000D_
models do not adequately capture reality,  the other is via the use of _x000D_
what are popularly known as "planted models". For example, a graph can be_x000D_
first partitioned into clusters, and then we have two parameters p and q (p&gt;q). Edges between nodes in the same partition are (independently) selected with probability p _x000D_
and edges between nodes in different partitions are selected with probability q._x000D_
The PI has been exploring models that generalize these to the adversarial setting _x000D_
under an assumption referred to as Permutation Invariant. _x000D_
_x000D_
What is the relationship of "beyond worst case analysis" to learning mixtures of Gaussians? I found this relationship to be somewhat weak. Here the main questions the_x000D_
PI is interested in investigating are related to the number of samples we have to draw to learn from a mixture of k Gaussians in d-dimensional Euclidean space (both upper_x000D_
and lower bounds) and some results for a special case have been obtained with Regev. _x000D_
_x000D_
The concept of KL divergence was not defined._x000D_
_x000D_
_x000D_
In the context of the five review elements, please _x000D_
evaluate the strengths and weaknesses of the proposal with respect to broader impacts._x000D_
_x000D_
The PI could attempt to draw in several undergraduates as well into this work, as some of the work could benefit significantly from an experimental algorithms component._x000D_
Personally, I was not convinced that this line of work has broad appeal outside the_x000D_
theory community._x000D_
_x000D_
The PI is certainly qualified to conduct the research._x000D_
_x000D_
Please evaluate the strengths and _x000D_
weaknesses of the proposal with respect to any additional solicitation-specific review criteria, if _x000D_
applicable_x000D_
_x000D_
_x000D_
_x000D_
Summary Statement_x000D_
_x000D_
Overall a good proposal by a PI who has done excellent work, worthy of support. The PI has interesting plans to create new courses and workshops in the Chicago area and this should be strongly encouraged._x000D_
_x000D_
</t>
  </si>
  <si>
    <t xml:space="preserve">In the context of the five review elements, please _x000D_
evaluate the strengths and weaknesses of the proposal with respect to intellectual merit._x000D_
_x000D_
The PI plans to investigate 5 broad but related research goals, and one educational one. All 5 are motivated by the theme of going beyond traditional worst-case analysis. The first is to develop average-case models that are more realistic than the traditional Erdos-Renyi and related random graph models, second to give improved guarantees for learning generative models (such as mixtures of Gaussians), third is smoothed analysis of supervised learning algorithm, fourth to give algorithms for random problems with no planted solutions such as sparse recovery and parity learning and finally to analyze LP and SDP relaxations for random inputs. Each of these directions is interesting on its own, and they are brought together in a compelling proposal. The PI has demonstrated success on several of these fronts._x000D_
_x000D_
In the context of the five review elements, please _x000D_
evaluate the strengths and weaknesses of the proposal with respect to broader impacts._x000D_
_x000D_
This is merely a suggestions, but since the motivation is "real-world" inputs, the PI might consider proof-of-concept implementations of algorithms that are developed in the course of this project._x000D_
_x000D_
Please evaluate the strengths and _x000D_
weaknesses of the proposal with respect to any additional solicitation-specific review criteria, if _x000D_
applicable_x000D_
_x000D_
_x000D_
_x000D_
Summary Statement_x000D_
_x000D_
The design and analysis of algorithms for realistic input models is important theoretically as well as practically. A particularly interesting line of attack proposed is to reduce the randomness assumptions in models of the input to the maximum extent possible to see how robust efficient algorithms can be. Many of the specific questions raised in this proposal are likely of broader interest as well. The PI has considerable prior experience and success._x000D_
_x000D_
</t>
  </si>
  <si>
    <t>Theoretical computer science has given us many wonderful paradigms such as worst-case analysis, NP-completeness and approximation algorithms to study computational problems. However, while theory tells us that many interesting problems in combinatorial optimization and machine learning are intractable in the worst case, practitioners in areas like machine learning and computer vision have made significant progress in solving such theoretically hard problems. A major open challenge is to develop paradigms and machinery that will allow us to reason about the performance of algorithms on real-world instances._x000D_
_x000D_
This proposal focuses on bridging this fundamental gap between theory and practice by using paradigms that go beyond traditional worst-case analysis, in the context of several problems in machine learning and combinatorial optimization. The broad goals are:_x000D_
-- Studying realistic average-case models of NP-hard optimization problems, and designing algorithms with improved guarantees for these models. The goal here is to introduce new average-case models for problems like graph partitioning and clustering that are general enough to capture real-world instances, and design new algorithms with better approximation guarantees than in the worst-case. _x000D_
-- Developing new efficient, robust algorithms for learning probabilistic models like mixtures of Gaussians and stochastic block models. The emphasis here is develop new algorithmic techniques with provable guarantees that are robust to various kinds of modeling errors and noise._x000D_
-- Designing efficient algorithms with provable guarantees for unsupervised learning problems that are intractable in the worst-case. The goal is to develop general mathematical techniques to reason about the performance of algorithms using smoothed analysis, for problems like learning hidden markov models (HMM), subspace clustering and tensor decompositions._x000D_
-- Developing new algorithms and tools that go beyond the "planted regime" (no unique solution) for average-case problems like sparse recovery and learning parities with noise. _x000D_
-- Using new insights from average-case analysis to design improved worst-case algorithms based on convex relaxations that obtain the same worst-case guarantees.  _x000D_
-- Involving students at all levels of research, and integrate aspects of average-case analysis in both graduate and undergraduate courses._x000D_
_x000D_
The algorithmic approaches toward tackling these research goals are often based on showing new structural insights into the behavior of convex relaxations on non-worst-case instances.This project has the potential to have a major impact on both theory and practice, by developing new paradigms and methodology to understand the performance of algorithms on real-world instances of various computational problems. The proposed work will lead to novel algorithms for important problems in combinatorial optimization and machine learning, and help bridge fundamental gaps between theory and practice in these areas.Research from this proposal will lead to new average-case models for real-world instances, and novel algorithms that can broadly impact applied research in different areas of computer science, machine learning and statistics. These new theoretical frameworks that lie between worst-case analysis and traditional average-case analysis are also compelling in other sciences like statistics, economics and applied mathematics, and have the potential to be transformative in algorithms research broadly. _x000D_
The PI will be involved in the CT-STEM initiative that is targeted at high-needs public schools in the Chicago area. The PI will help develop new exercises and activities that are integrated with the research topics in the proposal, to illustrate the importance of algorithmic thinking in the STEM curriculum. The PI also plans to give guest lectures on algorithmic thinking in the Evanston Township High School (ETHS). These outreach activities will introduce high school students to the importance of algorithmic thinking in computer science.</t>
  </si>
  <si>
    <t xml:space="preserve"> Panel Summary       
 SUMMARY OF PROPOSED RESEARCH ACTIVITY_x000D_
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lacking._x000D_
_x000D_
INTELLECTUAL MERIT_x000D_
_x000D_
 Strengths:_x000D_
_x000D_
 - If the proposed theoretical work is successful, the proposed surface mapping methods will have important mathematical guarantees on the performance of registration algorithms._x000D_
_x000D_
 - The PI has a strong track record of publishing in top venues for computer vision and machine learning (CVPR, PAMI) and medical image analysis (IPMI, MICCAI)._x000D_
_x000D_
 - The proposal presents a number of useful applications, each accompanied with a good evaluation plan._x000D_
_x000D_
 Weaknesses:_x000D_
_x000D_
 - The PI discusses dealing with massive data sets, but limited discussion of computational efficiency and scalability of the proposed techniques._x000D_
_x000D_
 - It would be useful if the proposal contained a more thorough review of the existing research in the field and compared it to the proposed work._x000D_
_x000D_
 - While the proposal raises a number of ambitious ideas, it would helpful to see concrete examples where these ideas have succeeded in achieving concrete impacts on actual applications._x000D_
_x000D_
BROADER IMPACTS _x000D_
_x000D_
  Strengths:_x000D_
_x000D_
 - The PI has a strong record of encouraging members of under-represented groups in her research. Given that FIU has a large minority population, these efforts are likely to have a strong positive impact on attracting members of these groups to STEM._x000D_
_x000D_
 - The PI will distribute the developed software toolkit and results to the academic community on the project website._x000D_
_x000D_
CAREER SOLICITATION-SPECIFIC REMARKS:_x000D_
_x000D_
Letter of institutional commitment. Included._x000D_
_x000D_
Integration of research and education: The proposal provides a strong educational plan that is well integrated with the research component. This included a number of initiatives for strengthening participation of women and other under-represented groups._x000D_
_x000D_
ADDITIONAL REMARKS_x000D_
_x000D_
Research plan: Adequate._x000D_
_x000D_
Collaboration plan: The collaborative efforts are strong. Some further details could have been given on the frequency and format of meetings conducted with distant collaborators._x000D_
_x000D_
Data Management Plan: Adequate._x000D_
_x000D_
Results of prior support:  Adequate._x000D_
_x000D_
SUMMARY STATEMENT_x000D_
_x000D_
 This proposal is focused on the use of differential geometry in order to develop algorithms with solid theoretical foundations for shape matching and registration. Overall, this is a solid proposal in terms of both the intellectual and broader impacts. The panel noted a few ways in which the proposal could be improved, as noted above._x000D_
_x000D_
The recommendation of the panel is  _x000D_
_x000D_
  ___ Highly Competitive_x000D_
  _X_ Competitive_x000D_
  ___ Low Competitive_x000D_
  ___ Not Competitive._x000D_
_x000D_
The panelists concur that the Panel Summary accurately reflects the panel discussion 
</t>
  </si>
  <si>
    <t xml:space="preserve">Wei,_x000D_
_x000D_
I'm deeply sorry that we are unable to make a CAREER award.  I very much wanted to, but the competition this year was fierce, and the funds available do not extend to cover all the proposals that were worthy. Let me share the brief comments from my review analysis (an internal NSF document) for additional feedback._x000D_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panel summary accurately captures the discussion within the panel.  In short, this is a very good proposal, with excellent broader impact; it is with regret that we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Snoeyink_x000D_
</t>
  </si>
  <si>
    <t>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4:12PM   Req 60 mo; Start: 07/01/17_x000D_
_x000D_
CAREER: Computational Differential Geometric Methods for Shape Registration and Analysis_x000D_
1652640  Zeng, Wei: Florida International University: $439,758_x000D_
_x000D_
P170288    AF CAREER Panel: Competitive, rank 14 of 29 rated projects: 3 HC, 14 C, 11 LC, 1 NC_x000D_
Reviews: E,V,V,V,P_x000D_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As the panel states:_x000D_
This project aims to transform the smooth differential geometry theories to discrete settings and develop the computational algorithms for shape matching and registration with solid theoretical foundations. It is nicely driven by real-world motivations to fill gaps where the current theory and algorithms are lacking. _x000D_
_x000D_
Intellectual Merit:  _x000D_
The PI is bringing mathematical tools to bear, and creating a strong publication record in vision. Reviewers would have liked to have seen more comparison with the state of the art, and perhaps concrete example to give an indication for how prevalent problems with large data sizes, error in the data, or other algorithmic issues would be in transforming the mathematics to fit the applications.  _x000D_
_x000D_
Broader Impact: The problems are important and the PI has identified domain experts as collaborators to help ensure that her results will have impact in medical applications.  Moreover, FIU has a large minority population, and the PI has plans to take advantage of this to attract underrepresented groups to STEM.  _x000D_
_x000D_
Integration of Research and Education:  As the summary says, _x000D_
the proposal provides a strong educational plan that is well integrated with the research component. This included a number of initiatives for strengthening participation of women and other under-represented groups. _x000D_
_x000D_
Reviews:  _x000D_
There were two reviews from external experts and 3 from the panelists considered in creating the panel summary. _x000D_
_x000D_
Please note: the E review shows as R (remarks only) on some NSF because the initial review by the external reviewer (who was suggested by the PI) did not substantiate the reviewer's opinions, so I asked for more detail.  The revision answers the merit review questions, but still does not fully support an E score. _x000D_
_x000D_
In the other direction, I deem the P from one panelist as far too harsh for the criticism, which is primarily that the work is not set in context of the state of the art in the application areas. This point was made by others scoring V, so I see the reviews as consistent, even if the one reviewer's score is out of line. _x000D_
_x000D_
The other external (V) is from a mathematically-oriented specialist in medical image processing who publishes in the venues that Dr. Zeng publishes in. He identifies few weaknesses (such as, "some amount of missing detail in how the applications will be performed," which is consistent with the panel reviews. _x000D_
_x000D_
The panel summary accurately captures the discussion within the panel.  In short, this is a very good proposal, with excellent broader impact; it is with regret that I will have to decline.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</si>
  <si>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WN0854464</t>
  </si>
  <si>
    <t>Duan</t>
  </si>
  <si>
    <t>duanye@missouri.edu</t>
  </si>
  <si>
    <t xml:space="preserve">In the context of the five review elements, please evaluate the strengths and  weaknesses of the proposal with respect to intellectual merit. 
This project aims to transform the smooth differential geometry theories to discrete settings and develop the computational algorithms of geometric mappings with solid theoretical foundations for the fundamental and challenging problem: optimal registration of general shapes. The PI will investigate the proposed tasks in three overarching themes: theoretically proving the existence, uniqueness, convergence of the algorithmic solutions of harmonic map (H-Map), Teichmuller map (T-Map), optimal mass transportation map (OMT-Map) and variational calculus map (VC-Map); algorithmically designing efficient solutions to computing the maps in various scenarios with algorithm analysis and comparison; and applicably evaluating the resulting registration and shape metrics on the shape analysis tasks of 3D scans of human faces, brains, and hearts.         Overall this is very strong proposal and very well written.         1. What is the potential for the proposed activity to:     a. Advance knowledge and understanding within its own field or across different fields.    The PI will propose three phases in the project. Phase I is the theory development. Phase II is the discrete algorithm development from the continuous theory of Phase I, this is a very big undertaking going from continuous domain back to discrete space, and I believe will be the main focus of the project. Phase III will be application involving medical imaging and entertainment such as facial expression analysis and transfer, etc.    2. To what extent do the proposed activities suggest and explore creative, original, or potentially transformative concepts?    The PI proposes to reduce the gap between continuous differential geometry theory and the discrete computational framework that can efficiently and accurately implement these fantastic theories, and apply them to conduct shape registration of various geometry and topology types. The result if successful will be transformative.    3. Is the plan for carrying out the proposed activities well-reasoned, well-organized, and based on a sound rationale? Does the plan incorporate a mechanism to assess success?     Yes the plan is well thought out, there is a detailed evaluation plan in the proposal which is very good.    4. How well qualified is the individual, team, or organization to conduct the proposed activities?    The PI is very qualified, has very strong track record in both top publications as well as grants. The PI?s group is the leading group in computational differential geometry.    5. Are there adequate resources available to the PI (either at the home organization or through collaborations) to carry out the proposed activities?    The PI got very strong support from her current department chair as evidenced by the letter of support. The PI continues collaborations from her previous research group. Thus the resources are sufficient for her to perform the proposed work.         
In the context of the five review elements, please evaluate the strengths and weaknesses of the proposal with respect to broader impacts.
The proposed research opens a novel computing paradigm of building optimal mappings for general surfaces/volumes, which has various applications in medical imaging, entertainment industry, etc. The PI will distribute the developed software toolkit and results to the academic community on the project website, and will create more opportunities to increase the involvement of undergraduates, women and underrepresented minorities in novel and innovative research. As one of the only four female faculty in her school, the PI is uniquely qualified in broaden the involvement of women in STEM. The PI is already part of a REU team, so has a lot of interaction with undergraduates already. The PI plan to develop both online and offline teaching materials. FIU has a large minority students, does the proposed project will have a very positive impact to increase minority students involvement as well.  
Please evaluate the strengths and weaknesses of the proposal with respect to any additional solicitation-specific review criteria, if applicable.
  The PI has very strong track record in publication. As a young female professor, and one of the four female professors in her school, the project and activities proposed in this career proposal is very promising.  
Summary Statement:
Overall this is a very strong proposal, and I highly recommend it to be considered for funding.             </t>
  </si>
  <si>
    <t>UH0932295</t>
  </si>
  <si>
    <t>Fletcher</t>
  </si>
  <si>
    <t>fletcher@cs.utah.edu</t>
  </si>
  <si>
    <t xml:space="preserve">In the context of the five review elements, please _x000D_
evaluate the strengths and weaknesses of the proposal with respect to intellectual merit._x000D_
_x000D_
Strengths:_x000D_
_x000D_
1. The proposed research would significantly expand the theory and applicability of differential geometric methods for surface registration. It is nicely driven by real-world motivations to fill gaps where the current theory and algorithms are lacking. For example, the PI proposes to extend mapping methods to cases where surfaces have complex topologies, which is applicable in the heart surfaces (which contain many holes, due to veins/arteries) and when given landmark/curve matching constraints. Further examples include the motivation of harmonic maps, Teichmuller maps, and more general variational energy minimizing maps, depending on physical properties for faces, hearts, and brains._x000D_
_x000D_
2. If the proposed theoretical work is successful, the proposed surface mapping methods will have important mathematical guarantees, including existence, uniqueness, diffeomorphism, and convergence of the algorithms._x000D_
_x000D_
3. The PI has a strong track record of publishing her work in top venues for computer vision and machine learning (CVPR, PAMI) and medical image analysis (IPMI, MICCAI). She has demonstrated the ability to carry out the type of work that she is proposing, which combines rigorous mathematical development, algorithm design and implementation, and application to real data._x000D_
_x000D_
4. The evaluation plan contains components to test that the algorithms agree with the theory, as well as that the methods work on real data. The PI has the several application domain users as collaborators who will help in the evaluation._x000D_
_x000D_
Weaknesses:_x000D_
_x000D_
1. The primary weakness of the proposed project is that the description of applications (Task 6) is vague. For example, both the face and the brain application mention classification problems, but there is no indication of how this classification will be done. Classification of surfaces is not a trivial task. Another example is the mention of a comparison to previous methods, such as LDDMM, but how? What are the tasks and metrics for the comparison?_x000D_
_x000D_
2. Aim 2 involving the Ricci flow raises the issue that the surface mapping methods depend on a choice of Riemannian metric. How sensitive would the results be to changes in the Riemannian metric?_x000D_
_x000D_
_x000D_
In the context of the five review elements, please _x000D_
evaluate the strengths and weaknesses of the proposal with respect to broader impacts._x000D_
_x000D_
Strengths:_x000D_
_x000D_
1. The proposed research has very broad impacts across several fields, both within computer science and beyond. This includes, computer vision, graphics, biology, and medicine. The application areas that the PI will explore are diverse: face shape (computer vision and psychology), brain shape (neurology), and heart shape (cardiology)._x000D_
_x000D_
2. The PI has collaborators in multiple areas (mathematics, computer science, psychology) relevant to this project. Collaborations in multidisciplinary fields will help to ensure that the proposed research will have broad impacts in these fields._x000D_
_x000D_
3. The educational plan is excellent. The novel learning components (Geometry Search Engine, educational software, gaming/social interaction) are compelling and build on efforts that the PI has already begun. These novel components are nicely combined with more traditional curriculum development._x000D_
_x000D_
4. The PI has a strong history of supporting women and underrepresented minorities in both education and research opportunities (multiple minority students at the PhD and undergrad level). She is committed to continuing this support, and her institution is one of the largest minority-serving institutes in the country._x000D_
_x000D_
5. The evaulation plan will involve non-CS major undergraduates, which broadens the impact of the research to non-technical students. It will also introduce more underrepresented students to STEM fields._x000D_
_x000D_
Weaknesses:_x000D_
_x000D_
None noted._x000D_
_x000D_
Please evaluate the strengths and _x000D_
weaknesses of the proposal with respect to any additional solicitation-specific review criteria, if _x000D_
applicable_x000D_
_x000D_
_x000D_
_x000D_
Summary Statement_x000D_
_x000D_
This project proposes new theory and methods for differential geometric surface registration, expanding the current state-of-the-art to include more complex surface topologies and varieties of mappings. The PI combines a nice mix of mathematical rigor, algorithm development, and real-world applications with a strong team of collaborators. A weakness in the plan is some amount of missing detail in how the applications will be performed. The educational plan is excellent and contains several novel learning components that should excite students. The PI is committed to involving women, underrepresented minorities, and undergraduates in her work._x000D_
_x000D_
</t>
  </si>
  <si>
    <t xml:space="preserve">In the context of the five review elements, please _x000D_
evaluate the strengths and weaknesses of the proposal with respect to intellectual merit._x000D_
_x000D_
The PI proposes to study a number of problems related to finding relations/mappings between surfaces. In particular, they wish to:_x000D_
1) Compute optimal correspondences between pairs of surfaces under a number of metrics (mass transport/harmonic energy/angle distortion/general energy functions)_x000D_
2) Simulate Rici flow on surfaces in order to compute better metrics._x000D_
3) Apply these techniques to applications in the field._x000D_
These ideas have some potential to advance this field and would have implications in others such as differential geometry. However, the proposal does not do a good job of explaining why the techniques it intends to use will be substantially better than existing ones. In particular, many of the proposed ideas to tackle (1) seem to amount to little more than trying to run some generic optimization procedure, perhaps after switching to some novel coordinate system. It would be better if the PI could explain in more detail what new ideas they intend to bring to the table, and how they intend to take advantage of the geometric structure._x000D_
_x000D_
In the context of the five review elements, please _x000D_
evaluate the strengths and weaknesses of the proposal with respect to broader impacts._x000D_
_x000D_
This project has several potential sources of broader impacts._x000D_
1) There are potential applications of this project to fields like facial recognition and medical imaging._x000D_
2) Attempts to encourage students from underrepresented groups to participate in REUs._x000D_
3) Course development and mentoring._x000D_
These seem to be at about the level of most applications in this field. That this is taking place at a heavily minority-serving institution might help the case some though._x000D_
_x000D_
Please evaluate the strengths and _x000D_
weaknesses of the proposal with respect to any additional solicitation-specific review criteria, if _x000D_
applicable_x000D_
_x000D_
It is unclear from the proposal how original or potentially transformative the work is. It would be useful if the proposal contained a more thorough review of the existing research in the field and compared it to the proposed work. Again, the plan for carrying out the research could use more details on how the proposed techniques differ from existing ideas. There is a plan listed for evaluating success, but much of it is fairly unimaginative and might as well be cut._x000D_
_x000D_
Summary Statement_x000D_
_x000D_
This proposal does a relatively poor job of explaining itself. It could use better explanations of how its ideas relate to previous work and discussions of what kinds of improvements would have what kinds of impact. Additionally, the proposal often does a poor job of defining the terminology that it uses, making several of the technical segments impossible to follow for the non-specialist._x000D_
_x000D_
</t>
  </si>
  <si>
    <t xml:space="preserve">In the context of the five review elements, please _x000D_
evaluate the strengths and weaknesses of the proposal with respect to intellectual merit._x000D_
_x000D_
The general topic of this proposal is shape matching and registration, where the mapping functions are diffeomorphisms that globally minimize some objective function. While this is a well studied problem in computer vision, most methods cannot guarantee these properties. The overall objective is to develop algorithmic methods to compute optimal registrations and apply them to solve a number of the real-world shape matching problems. The PI outlines three concrete areas of concentration:_x000D_
_x000D_
- Generalized Ricci Flow: The PI proposes a new approach involving topological surgery to overcome the shortcomings of existing approaches for computing surface Ricci flows._x000D_
_x000D_
- Teichmuller Map: The PI proposes a new approach to overcome the limitations of methods based on Teichmuller maps through the use of harmonic energy minimization by deforming the target Riemannian metric._x000D_
_x000D_
- Optimal Mass Transportation Map: The PI proposes an approach based on Brenier's theorem to compute OMT-maps on Riemannian manifolds, extending the applicability of this method._x000D_
_x000D_
The PI also proposes to study applications of this work to the analysis of facial expressions, analysis of brain morphology, and cardiac diagnosis._x000D_
_x000D_
I thought that the proposal was quite ambitious, but (to the extent of understanding of this area) I found the proposed methods to be very creative and innovative. I found the combination of theory and practice to be very rich, and I am happy to see that the PI will be interacting with domain experts on the application problems being studied._x000D_
_x000D_
The PI has established a strong track record in the topics presented here, and there is every confidence that she will be able to make significant progress on the many research challenges presented here. My enthusiasm is tempered by the knowledge that the problem of surface matching is very well studied and is difficult to solve (often due to issues such as the unreliability of the data, which may limit the applicability of provably optimal solutions)._x000D_
_x000D_
_x000D_
In the context of the five review elements, please _x000D_
evaluate the strengths and weaknesses of the proposal with respect to broader impacts._x000D_
_x000D_
I thought that the education plan proposed here was quite impressive, involving a number of new and interesting initiatives. This included a search engine for a geometric knowledge base and online educational resources for computer graphics. Given that FIU has a large minority population, the PI's outreach to under-represented groups is a strength of the proposal. My only concern with the proposal will be the PI's ability to attract graduate students of sufficient caliber to help her to carry out this very ambitious research agenda._x000D_
_x000D_
Please evaluate the strengths and _x000D_
weaknesses of the proposal with respect to any additional solicitation-specific review criteria, if _x000D_
applicable_x000D_
_x000D_
_x000D_
_x000D_
Summary Statement_x000D_
_x000D_
_x000D_
This is a strong and ambitious proposal, and the PI has a solid record of work in this area. My evaluation is tempered by the fact that this is not an area of expertise for me, and many of the author's publications are in journals and conferences in the area of computer vision and pattern analysis (in contrast to most of the other proposals considered in this panel). The potential for broader impacts is strong, especially in the area of research opportunities for under-represented groups._x000D_
_x000D_
</t>
  </si>
  <si>
    <t xml:space="preserve">In the context of the five review elements, please _x000D_
evaluate the strengths and weaknesses of the proposal with respect to intellectual merit._x000D_
_x000D_
The proposal describes approaches from discrete differential geometry for shape registration problem of general shapes (i.e. shapes with nontrivial topology). _x000D_
The key research directions include:_x000D_
(1) Combining generalized ricci flow with survery; _x000D_
(2) Using harmonic energy minimization with Teichuller map; _x000D_
(3) Compute optimal mass transportation beyond Euclidean domains, in particular, on Riemannian manifold. _x000D_
_x000D_
Strengths_x000D_
_x000D_
++ The PI proposes to address the problem of optimal registration for general shapes. The proposal is easy to read, well-organized and lists clearly the key intellectual components. _x000D_
_x000D_
++ The PI proposes mathematically rigorous approaches that could potentially apply to shapes beyond the ones with topological restrictions. _x000D_
_x000D_
++ The PI proposes to apply and evaluate the proposed algorithm on datasets involving facial expression tracking, brain mapping and cardiac motion analysis. The proposal also has a pretty good evaluation plan (with the exception of discussion on computational efficiency and scalability). _x000D_
_x000D_
++ The PI is well-suited to the proposed research tasks. _x000D_
_x000D_
Weaknesses_x000D_
_x000D_
-- The PI's goal is to handle massive, dynamic geometric data sets. However, there is very limited discussion of computational efficiency and scalability of the proposed techniques in section 4(b). In particular, it will be better if the PI can expand on and be specific about the algorithmic details surrounding "parallel algorithms and linear systems solvers on CUDA" and "dynamic/kinetic algorithms". _x000D_
_x000D_
-- Shape matching and registration is a common problem; the PI has pointed out that the novelty of her proposed technique is "for general topologies and landmarks with both (global) optimality and diffeomorphism guarantee". It would be nice if the PI could further elaborate how her proposed work could potentially have transformative effect on the field of shape registration._x000D_
_x000D_
In the context of the five review elements, please _x000D_
evaluate the strengths and weaknesses of the proposal with respect to broader impacts._x000D_
_x000D_
Strengths:_x000D_
_x000D_
++ The PI is one of four female professors in her school, one of the largest minority-serving institutions (MIs) in the country. The PI has a very concrete education plan that include both evaluation as well as mitigation strategies.  _x000D_
_x000D_
++ The PI has several novel ideas within the educational plan, in particular, the FIU geometric search engine. _x000D_
_x000D_
++ The PI's research will have impact on computer science, medical imaging, engineering etc._x000D_
_x000D_
Please evaluate the strengths and _x000D_
weaknesses of the proposal with respect to any additional solicitation-specific review criteria, if _x000D_
applicable_x000D_
_x000D_
_x000D_
_x000D_
Summary Statement_x000D_
_x000D_
Overall this is a solid proposal, however it will be nice to see more extensive discussion on computational efficiency and scalability for massive datasets._x000D_
_x000D_
</t>
  </si>
  <si>
    <t xml:space="preserve"> Panel Summary       
 SUMMARY OF PROPOSED RESEARCH ACTIVITY_x000D_
_x000D_
The proposal studies a number of problems in discrete differential geometry with the goal of understanding the behavior of physical objects made of thin plates or shells. In particular, the PI would like to better understand behaviors like crumpling and curling of these shapes. Additionally, this research might be able to help with the design of  objects meant to produce desired shapes. A secondary goal is to be able recover such a shape from its spectrum._x000D_
_x000D_
INTELLECTUAL MERIT_x000D_
_x000D_
Strengths:_x000D_
* The work is mathematically sophisticated and yet, fairly well explained at least to readers with an understanding of differential geometry._x000D_
* The proposal contains a mixture of different problems with varying completion timelines._x000D_
* The proposal contains a detailed evaluation plan._x000D_
* Discusses interesting physical phenomena._x000D_
_x000D_
Weaknesses:_x000D_
* The proposal contains few details of the techniques that the PI intends to use. For example, there is little discussion of what sorts of discretizations might be used when parameterizing the objects in question._x000D_
_x000D_
Suggestions for Improvement:_x000D_
* It would be good if the proposal could contain a few problems of intermediate difficulty that could more easily be solved if the major problems prove to be too difficult._x000D_
_x000D_
BROADER IMPACTS_x000D_
_x000D_
Strengths:_x000D_
* The geometry oracle for teaching programming for these sorts of problems seems like a very good idea. It has a well designed plan for using student input and involving student assistance._x000D_
* The content of the proposal cuts across many fields._x000D_
_x000D_
Weaknesses:_x000D_
* The geometry oracle seems like it could potentially be a very time consuming project, perhaps beyond the scope of such a proposal._x000D_
_x000D_
CAREER SOLICITATION-SPECIFIC REMARKS:_x000D_
_x000D_
Letter of institutional commitment. Adequate._x000D_
_x000D_
Integration of research and education: Has very involved plan to create and use a geometry oracle, fitting well into the proposed research plan._x000D_
_x000D_
ADDITIONAL REMARKS_x000D_
_x000D_
Research plan: Well thought-out plan involving several projects of varying timeline._x000D_
_x000D_
Collaboration plan: Two letters of collaboration. Has ongoing collaborations along the lines of topics discussed in the proposal._x000D_
_x000D_
Data Management Plan: Data generated by the project will be stored mostly in open formats. The source code will be made public, but many of the images and such generated will be retained by the university._x000D_
_x000D_
Results of prior support: Clearly stated discussion of a few papers published from previous fellowship._x000D_
_x000D_
SUMMARY STATEMENT_x000D_
_x000D_
The proposal attacks a number of problems in computational differential geometry with a number of important physical applications. The goal of creating a geometry oracle seems very valuable though perhaps too large a project to take on during this timeline. It would also be good if the proposal could discuss more intermediate level problems._x000D_
_x000D_
___ Highly Competitive_x000D_
_X_ Competitive_x000D_
___ Low Competitive_x000D_
___ Not Competitive_x000D_
_x000D_
The panelists concur that the Panel Summary accurately reflects the panel discussion._x000D_
</t>
  </si>
  <si>
    <t xml:space="preserve">We had to make some very hard decision this year, including declining your highly-rated proposal.  _x000D_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</si>
  <si>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 xml:space="preserve">NATIONAL SCIENCE FOUNDATION _x000D_
Arlington, Virginia 22230 _x000D_
Directorate for Computer and Information Science and Engineering (CISE) _x000D_
Division of Computing and Communication Foundations (CCF) _x000D_
_x000D_
Review Analysis Recommendation: Decline_x000D_
_x000D_
NSF 15-555  Faculty Early Career Development Program_x000D_
Submitted: Jul 20 2016  4:30PM   _x000D_
Req 60 mo; Start: 08/01/17_x000D_
_x000D_
CAREER: Simulation and Design of Thin Objects using Discrete Differential Geometry Algorithms_x000D_
1652695  Vouga, Paul: University of Texas at Austin: $501,317_x000D_
_x000D_
P170288    AF CAREER Panel: Competitive, _x000D_
           rank 14 of 29 rated projects: 3 HC, 14 C, 11 LC, 1 NC_x000D_
Reviews: E,E,V,G_x000D_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history:_x000D_
This project was sent to IIS and transferred to CCF.  I was willing to take it because it should be considered either by CCF Algorithmic Foundations or somewhere in MPS (DMS, which was attempted last year, or material science.)_x000D_
_x000D_
Project Summary:_x000D_
Discrete differential geometry for thin plates and shells.  _x000D_
_x000D_
As one reviewer says: The PI proposes to use discrete differential geometry to improve our _x000D_
understanding of the behavior of objects composed of thin plates or _x000D_
shells, such as paper, glass bowls, plant leaves, etc. He wants to _x000D_
model the surfaces of which (idealized versions of) these objects are _x000D_
composed so that observed behaviors--crumpling, ringing, curling--can _x000D_
be simulated and accurately predicted. If successful, this research _x000D_
would let us design flat surfaces that fold into desired shapes when _x000D_
heated or chemically treated, and might let us recover the shape of a _x000D_
metal casting from the audio spectrum of its ringing. At a higher _x000D_
level, successful modeling of thin objects would have an impact across _x000D_
many fields of computer graphics, engineering, and scientific _x000D_
computing in which simulation of paper, cloth, sheet metal, etc., are _x000D_
important. _x000D_
_x000D_
The PI appears to know his mathematics, but also knows how to convey _x000D_
an intuitive understanding of his proposed research. The proposal has _x000D_
a nice mix of near-term achievable goals and ambitious "stretch" goals. _x000D_
_x000D_
_x000D_
Intellectual Merit:  _x000D_
Very good proposal; a little light on the solution techniques that will be applied. _x000D_
_x000D_
Broader Impact:  _x000D_
Thoughts on a Geometry Oracle -- a web-based tool _x000D_
for helping undergraduates learn about "computational forward and inverse problems, from the perspective of discrete differential geometry" --  are given in detail, along with a plan for its evaluation._x000D_
_x000D_
Integration of Research and Education:_x000D_
The geometry oracle has potential to be a good integration, but also has potential to be a large time commitment that may squeeze the research. _x000D_
_x000D_
Reviews:  _x000D_
This proposal had two E ratings from reviewers who appreciated the technical material, a V from a reviewer who usually scored low, and a G from a reviewer who needed to hear more about the context and about the techniques that the PI would use. This is in the top half of all proposals, near the bottom of Competitive.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31 Oct 2016_x000D_
_x000D_
For the AF team: _x000D_
tracy Kimbrel, Rahul Shah, and Jack Snoeyink_x000D_
</t>
  </si>
  <si>
    <t>WB0858346</t>
  </si>
  <si>
    <t>Desbrun</t>
  </si>
  <si>
    <t>mathieu@caltech.edu</t>
  </si>
  <si>
    <t xml:space="preserve">In the context of the five review elements, please _x000D_
evaluate the strengths and weaknesses of the proposal with respect to intellectual merit._x000D_
_x000D_
This proposal proposes a sound research agenda for the next 5 years. I ranked this proposal "Excellent" as it cuts across an impressive number of different fields: while the applicant could be classified as a Computer Graphics researcher (and a very successful one so far), the current state of the art in geometric modeling borrows from, and contributes to, engineering fields (like solid mechanics, computational science) and mathematical fields (differential geometry, graph theory). The breadth of references used in this document is proof that the PI has "done his homework"._x000D_
_x000D_
A slight drawback of the extensive discussions of the various aspects of the research is that the reader is left with very little when it comes to the details of the core contributions. As an example, I am still not sure what the PI will use as a discretization of shells in Aim 1 (rulings? non-conforming finite elements?). I understand, however, that it is impossible to go both deep and wide in a page-limited proposal._x000D_
_x000D_
In the context of the five review elements, please _x000D_
evaluate the strengths and weaknesses of the proposal with respect to broader impacts._x000D_
_x000D_
This proposal is creative and original, and shows potential to have transformative effects on 3D printing and discrete geometry. _x000D_
_x000D_
Moreover, the applicant has an ambitious plan regarding teaching: the creation of a Geometry Oracle (modular base code available through an online GL-based framework, so that students can test their implementation within a large library). This is potentially a herculean effort (assuming the PI implements all basic techniques in modeling and simulation). But it could also become a very useful tool for both students and teachers. Personally, I would love to use such a tool in my classes._x000D_
_x000D_
Please evaluate the strengths and _x000D_
weaknesses of the proposal with respect to any additional solicitation-specific review criteria, if _x000D_
applicable_x000D_
_x000D_
The activities listed in the proposal are well reasoned, and there is a good mix between attainable goals and more risky ventures. Given previous productivity, the PI is very likely to make significant contributions to the state of the art. Moreover, he seems to be teaming up with a small group of experts in complementary fields._x000D_
_x000D_
This reviewer would have liked to see more discussion on the use of metric growth: what are the expected outcomes in medical, industrial, or artistic applications? Seems very intriguing, but finding applications would be nice._x000D_
_x000D_
_x000D_
_x000D_
Summary Statement_x000D_
_x000D_
This is a solid proposal, in a field that the NSF should support more regularly. I strongly recommend funding._x000D_
_x000D_
</t>
  </si>
  <si>
    <t xml:space="preserve">In the context of the five review elements, please _x000D_
evaluate the strengths and weaknesses of the proposal with respect to intellectual merit._x000D_
_x000D_
The PI proposes to use discrete differential geometry to improve our_x000D_
understanding of the behavior of objects composed of thin plates or_x000D_
shells, such as paper, glass bowls, plant leaves, etc.  He wants to_x000D_
model the surfaces of which (idealized versions of) these objects are_x000D_
composed so that observed behaviors--crumpling, ringing, curling--can_x000D_
be simulated and accurately predicted.  If successful, this research_x000D_
would let us design flat surfaces that fold into desired shapes when_x000D_
heated or chemically treated, and might let us recover the shape of a_x000D_
metal casting from the audio spectrum of its ringing.  At a higher_x000D_
level, successful modeling of thin objects would have an impact across_x000D_
many fields of computer graphics, engineering, and scientific_x000D_
computing in which simulation of paper, cloth, sheet metal, etc., are_x000D_
important._x000D_
_x000D_
The PI appears to know his mathematics, but also knows how to convey_x000D_
an intuitive understanding of his proposed research.  The proposal has_x000D_
a nice mix of near-term achievable goals and ambitous "stretch" goals._x000D_
_x000D_
_x000D_
In the context of the five review elements, please _x000D_
evaluate the strengths and weaknesses of the proposal with respect to broader impacts._x000D_
_x000D_
The PI proposes to implement a Geometry Oracle for teaching geometric_x000D_
and discrete differential geometry concepts and helping teach students_x000D_
to implement them in programs.  This is an ambitious, good idea.  The_x000D_
PI has a well thought-out plan of attack that should lead to a broadly_x000D_
useful system.  Student involvement in the development benefits the_x000D_
students._x000D_
_x000D_
The PI mentors undergraduate "Turing Scholars" and reaches out to high_x000D_
school girls at a "First Bytes" summer program at UT._x000D_
_x000D_
_x000D_
Please evaluate the strengths and _x000D_
weaknesses of the proposal with respect to any additional solicitation-specific review criteria, if _x000D_
applicable_x000D_
_x000D_
_x000D_
_x000D_
Summary Statement_x000D_
_x000D_
The proposal makes a convincing case for the intellectual appeal of_x000D_
the proposed research and the PI's chances of making good progress on_x000D_
it.  The broad impact of the Geometry Oracle is excellent, and the_x000D_
project is extremely well thought out._x000D_
_x000D_
_x000D_
</t>
  </si>
  <si>
    <t xml:space="preserve">In the context of the five review elements, please _x000D_
evaluate the strengths and weaknesses of the proposal with respect to intellectual merit._x000D_
_x000D_
The proposal discusses a number of problems related to computations involving the dynamics or construction of objects made out of thin materials. These topics might have relevance to differential geometry and physics as well as potential practical applications. The research has three main goals:_x000D_
I) Develop a theory for understanding the behavior in paper-like surfaces in situations where small amounts of stretching of the material is necessary._x000D_
II) Develop algorithms for constructing objects by deforming the internal metric of a flat object in order to produce a desired three dimensional shape._x000D_
III) Develop algorithms to efficiently reconstruct objects from their spectra._x000D_
These are interesting ideas with the potential for practical applications, however, it would be good to see more details on what sorts of techniques the PI intends to use on these problems._x000D_
_x000D_
_x000D_
In the context of the five review elements, please _x000D_
evaluate the strengths and weaknesses of the proposal with respect to broader impacts._x000D_
_x000D_
The main broader impacts of this proposal beyond the standard teaching are the following:_x000D_
1) Potential practical applications of the research to the understanding/simulation/construction of surfaces._x000D_
2) Development of an oracle to help teach the programming of such simulations to undergraduates._x000D_
3) Interaction with the First Bytes summer camp for introducing high school girls to computer science._x000D_
This seems roughly on par with other proposals in this field._x000D_
_x000D_
Please evaluate the strengths and _x000D_
weaknesses of the proposal with respect to any additional solicitation-specific review criteria, if _x000D_
applicable_x000D_
_x000D_
The proposed research does appear interesting, and could potentially be transformative if a breakthrough is found. The PI has a solid history in this area and has ideas for how to accomplish their goals. However, it would be nice to see a little more detail on specific sub-problems that could be solved if the big-picture problems prove to be too difficult._x000D_
_x000D_
Summary Statement_x000D_
_x000D_
A solid proposal that could benefit from including a few more technical details on techniques and sub-problems._x000D_
_x000D_
</t>
  </si>
  <si>
    <t xml:space="preserve">In the context of the five review elements, please _x000D_
evaluate the strengths and weaknesses of the proposal with respect to intellectual merit._x000D_
_x000D_
The PI proposes to study slender objects (e.g., paper, cloth, sheet_x000D_
metal) and the relationship between their geometry and function._x000D_
The problems to be considered are:_x000D_
(1) what is the right discrete geometric representation of deformable_x000D_
thin objects;_x000D_
(2) how to design surfaces that can change shape; and _x000D_
(3) how to reconstruct the shape of an object from its vibration _x000D_
modes/spectrum/sound._x000D_
_x000D_
Benefits include better algorithms for simulating thin materials with_x000D_
applications to computer animation, computational mechanics, and_x000D_
physics.  These algorithms could be applied toward 4D manufacturing --_x000D_
creating 3D objects that later can bend into desired shapes._x000D_
_x000D_
The PI is highly qualified, having worked in the past on very similar_x000D_
problems, and the institutional resources are certainly adequate._x000D_
_x000D_
Strengths:  The proposal addresses a challenging and important problem_x000D_
with applications to 4D manufacturing.  Relevant preliminary work is_x000D_
presented and ideas for how to proceed are laid out._x000D_
_x000D_
Weaknesses: It was difficult to understand most of the technical _x000D_
exposition in the proposal beyond the very high level descriptions of_x000D_
the problems._x000D_
_x000D_
Suggestions for Improvement:  It would be helpful to either give more_x000D_
background information before jumping into mathematical jargon_x000D_
(e.g., equation (1) on page 4), or better yet, see if there is a way_x000D_
to reduce it.  Also, what would be a possible application of reconstructing_x000D_
a shape from its sound?_x000D_
_x000D_
_x000D_
In the context of the five review elements, please _x000D_
evaluate the strengths and weaknesses of the proposal with respect to broader impacts._x000D_
_x000D_
The main effort will be to develop a Geometry Oracle, a web-based tool_x000D_
for helping undergraduates learn about "computational forward and_x000D_
inverse problems, from the perspective of discrete differential_x000D_
geometry".  It will provide visual feedback in real time about the_x000D_
students' code._x000D_
_x000D_
The PI will also continue participation in an outreach program for_x000D_
high school girls; continue supervising honors undergraduate students_x000D_
in research; and continue developing a graduate course on physical_x000D_
simulation and animation, including assembling course notes that will_x000D_
be made publicly available._x000D_
_x000D_
A detailed plan is given for the development of the Geometry Oracle._x000D_
The utility of the Geometry Oracle will be evaluated through user studies._x000D_
UT's Texas Institute for Discovery Education in Science will advise on_x000D_
the design and implementation of the user studies._x000D_
_x000D_
Strengths: The Geometry Oracle is a novel activity.  At first I was_x000D_
worried it was on a rather narrow topic, but my concerns were_x000D_
alleviated by discussion on page 14 regarding the various classes it_x000D_
can be used for, and the other institutions that have expressed_x000D_
interest in it._x000D_
_x000D_
Weaknesses:  None that I am aware of._x000D_
_x000D_
Suggestions for Improvement:  None really._x000D_
_x000D_
_x000D_
Please evaluate the strengths and _x000D_
weaknesses of the proposal with respect to any additional solicitation-specific review criteria, if _x000D_
applicable_x000D_
_x000D_
_x000D_
_x000D_
Summary Statement_x000D_
_x000D_
This is a very good proposal to further the understanding of how thin_x000D_
objects can be discretized and to find good algorithms for modeling them._x000D_
The broader impacts activity is especially novel and well-thought-out,_x000D_
including an evaluation plan._x000D_
_x000D_
</t>
  </si>
  <si>
    <t>The objective of the proposed research is to study slender objects and the relationship between their geometry and function: paper will crumple differently depending on how it is corrugated; a venus flytrap snaps shut without moving parts, due to chemically-induced changes to its shape; a glass vibrates at certain frequencies when struck. Although each of these examples involve different materials obeying different physical laws, in all cases the behavior of the object is intimately coupled to its shape. By understanding their geometry we understand their function. I propose to combine computer science, continuous and discrete differential geometry, and soft-matter physics to deepen our understanding of how geometry affects physical behavior and vice versa, and use that understanding to construct new algorithms for designing thin objects given prescribed behavior._x000D_
_x000D_
The proposed research is divided into three aims: first, what is the right discrete geometric representation of deformable thin objects like paper, so that the discretization accurately approximate the space of deformations of the real materials? Answering this question is essential to our ability to efficiently and accurately solve both forward and inverse problems. The remaining aims look at two specific inverse problems intimately coupled to surface geometry: designing surfaces that differentially swell and buckle out of plane due to metric frustration, like leaves curling up as they dry out, and recovery of object shape from vibration modes. The former would let us 3D-print flat objects that warp into arbitrary target shapes when stimulated. The latter which would allow us to control not just the shape and flexibility of surfaces we manufacture, but also their sound and vibrations; ultimately, with an understanding of computing shape from spectrum we could reconstruct an object from a recording of the sound it made when struck. _x000D_
_x000D_
Integrated with these research goals is a web-based Geometry Oracle, which addresses the challenge of teaching undergraduate students about computational forward and inverse problems by giving them real-time, interactive, visual feedback about whether their code has been correctly implemented, and how it is deviating from the expected solution if not. The Oracle will be incorporated into the undergraduate computer graphics class I teach, and once polished will be publicly released so that other educators can adapt it, and the general public can interact with it.This research will expand the frontiers of discrete differential geometry, filling gaps in our understanding of how thin plates can be discretized while preserving their flexibility and inextensibility, how the intrinsic geometry of a shell relates to its embedding in space, and how vibrational and Laplace spectrum relates to shape. Theory developed through this research will yield computational algorithms for solving forward and inverse problems relating to thin shells. The proposed research touches on several long-standing questions in smooth and discrete differential geometry, such as characterizing flexibility of smooth surfaces and polyhedra, understanding how the frequencies at which a surface vibrates relates to its shape, and discretizing developable surfaces in ways that are exactly as flexible as the original smooth surfaces, and will provide new insight into these problems.The proposed research will yield the mathematical insights and computational tools necessary to understand the relationship between the function of thin objects and their geometry. Applications include 4D-printing thin sheets that buckle and deform in prescribed ways with no motors or moving parts; designing the vibrations and sound of objects; and inverting recovering the shape of objects from their "shape DNA." The Geometry Oracle will help undergraduate students and the general public develop intuition about the interplay of geometry and physics in thin objects, and introduce them to the background necessary to carry out research in this area. Finally the visual and tangible nature of the proposed research makes it ideal for outreach to high school students considering a career in STEM.</t>
  </si>
  <si>
    <t xml:space="preserve"> Panel Summary       
 SUMMARY OF PROPOSED RESEARCH ACTIVITY_x000D_
_x000D_
The proposal deals with several excellent new directions for research._x000D_
- algorithms for recovery of signals_x000D_
- robust polynomial regression_x000D_
- testing uniformity of distributions_x000D_
- triangle counting in streams._x000D_
_x000D_
The panel was impressed with the ideas and the several new_x000D_
results discussed in the proposal, improving upon prior work_x000D_
by others and development of new directions  for research,_x000D_
especially related to the sample complexity of reconstructing_x000D_
samples accurately from noisy observations._x000D_
_x000D_
_x000D_
INTELLECTUAL MERIT_x000D_
_x000D_
strengths:_x000D_
_x000D_
The considered problems are of interest to the wider theory community_x000D_
as well as the electrical engineering community, and we gladly noted that_x000D_
the PI has already established working relationships with researchers_x000D_
in that field._x000D_
_x000D_
_x000D_
weaknesses &amp; suggestions for improvement:_x000D_
The proposal was strong in all aspects, and the weakest section was_x000D_
perceived to be the triangle counting/estimating one due to the_x000D_
assumptions on the properties of the input._x000D_
_x000D_
_x000D_
BROADER IMPACTS_x000D_
The involvement with USACO was excellent, and we encourage the PI_x000D_
to think further about reaching out to high schools with more minorities_x000D_
and the PI does have some good ideas in this direction._x000D_
_x000D_
CAREER SOLICITATION-SPECIFIC REMARKS:_x000D_
_x000D_
Letter of institutional commitment: Submitted._x000D_
_x000D_
Integration of Research and Education:_x000D_
_x000D_
Good involvement with USACO and student advising. Good letter of_x000D_
support from the chair at UT-Austin._x000D_
_x000D_
ADDITIONAL REMARKS_x000D_
_x000D_
Research plan: This is normal CAREER proposal with the span of five years. The scope of the project and the requested funds are pretty standard._x000D_
_x000D_
Data Management Plan: Adequate._x000D_
_x000D_
Results of prior support: No prior NSF support._x000D_
_x000D_
Upon successful completion, the results will advance our knowledge,_x000D_
and impact several sub-areas._x000D_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 The panel was impressed with this proposal, but did feel_x000D_
that some of the topics were disparate._x000D_
_x000D_
The recommendation of the panel is_x000D_
___ Highly Competitive_x000D_
_X_ Competitive_x000D_
___ Low Competitive_x000D_
___ Not Competitive_x000D_
_x000D_
_x000D_
The panelists concur that the Panel Summary accurately reflects the panel discussion. 
</t>
  </si>
  <si>
    <t>NATIONAL SCIENCE FOUNDATION_x000D_
Arlington, Virginia 22230_x000D_
_x000D_
Directorate for Computer and Information Science and Engineering (CISE)_x000D_
Division of Computing and Communication Foundations (CCF)_x000D_
CCF CAREER Program - Fiscal Year 2017_x000D_
_x000D_
Review Analysis_x000D_
_x000D_
Title: CAREER: Sample Complexities of Fundamental Problems_x000D_
_x000D_
Proposal Number: 1652845_x000D_
PI: Price, Eric_x000D_
Institution:  	University of Texas at Austin _x000D_
Recommendation: Decline_x000D_
_x000D_
Ranking in Panel and Panel Procedures:_x000D_
_x000D_
Panel Number: P170288_x000D_
Reviewers Ratings: E, E/V, V, V/G_x000D_
Panel Recommendation: Competitive_x000D_
This project was (3-way) tied for 8th place in a panel of 29 projects._x000D_
_x000D_
This project was one of 14 projects placed in the category Competitive by an Algorithmic Foundations review panel, which met on October 17-18, 2016. The panel considered a total of 29 projects (29 proposals including non-leads). 3 proposals were rated Highly Competitive, 14 were rated Competitive, 11 were rated Low Competitive, and 1 was rated Not Competitive. Each proposal was reviewed by at least 3 experts, including at least one reviewer external to the panel chosen specifically for the proposal. These ad hoc reviews were read and discussed, along with the panelists' own reviews, during the panel meeting.  All panelists and NSF staff, if any, who had a conflict of interest with this project left the room before the discussion of it began and did not participate in any way in the review and decision process.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field._x000D_
_x000D_
The panel recommendation Competitive was based on substantive comments from both individual reviews and the collective assessment of the proposal by the panel._x000D_
_x000D_
Scope of Project and Intellectual Merit:_x000D_
_x000D_
This proposal has four goals: (1) develop an algorithmic theory of sparse Fourier sampling for continuous signals (as opposed to a discretized set of frequencies) (2) improved algorithms for Robust Polynomial Regression (fitting given data to a polynomial in the presence of noise) (3) testing uniformity (or distance from uniformity) of discrete distributions and (4) counting triangles in graphs in the streaming model. Some reviewers downgraded the proposal based on the disparate topics, but others were willing to overlook this. Some reviewers felt the PI did an adequate job of describing plans and approaches for solving problems, but others felt the plans were somewhat sketchy in places._x000D_
_x000D_
Broader Impacts:_x000D_
_x000D_
In addition to the standard educational activities, the PI is actively involved in the USA Computing Olympiad, and plans to increase participation in Texas as a way to widen the population of researchers in computing. Strong outreach to members of underrepresented groups is included in this effort, and the panel appreciated it. The panel also appreciated the PI's outreach to/collaboration with the electrical engineering community._x000D_
_x000D_
PI Qualifications:_x000D_
_x000D_
The panel appreciated the PI's strong track record. One reviewer noted that the PI has strong results in all of the wide ranging topics covered in the proposal._x000D_
_x000D_
Response to E and E/V ratings:_x000D_
_x000D_
The E rating came from the ad hoc reviewer. It is a little sparse, and focuses a bit more on the importance of the problems than on the PI's capabilities, but we can assume the reviewer believes the PI is capable of conducting the research based on the rating. The E/V reviewer gave explicit praise to the PI for his track record. These ratings seem to be warranted based on the review content, and the only response we can muster is that the competition in AF is very high. This proposal is indeed of very high quality and worthy of funding, but the available funds are not enough to reach this deep into the pool of outstanding candidates._x000D_
_x000D_
Recommendations and Conditions:_x000D_
_x000D_
The panel assigned this proposal to the Competitive category. This project was considered to be worthy of funding by the AF panel. I agree with the assessment and recommendation of the reviewers---this is a high quality proposal and is well worthy of support, and in a less competitive funding environment would be a candidate for award. Due to the outstanding overall quality of proposals received by the AF program, I regretfully recommend that this proposal be declined._x000D_
_x000D_
_x000D_
Dr. Tracy Kimbrel_x000D_
Program Director_x000D_
NSF CISE/CCF_x000D_
December 12, 2016</t>
  </si>
  <si>
    <t xml:space="preserve">In the context of the five review elements, please _x000D_
evaluate the strengths and weaknesses of the proposal with respect to intellectual merit._x000D_
_x000D_
This proposal has several focus areas: sparse FT with continuous signals, signals with outliers, property testing and its relation with statistical hypothesis testing, and graph sampling. The PI would like to consider these areas in ways that have not been employed in classical literature that deals with them. The PI is clearly very successful/promising, and this is an ambitious plan that spans central topics that are not necessarily closely linked, but important nonetheless. The proposal might benefit from more concrete directions as to how to solve these problems (even though approaches are spelled out, sometimes they are treated more as justifications than suggested techniques)._x000D_
_x000D_
In the context of the five review elements, please _x000D_
evaluate the strengths and weaknesses of the proposal with respect to broader impacts._x000D_
_x000D_
The scope is very broad, and the developments might lead to new discoveries in applied areas such as signal processing. It bridges the discrete/continuous gap between CS and engineering. The PI has background in and would like to work with the USA Computer Olympiad hopefuls in high schools._x000D_
_x000D_
Please evaluate the strengths and _x000D_
weaknesses of the proposal with respect to any additional solicitation-specific review criteria, if _x000D_
applicable_x000D_
_x000D_
_x000D_
_x000D_
Summary Statement_x000D_
_x000D_
A solid proposel by a successful PI on analyzing various aspects of a variety of (already known) problems._x000D_
_x000D_
</t>
  </si>
  <si>
    <t>HU0943463</t>
  </si>
  <si>
    <t>Guha</t>
  </si>
  <si>
    <t>sudipto@cis.upenn.edu</t>
  </si>
  <si>
    <t xml:space="preserve">In the context of the five review elements, please _x000D_
evaluate the strengths and weaknesses of the proposal with respect to intellectual merit._x000D_
_x000D_
The proposal considers sparse signal recovery problems and specially focuses on (continuous) fourier spectrum, robust polynomial regression and distribution testing. The proposed problems are well explained, well thought out with potential avenues of success and some initial results in some cases. The results that can arise from investigating these questions is getting published at top venues and the PI is already working with his students. The proposal is extremely strong._x000D_
_x000D_
In the context of the five review elements, please _x000D_
evaluate the strengths and weaknesses of the proposal with respect to broader impacts._x000D_
_x000D_
The proposed work, specially the problems posed in section 2 on continuous Fourier spectrum have the potential to have an extremely strong impact on practice. The gap between the 1/T and log ()/T, i.e., question 2.4, has the potential to allow breakthrough developments in theory and in practice. It is difficult to overstate the importance of continuous Fourier spectrum in Engineering._x000D_
_x000D_
While the problems posed in Section 3, robust regression are not as mature as the questions in section 2, development of techniques that address robustness can have breakthrough impact as well. In fact the dissonance between theory and practice often lies at this interface, when the theory assumes perfect measurements. _x000D_
_x000D_
The idea of increasing participation in USACO is a novel and interesting one with potential societal impact. The PI has clearly devoted reasonable amount of thought to this topic and has leads._x000D_
_x000D_
Please evaluate the strengths and _x000D_
weaknesses of the proposal with respect to any additional solicitation-specific review criteria, if _x000D_
applicable_x000D_
_x000D_
The PI is already working with more than one student and producing publishable results with the said students. This is laudable and a great plus for the CAREER award._x000D_
_x000D_
Summary Statement_x000D_
_x000D_
An extremely strong CAREER proposal that should definitely be funded._x000D_
_x000D_
</t>
  </si>
  <si>
    <t xml:space="preserve">In the context of the five review elements, please _x000D_
evaluate the strengths and weaknesses of the proposal with respect to intellectual merit._x000D_
_x000D_
The proposal is focused on several fundamental questions:_x000D_
- if we have a degree d polynomial, and get sample points with bounded error (for most_x000D_
sample points) then can we accurately reconstruct the polynomial? _x000D_
- if we take samples from a distribution and it is not a uniform distribution, how many_x000D_
samples do we need to determine this?_x000D_
- approximate  triangle counting on graphs from samples._x000D_
_x000D_
Overall this proposal is focused on fairly central and important problems. In all these topics the PI has recent results, or significant progress to report.  Triangle counting_x000D_
has become an important topic in analysis of large networks and I hope to see_x000D_
more work in this direction with a focus on more general questions and other_x000D_
pattern subgraphs as well._x000D_
_x000D_
The PI is well positioned to make significant contributions and I found this_x000D_
proposal to be well written and compelling._x000D_
_x000D_
UT-Austin is a top theory group and adequate resources are indeed available._x000D_
_x000D_
In the context of the five review elements, please _x000D_
evaluate the strengths and weaknesses of the proposal with respect to broader impacts._x000D_
_x000D_
The ideas of the PI for the Computing Olympiad seem worthy of pursuit.  The broader impact of this proposal is high since the sampling work affects many fields especially those related to analysis of big data. More could be done to involve women and_x000D_
minorities in this kind of research._x000D_
_x000D_
The PI has collaborated with researchers in Electrical Engineering where some of_x000D_
these questions arise naturally as well._x000D_
_x000D_
Please evaluate the strengths and _x000D_
weaknesses of the proposal with respect to any additional solicitation-specific review criteria, if _x000D_
applicable_x000D_
_x000D_
_x000D_
_x000D_
Summary Statement_x000D_
_x000D_
In summary, a very good proposal by a PI who has done stellar work._x000D_
_x000D_
</t>
  </si>
  <si>
    <t xml:space="preserve">In the context of the five review elements, please _x000D_
evaluate the strengths and weaknesses of the proposal with respect to intellectual merit._x000D_
_x000D_
This proposal has four goals: (1) develop an algorithmic theory of sparse Fourier sampling for continuous signals (as opposed to a discretized set of frequencies) (2) improved algorithms for Robust Polynomial Regression (where we are given data that fits a polynomial, but some of it is noisy)  (3) testing uniformity (or far from uniformity) of discrete distributions and (4) counting triangles in graphs in the streaming model. _x000D_
_x000D_
While these topics are a bit disparate, the PI has made strong progress on all of them. In particular, in upcoming work, he shows how to do near-optimal robust polynomial regression, considerably improving the work of Arora and Khot and the very recent work of Guruswami and Zuckerman (FOCS 2016). He then asks about generalizations to multivariate polynomials. _x000D_
_x000D_
Similarly, for sparse recovery, the PI gave an algorithm to recover a signal with only k frequencies using \tilde{O}(k) measurements (all previous work assumed discretized frequencies). One of the neat questions raised whether the following inequality holds for every k-sparse Fourier signal x in the unit interval:  ||x||_\infty &lt;= C k ||x||_2  ?  The current best bound is O(k^2)._x000D_
_x000D_
In the context of the five review elements, please _x000D_
evaluate the strengths and weaknesses of the proposal with respect to broader impacts._x000D_
_x000D_
This project builds strong ties with traditional EE topics of signal processing and sparse recovery. It offers algorithms, many of them practical, that could be of wide interest._x000D_
_x000D_
The education plan stands out in regard to the PI's efforts with the USA computing olympiad._x000D_
_x000D_
Please evaluate the strengths and _x000D_
weaknesses of the proposal with respect to any additional solicitation-specific review criteria, if _x000D_
applicable_x000D_
_x000D_
_x000D_
_x000D_
Summary Statement_x000D_
_x000D_
The proposals goals of improved sparse Fourier recovery, robust polynomial regression, distribution testing and triangle counting constitute a diverse but fundamental set of problems, on which the PI has already had breakthrough results._x000D_
_x000D_
</t>
  </si>
  <si>
    <t>The amount of data being created in the world has grown rapidly in recent years, both from people (e.g., in social networks) and from small devices (e.g., the internet of things).  This rapid growth is expected to continue for the foreseeable future, at the same time as Moore's law for computational resources is slowing down.  Already, in many cases simply reading the complete set of data--often stored on separate servers over the network--is an expensive operation.  To keep up, we must develop efficient algorithms to derive reliable results from smaller samples of the data._x000D_
_x000D_
This proposal focuses on sub-linear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object?This research will examine four distinct areas presenting challenges for developing algorithms with efficient sample complexities and running times.  The project will cover creating algorithms for sparse Fourier transforms that work well with continuous signals; recovering signals from observations that include outliers; performing property testing in a more efficient manner compatible with statistical hypothesis testing; and sampling graphs in an instance optimal way.  In each area, the project considers new models that allow for stronger guarantees; new algorithms to achieve those guarantees; and new lower bounds to determine what is achievable.Much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set of high school students.</t>
  </si>
  <si>
    <t xml:space="preserve"> Panel Summary       
  SUMMARY OF PROPOSED RESEARCH ACTIVITY_x000D_
_x000D_
The PI proposes to solve several problems in computational geometry_x000D_
related to visibility graphs: finding a precise characterization for_x000D_
graphs that are visibility graphs of simple polygons; constructing_x000D_
pedestrian maps from GPS data; and designing algorithms for the art_x000D_
gallery problem in models that incorporate noisy data and limited_x000D_
visibility of the watchers._x000D_
_x000D_
Visibility graphs are important for applications including robotics_x000D_
and mapping.  Good algorithms for these problems would lead to better_x000D_
applications in these important areas.  One mentioned in particular is_x000D_
self-driving wheelchairs._x000D_
_x000D_
For the first problem, the PI proposes to extend his recent work using_x000D_
the notions of pseudo-visibility and designated blockers and will_x000D_
start with a special case of "terrains".  For the second one, he_x000D_
proposes an approach using sampling.  For the third, he proposes to_x000D_
extend his recent work on the complexity of the problem and see if_x000D_
there is a good approximation algorithm._x000D_
_x000D_
Educational and Outreach Plans:_x000D_
_x000D_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public._x000D_
_x000D_
In addition, the PI will continue to mentor graduate and undergraduate_x000D_
students in research, with special attention to recruiting_x000D_
under-represented students._x000D_
_x000D_
INTELLECTUAL MERIT_x000D_
_x000D_
Strengths:_x000D_
_x000D_
* The PI is very qualified._x000D_
_x000D_
* The preliminary work on characterizing visibility graphs which _x000D_
  exploits the fact that polygon edges must be straight seems like_x000D_
  a promising direction._x000D_
_x000D_
* The problem of extracting pedestrian maps from smart phone GPS data_x000D_
  is very interesting and should lead to many challenging subproblems._x000D_
_x000D_
Weaknesses:_x000D_
_x000D_
* The problem of characterizing visibility graphs is an old one, so the _x000D_
  bar is high for work on it.  Although PI is very qualified, the _x000D_
  proposed work is incremental.  Also, the applications of a solution_x000D_
  to this problem are unclear:  what would be implied once the solution_x000D_
  is known?_x000D_
_x000D_
Suggestions for improvement:_x000D_
_x000D_
The panel believed that a more competitive proposal would result if the_x000D_
part about constructing pedestrian maps were fleshed out more._x000D_
_x000D_
BROADER IMPACTS _x000D_
_x000D_
Strengths:_x000D_
_x000D_
The panel was very impressed with the educational plan and found this_x000D_
to be the strongest part of the proposal.  In particular, the idea of_x000D_
using visibility problems to engage students resonated with several_x000D_
panel members as a great idea.  The idea of using bilingual students_x000D_
to help carry the message about majoring in computer science is_x000D_
excellent._x000D_
_x000D_
CAREER SOLICITATION-SPECIFIC REMARKS:_x000D_
_x000D_
Letter of institutional commitment:  Included.   _x000D_
_x000D_
Integration of research and education:  The educational plan explained_x000D_
above is well-integrated with the research plan.  The PI proposes to lead a team of undergraduates to develop_x000D_
applications to teach basic geometric algorithms to high school_x000D_
students, and to contribute lesson plans for elementary school_x000D_
students as part of a master's certificate program for teachers.  The_x000D_
PI will also participate in community outreach at public events and_x000D_
museums in San Antonio, leveraging the abilities of bilingual UTSA_x000D_
undergraduates to communicate with the public.  In addition, the PI will continue to mentor graduate and undergraduate_x000D_
students in research, with special attention to recruiting_x000D_
under-represented students._x000D_
_x000D_
ADDITIONAL REMARKS_x000D_
_x000D_
Data Management Plan: _x000D_
_x000D_
The proposal includes a detailed plan to manage the data produced,_x000D_
which includes pedestrian map construction algorithms as well as the_x000D_
software developed and the GPS data collected as part of the educational_x000D_
activity._x000D_
_x000D_
Results of prior support:  Apparently the PI has no prior NSF support_x000D_
as there is no mention of any._x000D_
_x000D_
SUMMARY STATEMENT_x000D_
_x000D_
Although the proposal has identified some interesting questions in_x000D_
computational geometry, especially how to construct pedestrian maps_x000D_
from GPS data, the approaches to some of the problems are too_x000D_
incremental.  _x000D_
The educational plan, however, is very strong._x000D_
_x000D_
The recommendation of the panel is _x000D_
_x000D_
___ Highly Competitive_x000D_
___ Competitive_x000D_
_X_ Low Competitive_x000D_
___ Not Competitive_x000D_
_x000D_
Low Competitive._x000D_
_x000D_
The panelists concur that the Panel Summary accurately reflects the_x000D_
panel discussion._x000D_
</t>
  </si>
  <si>
    <t>Dr. Gibson,_x000D_
_x000D_
I'm sorry that, we are unable to make a CAREER award this year.  In order to give as much feedback as I can, let me include a sketch my notes for the Review Analysis (an internal NSF document) for your proposal. _x000D_
---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</si>
  <si>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20 2016  5:32PM   _x000D_
Req 60 mo; Start: 01/01/17_x000D_
_x000D_
CAREER: Fresh Takes on Classic Visibility Problems_x000D_
1652857  Gibson, Matthew: University of Texas at San Antonio: $672,214_x000D_
_x000D_
P170288    AF CAREER Panel: Low Competitive, _x000D_
     rank 18 of 29 rated projects: 3 HC, 14 C, 11 LC, 1 NC_x000D_
Reviews: E,V,V,F_x000D_
PRC: 7929       COMPUTATIONAL GEOMETRY_x000D_
PRC: 1045       CAREER: FACULTY EARLY CAR DEV_x000D_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Summary:_x000D_
The PI proposes research into classical computational geometry problems in visibility, with applications to road networks as well._x000D_
(1) characterize visibility graphs_x000D_
(2) build pedestrian maps based on visibility graphs built from GPS traces. _x000D_
(3) study art gallery problems under new models, such as _x000D_
distance-limited visibility or uncertain input. _x000D_
_x000D_
_x000D_
Intellectual Merit: The PI has had recent results on some of the classic visibility problems, but the reviewers thought that the work proposed was incremental.  They did not expect breakthroughs on these difficult and somewhat niche problems. _x000D_
_x000D_
Broader Impact:  The PI is at a minority-serving institution and has used this to propose wide-ranging and creative efforts in education and outreach.  All reviewers agreed that this was excellent. _x000D_
_x000D_
Integration of Research and Education:_x000D_
Well integrated, including not just students but teachers and the community. _x000D_
_x000D_
Reviews:  The E came from the panel reviewer with the least knowledge of the area, who was willing to defer to the other reviewers.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4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</si>
  <si>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proposes to work on three projects related to classical 2-D_x000D_
visibility graphs._x000D_
_x000D_
(1) Characterize visibility graphs: Find necessary and sufficient_x000D_
conditions for a graph to be a visibility graph of some simple_x000D_
polygon.  The PI has made recent progress in finding a new necessary_x000D_
condition for a graph to be a visibility graph, which separates_x000D_
pseudo-polygon visibility graphs from polygon visibility graphs; the_x000D_
condition exploits the non-stretchability of polygons.  The PI will_x000D_
approach the problem by trying to characterize, recognize, and_x000D_
reconstruct visibility graphs for various special cases._x000D_
_x000D_
This is a classic problem, but is not necessarily appealing to an_x000D_
algorithms-focused reader.  Does this problem lead anywhere?  How does_x000D_
knowing whether a given graph is the visibility graph of some polygon_x000D_
lead to more efficient processing for some task?  At the end of the_x000D_
proposal the PI speculates about advances in set cover algorithms, but_x000D_
the connection is tenuous._x000D_
_x000D_
(2) Construct pedestrian maps based on visiblity graphs built from GPS_x000D_
traces.  The GPS traces will come in part from publically available_x000D_
sources, but primarily from a smart-phone routing app that the PI's_x000D_
students will implement.  Compare the resulting maps with ground truth._x000D_
_x000D_
This part of the proposal is quite intriguing.  There are multiple_x000D_
subtle challenges associated with inferring trajectories from_x000D_
time-sequenced, noisy sample locations, inferring the locations and_x000D_
types of obstacles from these uncertain trajectories, and synthesizing_x000D_
an accurate spatial model for regions with vastly different sampling_x000D_
densities._x000D_
_x000D_
(3) Consider art gallery problems under new models, such as_x000D_
distance-limited visibility or uncertain input._x000D_
_x000D_
_x000D_
In the context of the five review elements, please _x000D_
evaluate the strengths and weaknesses of the proposal with respect to broader impacts._x000D_
_x000D_
The PI's institution is minority-serving, and he participates in_x000D_
outreach to elementary schools and high schools.  The subject matter_x000D_
of the PI's research helps with outreach, because visibility graph and_x000D_
pedestrian map problems are visually and intuitively appealing._x000D_
_x000D_
_x000D_
Please evaluate the strengths and _x000D_
weaknesses of the proposal with respect to any additional solicitation-specific review criteria, if _x000D_
applicable_x000D_
_x000D_
_x000D_
_x000D_
Summary Statement_x000D_
_x000D_
The problems and proposal are accessible and appealing._x000D_
_x000D_
_x000D_
</t>
  </si>
  <si>
    <t xml:space="preserve">In the context of the five review elements, please _x000D_
evaluate the strengths and weaknesses of the proposal with respect to intellectual merit._x000D_
_x000D_
This proposal is focused on three principal topics:_x000D_
_x000D_
- Characterizing and recognizing visibility graphs_x000D_
_x000D_
- Algorithms for constructing pedestrian maps from GPS data_x000D_
_x000D_
- Algorithms for art gallery problems in the presence of noise and limited visibility_x000D_
_x000D_
The proposal is well written and the PI seems to be well qualified to carry out the work. I found the proposal to be a bit on the weak side, however. The topic of characterizing visibility graphs has a venerable history within computational geometry, but it is of interest to a relatively small subset of the community, and is of negligible interest outside this community. The PI has had some notable success in this area, and while incremental progress is likely, I would be surprised if we were close to cracking this problem any time soon. The work on constructing pedestrian maps from GPS data is of broader interest, and could have good impacts outside of the field of computational geometry. While I am not an expert in this area, the research plan presented here struck me as quite reasonable. But, this struck me as more of a challenging software engineering problem. I did not see much in the way of innovative or transformative ideas. The proposed work on new models art gallery problems may yield results worthy of the SoCG symposium, and models of visibility that are robust to errors may be of wider interest._x000D_
_x000D_
In the context of the five review elements, please _x000D_
evaluate the strengths and weaknesses of the proposal with respect to broader impacts._x000D_
_x000D_
I found the educational and outreach aspects of the proposal to be its strongest points. I applaud the PI's enthusiasm for bringing computing and computational geometry to the under-represented groups at UTSA and area high schools. I agree with the PI that visibility problems in computational geometry can provide an easy on-ramp to research. Thus, while my enthusiasm for the research potential of this proposal is limited, I believe that the educational potential is quite good. I like the idea of using bilingual undergraduate students to broaden interest in computer science through community events in the area._x000D_
_x000D_
Please evaluate the strengths and _x000D_
weaknesses of the proposal with respect to any additional solicitation-specific review criteria, if _x000D_
applicable_x000D_
_x000D_
_x000D_
_x000D_
Summary Statement_x000D_
_x000D_
While the proposal is well organized and well written, I found it hard to get excited about the proposed research. I was much more excited about the education and outreach potential._x000D_
_x000D_
</t>
  </si>
  <si>
    <t>AM0566118</t>
  </si>
  <si>
    <t>O'Rourke</t>
  </si>
  <si>
    <t>orourke@cs.smith.edu</t>
  </si>
  <si>
    <t xml:space="preserve">In the context of the five review elements, please _x000D_
evaluate the strengths and weaknesses of the proposal with respect to intellectual merit._x000D_
_x000D_
The proposal is nicely tiered from theoretical explorations on the structure of visibility graphs, to map reconstruction from GPS data, to new art-gallery models. The new necessary condition that distinguishes between straight-line and pseudo-visibility is nice (and speaks to the PI's qualifications for this research). But the equivalence of stretchability to existential decision over the reals suggests to me that hoping for necessary &amp; sufficient conditions may be a chimera. Focusing on terrain v-graphs is wise. I would pay some attention to orthogonal polygons and terrains. The King &amp; Krohn NP-hardness proof does not extend to orthogonal terrains. Map reconstruction using persistent homology (Sec.3) seems a natural and fruitful direction to pursue. I think it is especially important to explore additional visibility models (Sec.4). I might suggest some attention be paid to k-transmitters, visibility that penetrates k walls. Many practical applications, but very few theoretical successes. See, e.g., "Coverage with k-transmitters in the presence of obstacles," J. Comb. Optimization, 2013._x000D_
_x000D_
In the context of the five review elements, please _x000D_
evaluate the strengths and weaknesses of the proposal with respect to broader impacts._x000D_
_x000D_
The combination of (a) UTSA's large Latino population, (b) the accessibility of various visibility questions, and (c) the plans to reach elementary, high school, undergraduate, and graduate students, make this an exemplary proposal in terms of Broader Impacts. I can corroborate this from my own experience: "Visibility graph algorithms are a particularly strong way to intrigue students" (p.13)._x000D_
_x000D_
Please evaluate the strengths and _x000D_
weaknesses of the proposal with respect to any additional solicitation-specific review criteria, if _x000D_
applicable_x000D_
_x000D_
_x000D_
_x000D_
Summary Statement_x000D_
_x000D_
The focus on three research directions, ranging from theoretical to practical, all connected to visibility, is a good mix for engaging students, from Ph.D. candidates to elementary school students. I rate the Broader Impacts aspect Excellent. The PI makes the case that his work on v-graphs has led to some insights into the more practical problem of terrain visibility (p.7), and might help on visibility set-cover approximations (p.15). Although I accept these connections, perhaps exploring new models might be a more fruitful focus, both theoretically and for practical applications. I rate Intellectual Merit Good, worthy of support. All together I rank this proposal as Very Good._x000D_
_x000D_
</t>
  </si>
  <si>
    <t xml:space="preserve">In the context of the five review elements, please _x000D_
evaluate the strengths and weaknesses of the proposal with respect to intellectual merit._x000D_
_x000D_
The PI proposes to solve several problems in computational geometry_x000D_
related to visibility graphs.  In particular:_x000D_
(1) finding a precise characterization for graphs that are visibility graphs_x000D_
of simple polygons, a problem that still remains open after many years_x000D_
of study;_x000D_
(2) designing algorithms for constructing pedestrian maps from GPS data, _x000D_
a problem that requires new approaches than those used for routing_x000D_
on road networks; and_x000D_
(3) designing algorithms for the art gallery problem (identify a minimum set_x000D_
of points that altogether can "see" an entire polygon) in more_x000D_
realistic models that incorporate noisy data and limited visibility_x000D_
of the watchers._x000D_
_x000D_
Visibility graphs are important for applications including robotics and_x000D_
mapping.  Good algorithms for these problems would lead to better applications_x000D_
in these important areas.  One mentioned in particular is self-driving_x000D_
wheelchairs._x000D_
_x000D_
The PI has outlined approaches for the three problems.  For the first one,_x000D_
he proposes to extend his recent work using the notions of pseudo-visibility_x000D_
and designated blockers and will start with a special case of "terrains"._x000D_
For the second one, he proposes an approach using sampling.  For the third,_x000D_
he proposes to extend his recent work on the complexity of the problem_x000D_
and see if there is a good approximation algorithm._x000D_
_x000D_
Measuring success is straightforward (if not explicitly mentioned):_x000D_
see if he is able to obtain the characterizations and algorithms that_x000D_
he discusses._x000D_
_x000D_
The PI is very qualified to undertake this research, as he has recent_x000D_
preliminary results that he can build on.  Institutional resources are_x000D_
adequate._x000D_
_x000D_
Strengths:  The proposal identifies important and challenging problems_x000D_
in computational geometry and proposes credible approaches to solving them._x000D_
_x000D_
Weaknesses:  I'm not aware of any._x000D_
_x000D_
Suggestions for Improvement:  I don't have any._x000D_
_x000D_
_x000D_
_x000D_
In the context of the five review elements, please _x000D_
evaluate the strengths and weaknesses of the proposal with respect to broader impacts._x000D_
_x000D_
The PI proposes to lead a team of undergraduates in two projects: _x000D_
(1) to develop interactive table applications to teach basic geometric_x000D_
algorithms to high school students, and (2) to contribute_x000D_
age-appropriate lesson plans for elementary school students as part of_x000D_
a master's certificate program for teachers.  The PI will also participate_x000D_
in community outreach at public events and museums in San Antonio._x000D_
_x000D_
These outreach programs will help with recruiting more students into_x000D_
undergraduate computer science programs.  Since San Antonio has a large_x000D_
Latino population, this should help draw more Latinos into computing._x000D_
_x000D_
I did not find any discussion of how to measure the success of these_x000D_
ventures._x000D_
_x000D_
In addition to contributing to basic knowledge in computational geometry,_x000D_
the application of this work to self-driving wheelchairs is probably the_x000D_
aspect with the most direct potential for benefiting society._x000D_
The project would support graduate students and expose undergraduates_x000D_
to research._x000D_
_x000D_
The proposed outreach activities are wide-ranging and creative, and_x000D_
are backed up by prior activities that the PI has undertaken.  The PI_x000D_
will be leveraging UTSA's masters certificate program to help with_x000D_
outreach.  Qualifications and resources are certainly adequate._x000D_
_x000D_
Strengths: _x000D_
The PI has identified a number of high-impact outreach activities that_x000D_
should especially be helpful in bringing more Latinos into computing._x000D_
_x000D_
Weaknesses:_x000D_
No mechanism for assessing the success of outreach activities was given._x000D_
_x000D_
Suggestions for Improvement:  Include a discussion as to how success_x000D_
of the outreach activities will be measured._x000D_
_x000D_
_x000D_
Please evaluate the strengths and _x000D_
weaknesses of the proposal with respect to any additional solicitation-specific review criteria, if _x000D_
applicable_x000D_
_x000D_
_x000D_
_x000D_
Summary Statement_x000D_
_x000D_
This is an excellent proposal on important topics in computational_x000D_
geometry with specific suggestions for how to proceed.  The broader_x000D_
impacts activities are especially strong and have the potential to_x000D_
positively impact the Latino community._x000D_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</si>
  <si>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constructing pedestrian maps from GPS data, and 3) algorithms for art gallery problems in the presence of noise and limited visibility.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and leverage these recent observations answering this and related open questions._x000D_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courtyards,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</si>
  <si>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 xml:space="preserve"> Panel Summary       
 SUMMARY OF PROPOSED RESEARCH ACTIVITY_x000D_
_x000D_
The proposal addresses several fundamental problems in machine learning. It is organized around three topics._x000D_
_x000D_
1. Algorithmic robust statistics: efficiently learning the parameters of a distribution from samples, when a small constant fraction of the samples have been corrupted. This can be regarded as agnostic learning for unsupervised problems._x000D_
_x000D_
2. Learning high-dimensional distributions for which no polynomial-time algorithm is known: examples include high-dimensional histograms, mixtures of product distributions._x000D_
_x000D_
3. Testing structured families of distributions._x000D_
_x000D_
INTELLECTUAL MERIT_x000D_
_x000D_
Strengths_x000D_
* One thing that makes the research on robust statistics exciting is that the existing approaches are either intractable, or the error dependence grows with the dimension. Two parallel results in the last FOCS (one by the PI and co-authors) give results that are close to the information theoretic lower bound, for estimating the mean and covariance. The proposal aims to make similar advances for other statistical models. The PI seems perfectly poised for this rich agenda._x000D_
* The PI has a strong background and publication history, including fundamental results on learning and testing._x000D_
* The research, if successful, will have an impact on the theory of learning and testing, as well as tools available to analyze large datasets._x000D_
_x000D_
_x000D_
Weaknesses_x000D_
* Some of the questions could benefit from more specifics and motivation. For example, which constraints on the shape of a distribution are reasonable to assume and why? _x000D_
* The proposal could potentially be improved by describing existing applications of robust statistics in practice, or (if there are essentially no such applications) by directly confronting the question of why robust statistics has not yet had an impact on practice. It's possible that this is because of their computational inefficiency, a limitation to be addressed by the proposed research. On the other hand, it's possible there are other reasons why robust statistics has not yet had an impact on statistical practice; for example, maybe the models of data corruption in robust statistics are too pessimistic, leading to excessively conservative estimators. In light of these questions, the proposal could be strengthened by presenting a more compelling case to substantiate the claim that "new estimators that are both tractable and tolerant to corrupted data ... may impact how we approach real datasets."_x000D_
_x000D_
BROADER IMPACTS_x000D_
_x000D_
Strengths_x000D_
* A very strong feature of the proposal was the PI's lasting involvement at a local high school with many underrepresented minority students. The panel appreciated the level of thought and detail devoted to describing these outreach plans._x000D_
_x000D_
Weaknesses_x000D_
* The panel discussion did not identify any weaknesses in the broader impacts portion of the proposal._x000D_
_x000D_
CAREER SOLICITATION-SPECIFIC REMARKS:_x000D_
_x000D_
Letter of institutional commitment. _x000D_
Included_x000D_
_x000D_
Integration of research and education: _x000D_
The PI has designed courses on the algorithmic foundations of machine learning and statistics at the undergraduate and graduate level. The undergraduate level course is to be offered in Spring 2017. The graduate level course was first offered in Spring 2016, and the proposal notes that one course project resulted in new research results that have been submitted for publication._x000D_
_x000D_
ADDITIONAL REMARKS_x000D_
_x000D_
Collaboration plan: Letters from the Viterbi Adopt-a-School, Adopt-a-Teacher program and the Huntington Park Institute of Applied Medicine express an intent to collaborate with the PI on the outreach plan detailed in the project description._x000D_
_x000D_
Data Management Plan: adequate_x000D_
_x000D_
Results of prior support: The PI has no prior NSF support._x000D_
_x000D_
SUMMARY STATEMENT_x000D_
_x000D_
The PI is an excellent researcher with a great track record working on a topic that's fundamental and with exciting recent developments._x000D_
_x000D_
_x000D_
The recommendation of the panel is_x000D_
_x000D_
___ Highly Competitive_x000D_
_X_ Competitive_x000D_
___ Low Competitive_x000D_
___ Not Competitive._x000D_
_x000D_
The panelists concur that the Panel Summary accurately reflects the panel discussion._x000D_
</t>
  </si>
  <si>
    <t>In recent years, the amount of available data in science and technology has exploded and is currently expanding at an unprecedented rate. The general task of making accurate inferences on large and complex datasets has become a major bottleneck across various disciplines. A natural formalization of such inference tasks involves  viewing the data as random samples drawn from a probabilistic model -- a model that we believe describes the process generating the data. The overarching goal of this project is to obtain a refined understanding of these inference tasks from both statistical and computational perspectives. The questions addressed in this project arise from pressing challenges faced in modern data analysis. A crucial component of the project involves fostering collaboration between different communities. Furthermore, the PI will mentor high-school and undergraduate students, and design several new theory courses integrating research and teaching at the undergraduate and graduate levels._x000D_
_x000D_
The PI will investigate several fundamental algorithmic questions in unsupervised learning and testing for which there is an alarming gap in our current understanding. These include designing efficient algorithms that are stable in the presence of deviations from the assumed model, circumventing the curse of dimensionality in distribution learning, and testing high-dimensional probabilistic models. This set of directions could lead to new algorithmic and probabilistic techniques, and offer insights into the interplay between structure and efficiency in unsupervised estimation. This research ties into a broader range of work across computer science, probability, statistics, and information theory.</t>
  </si>
  <si>
    <t>NATIONAL SCIENCE FOUNDATION _x000D_
Directorate for Computer and Information Science and Engineering (CISE) _x000D_
Division of Computing and Communication Foundations (CCF) _x000D_
CCF CAREER Program - Fiscal Year 2017_x000D_
_x000D_
Review Analysis _x000D_
_x000D_
Title:  CAREER: Efficient Algorithms for Learning and Testing Structured Probabilistic Models_x000D_
Proposal Number: 1652862 _x000D_
PI: Diakonikolas, Ilias _x000D_
Institution: University of Southern California_x000D_
Requested Amount: $601,594_x000D_
Recommended Amount: $540,000_x000D_
_x000D_
Ranking in Panel and Panel Procedures: _x000D_
_x000D_
Panel Number: P170288 _x000D_
Reviewer Ratings: E, E/V, V, V/G_x000D_
Panel Recommendation: Competitive _x000D_
_x000D_
This project was ranked 4th place in a panel of 29 projects. _x000D_
_x000D_
This project was the the first of fourteen projects placed in the category Competitive by an Algorithmic Foundations review panel, which met on October 17-18, 2016.  The panel considered a total of 29 projects (29 proposals including non-leads).  3 projects were rated Highly Competitive, 14 were rated Competitive, 11 were rated Low Competitive and 1 was rated Not Competitive.  Each project was reviewed by at least 3 experts.  All panelists and NSF staff, if any, who had a conflict of interest with this project left the room before the discussion of it began and did not participate in any way in the review and decision process.  _x000D_
_x000D_
Before the panel meeting, ad hoc reviews were obtained from reviewers chosen with expertise in the specific topic of each proposal.  Each project in the panel was reviewed based on the intellectual merit of the proposed activity, its relevance to the objectives and the broader impacts of the proposed activity.  The panel also considered additional aspects such as the strength of research and coordination plans, the integration of research and education, and the advancement of diversity in the field.  The panel recommendation Competitive was based on substantive comments from both individual reviews and the collective assessment of the proposal by the panel. _x000D_
_x000D_
Scope of Project and Intellectual Merit: _x000D_
_x000D_
The proposal addresses algorithmic problems in unsupervised machine learning.  These are fundamental topics at the intersection of statistics and algorithms, which one reviewer considered the core of data science.  The topics to be investigated include robust algorithms for learning high-dimensional distributions in the face of (adversarial) noise in the data, overcoming the curse of dimensionality in high-dimensional distribution learning, and testing structured classes of distributions.  A reviewer remarked that this topics are both timeless (addressing fundamental problems in statistics, i.e. robust statistics) and timely (applying very recently developed algorithmic notions).  The proposal is well written and makes the case for the importance and depth of these problems and the potential for making new advances using the methods proposed by the PI.  _x000D_
_x000D_
Broader Impacts: _x000D_
_x000D_
The development of computationally efficient algorithms for robust high-dimensional statistics could potentially have a transformative effect on the statistical methods used for analyzing high-dimensional data in practice.  The PI will engage researchers from three communities: theoretical computer science, statistics and computational geometry.  The PI details a comprehensive plan for long-term outreach to a local high school with a 99% Hispanic student body.  The PI also is already designing and offering new courses that incorporate his already-strong research track record._x000D_
_x000D_
PI Qualifications and Budget: _x000D_
_x000D_
This is a very strong proposal from an excellent researcher, with a track record of fundamental results in learning and testing of distributions.  The original budget had a slightly higher than average total for the CAREER program, and was modestly reduced.  The revised budget is reasonable for the work proposed, including funds for the broader impact activities.  _x000D_
_x000D_
Recommendations and Conditions: _x000D_
_x000D_
The panel assigned this proposal to the Competitive category. This project was rated among the best four in the 29 projects considered by the panel. I fully agree with the assessment and recommendation of the reviewers---this is an excellent proposal and is well worthy of support. I am pleased to recommend this proposal for an award as detailed below. _x000D_
_x000D_
Proposal Number: 1652862 _x000D_
Recommended Award: $540,000 as a Continuing Grant, distributed as below _x000D_
Duration: 60 months _x000D_
Start Date: 01/01/2017_x000D_
Program Element Code: 7796 Algorithmic Foundations _x000D_
Program Reference Codes: 7926 Algorithms, 1045 CAREER_x000D_
_x000D_
FY 2017        $206,750_x000D_
FY 2019        $108,540_x000D_
FY 2020        $110,517_x000D_
FY 2021        $114,193_x000D_
_x000D_
_x000D_
Dr. Tracy Kimbrel _x000D_
Program Director _x000D_
NSF CISE/CCF _x000D_
_x000D_
December 15, 2016</t>
  </si>
  <si>
    <t xml:space="preserve">In the context of the five review elements, please _x000D_
evaluate the strengths and weaknesses of the proposal with respect to intellectual merit._x000D_
_x000D_
The proposal addresses algorithmic problems in unsupervised machine learning. The topics to be investigated include robust algorithms for learning high-dimensional distributions, overcoming the curse of dimensionality in high-dimensional distribution learning, and testing structured classes of distributions. A distinctive and attractive feature of the research is that it seems both timeless (addressing fundamental problems in stastics, e.g. robust statistics) and timely (applying very recently developed algorithmic notions). The project description is beautifully written and gives the reader an appreciation for the importance and depth of these problems, the current state of knowledge in the field, and the potential for making new advances using the methods proposed by the PI._x000D_
_x000D_
Potential to advance knowledge:_x000D_
_x000D_
1. Robustly estimating a d-dimensional Gaussian distribution is one of the most central problems in robust statistics. Statistically efficient but computationally inefficient algorithms have been known since Tukey in the 1970's. The PI has recently made a significant advance on this problem, developing a computationally efficient algorithm that is approximately statistically efficient; the error exceeds the information-theoretic optimum by a factor of \sqrt{\log(1/\epsilon)}, where \epsilon is the fraction of points corrupted by an adversary. (A similar result with an incomparable approximation guarantee was obtained independently by Lai et al.) The proposed research aims to improve the approximation guarantee, the sample complexity, and the running time of this algorithm, as well as the question of whether it is possible to obtain improved bounds when the target distribution satisfies some type of sparsity, or when the noise model is not fully adversarial._x000D_
_x000D_
2. The research will investigate robust versions of other important high-dimensional statistical estimation problems: mixture models, Bayesian networks, and Ising models. _x000D_
_x000D_
3. The proposal presents several high-dimensional distribution learning problems for which no polynomial-time algorithm is known, even without the robustness requirement. These include multivariate histograms (an important class of models in the database research literature), mixtures of product distributions, and poisson multinomial distributions._x000D_
_x000D_
4. The proposal presents several high-dimensional distribution learning problems for which polynoial-time improper learning algorithms are known, but no poly-time proper learning algorithm is known. A highlight of this section of the proposal was the discussion of Poisson binomial distributions, whose study leads to a very appealing algorithmic question about optimizing over the space of real-rooted polynomials._x000D_
_x000D_
5. A final topic of investigation addressed by the proposal concerns testing structured families of distributions. This includes both non-parametric families (e.g., monotone with respect to a partial order on the sample points) and parametric families (e.g., Bayesian networks with specified graph structure but unspecified parameters). The motivation for these questions was less apparent to me, but I gather that the sample complexity of testing distribution properties is often much less than the sample complexity of learning the distribution, so apparently these questions are motivated by the desire to compute useful and meaningful properties of a dataset even when the quantity of data is insufficient for (approximately) learning the distribution from which it was sampled. _x000D_
_x000D_
Taken together, these research questions hold the potential to significantly advance knowledge on one of the most important contemporary themes in high-dimensional statistics, namely understanding the difference between which statistical problems are information-theoretically solvable versus those which are solvable by efficient algorithms. _x000D_
_x000D_
Creativity/originality/transformativeness:_x000D_
_x000D_
Solving the problems presented in the proposal will require significant creativity and originality. It is hard for me to say which parts of the proposed research, if any, hold the potential to transform the field. Personally I feel that the development of computationally efficient algorithms for robust high-dimensional statistics could potentially have a transformative effect on the statistical methods used for analyzing high-dimensional data in practice._x000D_
_x000D_
Plan for carrying out the activities:_x000D_
_x000D_
I feel that the proposal devotes an adequate level of detail to sketching the plans for attacking these research problems. _x000D_
_x000D_
Qualifications of the PI:_x000D_
_x000D_
The PI is excellently qualified for this type of research. He has published numerous papers on algorithmic high-dimensional statistics in the top venues for this type of research (STOC, FOCS, SODA, COLT) including some of the most significant contributions to date on several of the problems that the proposal centers on._x000D_
_x000D_
Resources available to the PI:_x000D_
_x000D_
I have no concerns about the adequacy of the resources available to the PI for carrying out this research._x000D_
_x000D_
_x000D_
In the context of the five review elements, please _x000D_
evaluate the strengths and weaknesses of the proposal with respect to broader impacts._x000D_
_x000D_
* Computationally efficient algorithms for robust high-dimensional statistics could potentially have a transformative effect on the statistical methods used for analyzing high-dimensional data in practice._x000D_
_x000D_
* The proposal cites applications to databases, NLP, analyzing neural spike trains, and astronomical data._x000D_
_x000D_
* The PI will organize a seminar series to bring together the TCS and ML/stat groups at USC._x000D_
_x000D_
* The PI will expand a recently written book chapter on distribution learning algorithms into a survey paper._x000D_
_x000D_
* The PI will participate in an outreach educational program in collaboration with HPIAM,  a local high school with a 99% Hispanic student body, many of whom are from low-income families, which is launching a new computer science program. The project description contains a fairly dtailed plan for the outreach program._x000D_
_x000D_
_x000D_
_x000D_
Please evaluate the strengths and _x000D_
weaknesses of the proposal with respect to any additional solicitation-specific review criteria, if _x000D_
applicable_x000D_
_x000D_
_x000D_
_x000D_
Summary Statement_x000D_
_x000D_
An excellent proposal in every aspect._x000D_
_x000D_
_x000D_
</t>
  </si>
  <si>
    <t>HH0954469</t>
  </si>
  <si>
    <t>Raskhodnikova</t>
  </si>
  <si>
    <t>sofya.raskhodnikova@gmail.com</t>
  </si>
  <si>
    <t xml:space="preserve">In the context of the five review elements, please _x000D_
evaluate the strengths and weaknesses of the proposal with respect to intellectual merit._x000D_
_x000D_
The proposed research will develop new sample-efficient fast algorithms and investigate the inherent limitations in learning and testing of distributions._x000D_
_x000D_
Strengths of the proposal: _x000D_
--A thorough investigation of the proposed directions._x000D_
--Many specific open questions._x000D_
--Some proposals on how to attack them._x000D_
--The PI has a strong background in learning and testing, with a history of publications at top venues, and many fundamental results in the area of testing and learning distributions._x000D_
-- Even if some large fraction of proposed research activities are successful, it will have an impact on the theory of learning and testing, as well as tools available to analyze large datasets._x000D_
_x000D_
Weakness:_x000D_
-- Some of the questions could benefit from more specifics and motivation. For example, which constraints on the shape of a distribution is it reasonable to assume and why?_x000D_
_x000D_
_x000D_
In the context of the five review elements, please _x000D_
evaluate the strengths and weaknesses of the proposal with respect to broader impacts._x000D_
_x000D_
Strengths:_x000D_
-- Potential impact on analyzing large datasets, with focus on high-dimensional data._x000D_
--A program to engage researchers from three communities: theoretical computer science, statistics and computational geometry._x000D_
--Proposed course development._x000D_
--An excellent outreach plan, with a lasting involvement with local high school._x000D_
_x000D_
Please evaluate the strengths and _x000D_
weaknesses of the proposal with respect to any additional solicitation-specific review criteria, if _x000D_
applicable_x000D_
_x000D_
Not applicable._x000D_
_x000D_
Summary Statement_x000D_
_x000D_
This is a very strong proposal from an excellent researcher, with a track record of fundamental results in learning and testing of distributions. The proposed research has potential to influence TCS and statistics communities, as well as foster interactions with computational geometers. If successful, it will have an impact on how large datasets are analyzed. It has a strong educational and outreach components._x000D_
_x000D_
</t>
  </si>
  <si>
    <t xml:space="preserve">In the context of the five review elements, please _x000D_
evaluate the strengths and weaknesses of the proposal with respect to intellectual merit._x000D_
_x000D_
This proposal is focused on new methods for robust estimation and learning. Specific focus problems are:_x000D_
- robust to arbitrary / distributional outliers in simple parametric models (e.g. Gaussians) in high dimensions_x000D_
- same objective for mixtures of simple models_x000D_
- extending these ideas to simple algorithms (e.g. Chow Liu) for learning graphical models_x000D_
- robustness in improper learning_x000D_
- testing of distributions_x000D_
_x000D_
Strengths:_x000D_
_x000D_
- Robust estimation remains an important issue, especially in modern settings of large volume and high dimensionality; in that sense the proposal addresses an important problem._x000D_
- Recent work by the PI has offered several insights into proper and improper learning and computational aspects therein, both in and outside of the robustness setting._x000D_
_x000D_
Weaknesses:_x000D_
_x000D_
- Most of the problems/thrusts listed in the proposal are not new; while they are not 'solved' in the literature, the proposal could be strengthened by either better elucidating specific new analysis/algorithmic techniques that allow for significant progress on existing problems, or new yet relevant robustness formulations that can be solved by adapting existing ideas._x000D_
_x000D_
_x000D_
In the context of the five review elements, please _x000D_
evaluate the strengths and weaknesses of the proposal with respect to broader impacts._x000D_
_x000D_
- The proposal could be strengthened by listing applications / domains that are in critical need of advances in robust estimation. The case for why these (in many cases quite old) problems are of importance is not fully made; the reviewer does believe they are important and can be made, but this is not done in the proposal._x000D_
_x000D_
- Robust statistics are studied in several communities, and non-trivial advances here have good potential to impact research outside of computer science and algorithms._x000D_
_x000D_
Please evaluate the strengths and _x000D_
weaknesses of the proposal with respect to any additional solicitation-specific review criteria, if _x000D_
applicable_x000D_
_x000D_
_x000D_
_x000D_
Summary Statement_x000D_
_x000D_
A proposal that elucidates several problems (some classical) in robust statistics, by a PI who has some interesting work in this domain. Aims to solve core problems, but proposal needs better elucidation of what exactly are the new insights / tools that would allow for progress. Incorporating new / modern settings for these robustness issues could also be interesting._x000D_
_x000D_
</t>
  </si>
  <si>
    <t xml:space="preserve">In the context of the five review elements, please _x000D_
evaluate the strengths and weaknesses of the proposal with respect to intellectual merit._x000D_
_x000D_
The proposal addresses fundamental topics at the intersection of statistics and algorithms, I.e., data science. In particular, the first (and best developed) part of the proposal seeks to find robust algorithms for estimating parameters of data assuming that while data is generated from a structured distributional model, a bounded fraction of data is changed adversarially. Such agnostic unsupervised learning makes the vast progress on unsupervised learning much closer to reality. In addition, it has the potential of addressing a fundamental gap in our knowledge from classical statistics: is it possible to have robust statistics that are also efficiently computable? Classical proposals such as Tukey's median and the geometric median are either intractable or incur large errors in their estimates, errors that grow polynomially with the dimension. _x000D_
_x000D_
The PI plans to continue on a promising path initiated in two recent papers (one co-authored by the PI and one by Lai-Rao-Vempala), with different features --- one achieves better error guarantees for perhaps the most natural special case of Gaussians, while the other handles more general distributions and appears to be efficient in practice as well. With this as a launching pad, the PI proposes to explore a sequence of natural problems in robust high-dimensional learning. _x000D_
_x000D_
The second and third parts of the proposal are about problems in (noise-free) supervised learning and testing. These are very interesting questions as well._x000D_
_x000D_
In the context of the five review elements, please _x000D_
evaluate the strengths and weaknesses of the proposal with respect to broader impacts._x000D_
_x000D_
The proposal contains problems and approaches that are relevant to modern machine learning and data science. The PI has a strong track record on these topics. A minor complaint is that the 3 parts of the proposal are a bit disjoint, although they all fall under the umbrella of learning and testing._x000D_
_x000D_
Please evaluate the strengths and _x000D_
weaknesses of the proposal with respect to any additional solicitation-specific review criteria, if _x000D_
applicable_x000D_
_x000D_
_x000D_
_x000D_
Summary Statement_x000D_
_x000D_
A strong proposal, with exciting new problems, and promising approaches to old problems._x000D_
_x000D_
</t>
  </si>
  <si>
    <t>PI confirmation of no impact on historic places</t>
  </si>
  <si>
    <t xml:space="preserve">From: Ilias Diakonikolas &lt;ilias.diakonikolas@gmail.com&gt;_x000D_
Date: Thursday, January 19, 2017 at 10:45 AM_x000D_
To: "Kimbrel, Tracy J" &lt;tkimbrel@nsf.gov&gt;_x000D_
Subject: Re: CAREER recommendation 1652862_x000D_
_x000D_
Dear Tracy, I can confirm that._x000D_
_x000D_
Best,_x000D_
Ilias_x000D_
_x000D_
Sent from my iPhone_x000D_
_x000D_
On Jan 19, 2017, at 10:17 AM, Kimbrel, Tracy J &lt;tkimbrel@nsf.gov&gt; wrote:_x000D_
Hi, Ilias._x000D_
 _x000D_
Your CAREER recommendation has been returned because the box on the cover sheet for Historic Places is checked.  Can you confirm that your research does not have the potential to impact a historic place?  (I realize it seems obvious that theoretical computer science should not, but since the box was checked, we have to obtain verification from you.) _x000D_
 _x000D_
Thanks,_x000D_
Tracy_x000D_
</t>
  </si>
  <si>
    <t>29</t>
  </si>
  <si>
    <t xml:space="preserve"> Panel Summary       
 SUMMARY OF PROPOSED RESEARCH ACTIVITY _x000D_
_x000D_
The PI proposes to investigate algorithms and data structures that work on parallel computers but still preserve locality of reference.  On modern cache-based architectures, an implementation with good locality of reference may run many times faster than an implementation that executes the same number of instructions but with complete random access.  The PRAM model was once standard for parallel algorithm development, but because it does not take cache access into account, it has fallen into disfavor with practitioners. _x000D_
_x000D_
The PI plans to work on both algorithms and lower bounds using the Parallel External Memory model.  In particular, he will investigate algorithms for parallel adaptive mergesort, computational geometry problems such as 2-D line segment intersection, parallel Huffman tree building, data structure rebuilding and persistence, the parallel buffer tree, and parallel segment trees.  The Parallel External Memory model is the simplest model that combines parallelism and locality, so lower bounds in this model will imply lower bounds in more complex models._x000D_
_x000D_
The PI plans to acquire a 40-CPU parallel server with funding from this grant, and use the server to validate and test the algorithms developed under the proposal.  In particular, the PI will investigate the possible impact of memory allocation and deallocation on algorithm scalability._x000D_
_x000D_
_x000D_
INTELLECTUAL MERIT_x000D_
_x000D_
+ The topic of the proposed research is interesting, and the PI's preparation is appropriate._x000D_
_x000D_
+ Previous work on the AitF grant shows good progress._x000D_
_x000D_
- The proposal would be better if it spelled out a plan of attack in greater detail.  The project description is only ten pages long, and the additional five pages allowed could have been used to present more preliminary work and detailed plans of attack._x000D_
_x000D_
- The proposal does not present enough background information on past work.  For example, there is previous work on the limitations of the PRAM model that could have been cited.  The PEM model needs to be better defined._x000D_
_x000D_
- The treatment of the PRAM model is inconsistent.  On one hand, the PRAM is criticized for the fact that it does not model memory hierarchy, but the proposal also gives plans to develop PRAM algorithms as a first step toward PEM algorithms._x000D_
_x000D_
- There was broad agreement on the panel that the proposal was not ambitious enough for a CAREER proposal.  The goals are not as challenging or potentially transformative as would be desirable._x000D_
_x000D_
_x000D_
BROADER IMPACTS _x000D_
_x000D_
+ The PI plans to invest effort in teaching a parallel algorithms class using a "flipped classroom."  This will improve student engagement and learning._x000D_
_x000D_
+ The PI will integrate parallel algorithms into the undergraduate curriculum._x000D_
_x000D_
+ The University of Hawaii is a minority-serving institution, and the PI is involved in outreach to Native Hawaiian high schools._x000D_
_x000D_
_x000D_
CAREER SOLICITATION-SPECIFIC REMARKS: _x000D_
_x000D_
Letter of institutional commitment. _x000D_
_x000D_
Present._x000D_
_x000D_
_x000D_
Integration of research and education: _x000D_
_x000D_
The PI has well-developed plans to integrate parallel algorithms into the undergraduate curriculum, which ties in well with his research area._x000D_
_x000D_
_x000D_
ADDITIONAL REMARKS _x000D_
Research plan:_x000D_
_x000D_
As noted above, the panel felt that the research plan was insufficiently ambitious for a CAREER proposal._x000D_
_x000D_
_x000D_
Data Management Plan:  _x000D_
_x000D_
Adequate_x000D_
_x000D_
_x000D_
Results of prior support: _x000D_
_x000D_
Good._x000D_
_x000D_
_x000D_
Suggestion:_x000D_
_x000D_
Attendance at an NSF CAREER workshop could help the PI write a better proposal.  See &lt;http://carch.seas.gwu.edu/cise-career/NSF_2016.html&gt;._x000D_
_x000D_
_x000D_
_x000D_
SUMMARY STATEMENT _x000D_
_x000D_
The proposed research is insufficiently ambitious and transformative for a CAREER grant.  In particular, the fact that the writer used only ten pages out of the allotted fifteen suggests that the proposal was written in haste or has insufficient research material._x000D_
_x000D_
The recommendation of the panel is _x000D_
___ Highly Competitive _x000D_
___ Competitive _x000D_
___ Low Competitive _x000D_
_X_ Not Competitive. _x000D_
The panelists concur that the Panel Summary accurately reflects the panel discussion._x000D_
 _x000D_
</t>
  </si>
  <si>
    <t>UB0707640</t>
  </si>
  <si>
    <t>Farach-Colton</t>
  </si>
  <si>
    <t>martin@farach-colton.com</t>
  </si>
  <si>
    <t xml:space="preserve">In the context of the five review elements, please _x000D_
evaluate the strengths and weaknesses of the proposal with respect to intellectual merit._x000D_
_x000D_
In this proposal, the PI aims to solve algorithmic problems in the PEM (parallel external memory) model.  This model (which is never defined in the proposal) is a simple model that combines the cost of memory access with parallelism.  This is contrasted with the PRAM, which ignores data locality._x000D_
_x000D_
The proposed work has an odd relationship with PRAMs.  For example, early on in the proposal, they are dismissed as an irrelevant model that does not capture real performance on parallel machines.  Fair enough.  But later on, they are touted as a great bridge-model for producing effective parallel code, and in fact, one on the proposed research problems involves making PRAMs more realistic as a computational model._x000D_
_x000D_
The whole treatment is cursory: PRAM algorithms inspired many EM algorithms historically, so as a target of theoretical research, the PRAM remains critical, though underappreaciated nowadays.  There are some good ideas in this proposal, but they are all given cursory treatment.  It therefore came as a shock to see that the proposal ended on page 10.  What happened to the other 5 pages?  There was plenty of room left to fill in the big gaps in the story._x000D_
_x000D_
More specifically:_x000D_
_x000D_
The few problems covered by this proposal are of high quality, and the area of cache-effective parallel computing is an increasingly important topic.  I expect the PI to do good research in this important area._x000D_
_x000D_
The proposed research is a solid contribution to the area of cache-aware parallel algorithms.  Nothing especially original was proved, so it's hard to judge how transformative the result could be._x000D_
_x000D_
There really isn't much of a plan, even by the standards of theory proposals.  Which is to say, I don't find it useful from grants to spell out lines of attack on theoretical problems (the only way to say something sensible about what will work is by making it actually work, at which point it is no longer proposed work). But it is important to see a set of interlocking problems that make sense, with some being the "plan A" theorems and others the "plan B".  This is not the only possible useful organization, but this proposal didn't really have much of a plan at all.  "I will run experiments" is not a plan._x000D_
_x000D_
_x000D_
_x000D_
In the context of the five review elements, please _x000D_
evaluate the strengths and weaknesses of the proposal with respect to broader impacts._x000D_
_x000D_
Research on these proposed topics has good potential to have an important impact on computing.  That is, this kind of research might well represent important technology transfer from algorithmic theory to practice.  The work proposed here is so sketchy that it is hard to say how effective the work proposed will be in bridging the gap._x000D_
_x000D_
The PI is a solid researcher who will likely do good work._x000D_
_x000D_
Most of the work is theoretical.  The PI is at a school with a higher teaching load, and there is request for teaching buyout.  However, this buyout is proposed not to get more research done, but to design a new flipped class for parallel computation.  It is not clear how much support the PI for doing actual research at his institution._x000D_
_x000D_
I appreciate the care given to the educational plan, and the educational plan looks great, but the PI needs to figure out how to present what is, by now, a fairly standard idea, which is to flip the class, in about 2 sentences, rather than taking up a whole page._x000D_
_x000D_
_x000D_
Please evaluate the strengths and _x000D_
weaknesses of the proposal with respect to any additional solicitation-specific review criteria, if _x000D_
applicable_x000D_
_x000D_
_x000D_
_x000D_
Summary Statement_x000D_
_x000D_
The PI needs to get some advice on proposal writing.  This proposal was cursory.  The PI needs to take greater care in reading solicitations to see how many pages they have to write a proposal.  They need to understand that the proposal needs to be self-contained, with definitions, problem statements, and theorems already proven._x000D_
_x000D_
This is a theory panel.  Theory can certainly affect practice, and that might be a strength that this researcher can draw on, but even that part of the plan was cursory._x000D_
_x000D_
</t>
  </si>
  <si>
    <t xml:space="preserve">In the context of the five review elements, please _x000D_
evaluate the strengths and weaknesses of the proposal with respect to intellectual merit._x000D_
_x000D_
The PI proposes to investigate algorithmns and data structures that_x000D_
work on parallel computers but still preserve locality of reference._x000D_
On modern cache-based architectures, an implementation with good_x000D_
locality of reference may run many times faster than an implementation_x000D_
that executes the same number of instructions but with complete random_x000D_
access.  The PI plans to use the Parallel External Memory model and_x000D_
investigate algorithms for parallel adaptive mergesort, computational_x000D_
geometry problems such as 2-D line segment intersection, data_x000D_
structure rebuilding and persistence, the parallel buffer tree, and_x000D_
parallel segment trees.  He also will pursue lower bounds in the PEM_x000D_
model.  He wants to evaluate his algorithms experimentally on a_x000D_
40-core server, to be purchased by this grant._x000D_
_x000D_
The proposal seems a little small for a CAREER grant.  The goals do_x000D_
not seem as challenging or transformative as I would hope to see._x000D_
Instead, the proposed research seems to be incremental work within a_x000D_
known model.  The proposal very briefly mentions a goal of finding_x000D_
general techniques for combining locality and parallelism, but these_x000D_
themes need to be better developed._x000D_
_x000D_
I encourage the PI to "dream bigger" in his future proposal-writing._x000D_
_x000D_
_x000D_
In the context of the five review elements, please _x000D_
evaluate the strengths and weaknesses of the proposal with respect to broader impacts._x000D_
_x000D_
The PI wants to invest effort in teaching a parallel algorithmns class_x000D_
using a "flipped classroom."  This should help improve student_x000D_
learning and engagement.  The PI reaches out to local high schools and_x000D_
middle schools; his institution serves underrepresented minorities._x000D_
These are worthy reasons for support, but not exceptional._x000D_
_x000D_
_x000D_
Please evaluate the strengths and _x000D_
weaknesses of the proposal with respect to any additional solicitation-specific review criteria, if _x000D_
applicable_x000D_
_x000D_
_x000D_
_x000D_
Summary Statement_x000D_
_x000D_
I encourage the PI to "dream bigger" in his future proposal-writing._x000D_
_x000D_
_x000D_
</t>
  </si>
  <si>
    <t xml:space="preserve">In the context of the five review elements, please _x000D_
evaluate the strengths and weaknesses of the proposal with respect to intellectual merit._x000D_
_x000D_
Parallel cache-efficient algorithms and data-structures are the primary targets of this project.  Computation geometry is one specific domain that the PI plans to focus on.  In particular, Parallel External Memory model (PEM) will be a focus on this line of research.  The PI has developed a parallel distribution sweeping technique that resulted in improvement for batched range query problems.  The PI plans to explore this technique for other problems._x000D_
_x000D_
The project considers adaptive algorithms whose running time depends on the quality of the input.  Best sequential algorithm for entropy-based adaptive algorithms requires building Huffman tree.  The PI plans to pursue parallel algorithms for Huffman tree (both traditional and adaptive contexts).    In data structure, the PI plans to consider "batch of queries"  offline-model.  The PI has extended sequential buffer tree data structure to the PEM model.  The PI plans to explore how this can simplify algorithms for modern multicores to provide best possible speedups.   The PI plans to pursue lower bounds in PEM model.  _x000D_
_x000D_
While the proposed problems are interesting and challenging, this panelist would like to see some more challenging problems in a CAREER proposal._x000D_
_x000D_
_x000D_
In the context of the five review elements, please _x000D_
evaluate the strengths and weaknesses of the proposal with respect to broader impacts._x000D_
_x000D_
The broader impacts of this project are strong.  Course developments, flipped classroom, and the integration of parallel algorithms in undergrad classes are much appreciated.  outreach activities of the PI are commendable.  Participating in career days in local high and middle school is very rewarding.  Educational impact of the proposal is very high._x000D_
_x000D_
Please evaluate the strengths and _x000D_
weaknesses of the proposal with respect to any additional solicitation-specific review criteria, if _x000D_
applicable_x000D_
_x000D_
The PI has a AiTF grant.  It appears that the PI has reported good success ( some results on sorting, permuting and bathed predecessor search on GPU)._x000D_
_x000D_
Summary Statement_x000D_
_x000D_
The proposal is not ambitious for a CAREER proposal. The proposal will considerable strengthen if such vision is well articulated.  The PI has a good track record of publication.  The efforts of the PI w.r.t BI is appreciated._x000D_
_x000D_
</t>
  </si>
  <si>
    <t xml:space="preserve">In the context of the five review elements, please _x000D_
evaluate the strengths and weaknesses of the proposal with respect to intellectual merit._x000D_
_x000D_
The PI proposes to develop algorithms and data structures for parallel_x000D_
machines that, unlike algorithms developed for the classic PRAM model, _x000D_
take into account locality of reference.  Most of the work is theoretical_x000D_
(developing algorithms and proving lower bounds), but the PI also _x000D_
proposes to perform some experiments on a parallel machine (to be _x000D_
purchased with the grant) focusing on determining if the virtual memory_x000D_
management is harming scalability of his algorithms._x000D_
_x000D_
The PI points out that locality-conscious algorithms can translate into_x000D_
cache-efficient implementations, which will be faster and more scalable_x000D_
than implementations based on classic PRAM algorithms._x000D_
_x000D_
The specific problems to be studied include:_x000D_
* adaptive mergesort (idea is to try to parallelize the best existing_x000D_
sequential construction)_x000D_
* distribution sweeping in computational geometry (idea is to adapt_x000D_
an existing cascading merge algorithm, which is needed as a building block)_x000D_
* batched rebalancing of online data structures _x000D_
* applying buffer tree data structure to make PRAM algorithms more_x000D_
practical_x000D_
* persistent search trees (idea is to explore different tree node layouts)_x000D_
* segment tree (idea is to extend parallel buffer tree data structure)_x000D_
_x000D_
The PI will also look at improving his existing lower bound on _x000D_
communication for ranking a linked list to his new model.  One idea_x000D_
is to apply recent results in circuit complexity._x000D_
_x000D_
Although no explicit formula for measuring success is given, as with_x000D_
most theoretical work, success will be whether the desired algorithms_x000D_
with the desired performance can be developed._x000D_
_x000D_
If new parallel algorithms that properly deal with the realities of_x000D_
locality of reference in parallel machines can be developed, this would_x000D_
be potentially transformative.  However, the lack of detail made it_x000D_
difficult to assess the level of creativity or originality in the proposal._x000D_
The organization of the plan is fine, as it mostly consists of several_x000D_
loosely-related, but stand-alone, problems._x000D_
_x000D_
The PI's background qualifies him to do the work, as he has several_x000D_
published papers on locality-conscious parallel algorithms.  Insitutional_x000D_
resources are adequate._x000D_
_x000D_
Strengths:_x000D_
_x000D_
It is important to develop fast and scalable parallel algorithms._x000D_
_x000D_
Weaknesses:_x000D_
_x000D_
Not enough detail is given regarding how the proposed work fits with_x000D_
prior work or how the problems would be tackled._x000D_
_x000D_
Suggestions for Improvement:_x000D_
_x000D_
The proposal needs to be fleshed out more; there is plenty of room_x000D_
left (over 5 pages).  _x000D_
_x000D_
(1) Give more details on the problems being studied and the approaches_x000D_
that are proposed for solving them._x000D_
_x000D_
(2) Compare proposed model more extensively to previous extensions of_x000D_
the PRAM model, so that it is easier for the reviewer to tell what is_x000D_
novel.  The only ones mentioned are [19,20,24,26] (Blelloch, Gibbons,_x000D_
Ramachandran et al.)  and the differences are not explained in any_x000D_
depth.  Also, the improvements over older work on improving the PRAM_x000D_
model should be explained._x000D_
_x000D_
Some suggestions are:_x000D_
* asynchronous PRAM (Cole)_x000D_
* hierarchical PRAM (Heywood and Leopold)_x000D_
* BSP (Valiant)_x000D_
* BSR (Lindon and Akl)_x000D_
* LogP (Culler et al.)_x000D_
* QRQW PRAM (Gibbons et al.)_x000D_
* Demmel et al. (more focused on linear algebra applications, but has_x000D_
some of the flavor of the proposed work in terms of more realistic_x000D_
models of parallel computing to support algorithms and lower bounds)_x000D_
_x000D_
_x000D_
In the context of the five review elements, please _x000D_
evaluate the strengths and weaknesses of the proposal with respect to broader impacts._x000D_
_x000D_
The PI proposes to introduce new graduate courses on I/O efficient_x000D_
algorithms, computational geometry, and graph algorithms.  He also_x000D_
is planning to flip his current class on parallel algorithms; there_x000D_
is good support at the University of Hawaii for doing so.  He will_x000D_
also partner with NSF's efforts to improve education in parallel and_x000D_
distributed computing and introduce basic concepts of parallelism_x000D_
into undergraduate courses._x000D_
_x000D_
The PI also proposes outreach activities for the local Native Hawaiian_x000D_
population (UH is an underrepresented minority education institution)_x000D_
via providing REU opportunities, participating in career days at local_x000D_
schools, and encouraging Native Hawaiians to major in computer science._x000D_
_x000D_
Improving instruction in parallel algorithms, and making the materials_x000D_
freely available, will be a benefit to the community.  Increasing the_x000D_
diversity of people participating in computing is valuable to society._x000D_
_x000D_
No explicit way of measuring success of the educational and outreach_x000D_
activities is given._x000D_
_x000D_
Strengths:  The educational results of the proposed work will be_x000D_
valuable to the computing community, and bringing more Native Hawaiians_x000D_
into the community is valuable to society._x000D_
_x000D_
Weaknesses: There is no mechanism for evaluating success of the_x000D_
broader impacts activities._x000D_
_x000D_
Suggestions for Improvement: Add a mechanism for evaluating success of_x000D_
the broader impacts activities._x000D_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topic and with useful broader_x000D_
impacts.  It would be strengthened by more detailed comparison with previous_x000D_
work and more details on the problems and approaches.  Also, a way of_x000D_
measuring success of the broader impacts activities should be provided._x000D_
_x000D_
</t>
  </si>
  <si>
    <t>We propose to study and develop locality-conscious parallel algorithms and data structures. Parallel algorithms which take advantage of locality of reference result in less inter-processor communication, which has historically been the slowest part of parallel computation and, consequently, the bottleneck in the scalability of parallelism. As the gap between computational power and memory latency has been increasing in modern shared memory parallel architectures, maximizing locality in parallel computing has been recognized as an important factor. In case of manycore architectures with deep memory hierarchies, locality-conscious algorithms translate into cache-efficient implementations, which have been shown to be faster and more scalable than implementations of the classical PRAM algorithms.The result of the proposed research will be a collection of parallel cache-_x000D_
efficient algorithms and data structures. The proposed research will also study lower bounds of parallel computation the presence of caches. In addition to saving unnecessary research efforts on trying to find solutions that are provably impossible, lower bound results might provide guidance in the design of future manycore architectures. _x000D_
_x000D_
While our work is theoretical in nature, we also plan to implement our algorithms and test them on the latest manycore hardware to make sure that empirical evaluations match the theoretical predictions. We will develop and disseminate our implementations as open-source libraries for free use by the research community.Currently, the algorithms community is not very widely involved in parallel_x000D_
computing. This is partly due to the lack of accurate algorithmic models for modern manycore architectures. This CAREER grant will fund the development of parallel algorithms for modern manycore architectures, leading to the refinement of existing parallel models of computation. We expect the proposed development of cache-efficient parallel algorithms that translate to fast practical library implementations will reignite the interest of the algorithms community in parallel computing. Over time, cache-efficient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and can be used freely by others to flip their own parallel algorithms courses. 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</si>
  <si>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Find high dimensional representations for three dimensional curved objects that enable more efficient computation, analogously to how the Fourier transform representation of data vastly simplifies several operations involving functions in one dimension. Specific goals:_x000D_
1) Develop some sort of spectral representation for smooth geometric objects that allows for better computations than existing methods._x000D_
2) Study k-forms on point clouds and efficient representations of them. Apply these ideas to compute hexahedral meshes._x000D_
3) Develop representations for geometric objects to facilitate manufacturing._x000D_
_x000D_
INTELLECTUAL MERIT_x000D_
_x000D_
Strengths:_x000D_
* Progress on any of these big problems will be a major contribution._x000D_
* Proposed research connects classical mathematics to geometry processing._x000D_
* The PI is well prepared for the research._x000D_
* Novel mathematical connections._x000D_
* The project objectives are clearly outlined._x000D_
* There are clear evaluation criteria._x000D_
* Good overall vision._x000D_
_x000D_
Weaknesses:_x000D_
* There is a lack of detail in terms of particular ideas for how to accomplish the major research goals._x000D_
_x000D_
Suggestions for improvement:_x000D_
_x000D_
* The proposal could be improved if more effort were put in to make the material more accessible to non-experts._x000D_
* The proposal could use a better explanation of how the methods compare the existing literature, particularly with respect to the spectral reconstruction problem._x000D_
_x000D_
BROADER IMPACTS_x000D_
_x000D_
The main sources of broader impact for this project are:_x000D_
* Teaching and course development of computer graphics courses._x000D_
* Implementing many of these mathematical ideas as software._x000D_
* Development of an open source geometry processing platform._x000D_
_x000D_
Strengths:_x000D_
* The education plan is solid._x000D_
* The software project has substantial prospect to make this research more broadly accessible._x000D_
* Potential collaborations with industry are strong._x000D_
_x000D_
CAREER SOLICITATION-SPECIFIC REMARKS:_x000D_
_x000D_
Letter of institutional commitment. School plans to make PIs new classes a significant part of program._x000D_
_x000D_
Integration of research and education: The PI is developing courses in the proposed research area. They also have plans for mentoring of graduate and undergraduate students._x000D_
_x000D_
ADDITIONAL REMARKS_x000D_
_x000D_
Research plan: _x000D_
* Has detailed timeline. Not clear how accurate it will be, but it is a good thing to have thought about._x000D_
_x000D_
Collaboration plan: Has promised support from industrial partner, and two letters of collaboration._x000D_
_x000D_
Data Management Plan: Plans to put generated code and data in open formats._x000D_
_x000D_
Results of prior support: _x000D_
* Comparison between current proposal and the previous one is not clearly explained._x000D_
* Previous work had results on approximate integration of discrete vector fields, and approximation of surfaces by piecewise developable surfaces._x000D_
_x000D_
_x000D_
SUMMARY STATEMENT_x000D_
_x000D_
A generally strong proposal. More work could have gone into describing the relationship of the work to the background literature and to previous work by the PI. The proposal is also lacking in terms of particular ideas to accomplish these goals, and could use a better description of previous work in the area._x000D_
_x000D_
___ Highly Competitive_x000D_
___ Competitive_x000D_
_X_ Low Competitive_x000D_
___ Not Competitive_x000D_
_x000D_
The panelists concur that the Panel Summary accurately reflects the panel discussion._x000D_
</t>
  </si>
  <si>
    <t>TBARTOS</t>
  </si>
  <si>
    <t>P170144</t>
  </si>
  <si>
    <t xml:space="preserve"> CAREER Applied Math, Computational  Math &amp; Math Bio</t>
  </si>
  <si>
    <t xml:space="preserve"> Panel Summary       
 The project investigates mathematical problems related to the use of discrete differential geometry to describe 3D objects. The PI will use the spectral decomposition of elliptic operators (not limited to the Laplace-Beltrami operator) on Riemannian manifolds to encode the manifolds, and develop practical algorithms to reconstruct the manifold from spectra._x000D_
_x000D_
Intellectual Merit_x000D_
_x000D_
Strengths:_x000D_
The PI has identified an interesting problem and has expertise appropriate for the task. New and innovative ways to characterize geometry would be useful._x000D_
_x000D_
Weaknesses:_x000D_
The proposal lacks a clear explanation of how the research will improve on current geometric representations. There was discussion of how objects with corners could be handled, since the theory presented focused on smooth manifolds. In general, there were questions about how the theory would interact with real problems. The proposal may have been stronger if more technical details had been included._x000D_
_x000D_
Broader impacts_x000D_
_x000D_
Successful research in this area has potentially broad applications, including computer vision and 3D printing. The educational segment of the proposal was considered good. The PI has a strong track record in mentoring graduate and undergraduate students. Publicly available code and dissemination of research through a YouTube channel are good ideas. The panel also found the collaborations with industry and computer graphics labs to be a positive aspect of the proposal._x000D_
_x000D_
Results from prior NSF funding: The panel found the research output rather modest (only two published research articles)._x000D_
_x000D_
The data management plan is adequate._x000D_
_x000D_
Additional criteria for CAREER: The research was well-integrated with the educational plan. The departmental support letter is appropriate._x000D_
_x000D_
The panel found the research problems interesting, but decided that the relative lack of details limited the competitiveness of the proposal. _x000D_
_x000D_
The panel placed the proposal in the Not Competitive category. _x000D_
_x000D_
The summary was read by the panel and the panel concurred that the summary accurately reflects the panel discussion._x000D_
_x000D_
_x000D_
_x000D_
</t>
  </si>
  <si>
    <t>pseshaiy</t>
  </si>
  <si>
    <t>Dear Professor Crane, _x000D_
_x000D_
I regret to inform you that your proposal to the FY 2017 Faculty Early Career Development (CAREER) Program has not been recommended for funding by the Computational Mathematics program. If you have any questions about the review process, feel free to contact me. I ask that you read this analysis carefully, which may help you in preparing your next proposal. _x000D_
_x000D_
Padmanabhan Seshaiyer_x000D_
email: pseshaiy@nsf.gov	 _x000D_
phone: 703-292-2595_x000D_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These deliberations were based on the documented evidence regarding both the main merit review criteria and the additional review criteria listed in the CAREER solicitation. The CCF CAREER panel program director also communicated about their decisions on the proposal._x000D_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</si>
  <si>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Principal Investigator: Crane, Keenan_x000D_
Proposal Number: 1654086_x000D_
Institution: Carnegie-Mellon University_x000D_
Title:     CAREER: Discrete Geometric Representations for Shape Acquisition, Analysis, and Fabrication_x000D_
_x000D_
Possible Conflicts of Interest: No COIs were identified. _x000D_
_x000D_
Prior NSF support: In the last five years, the PI was the recipient of a NSF Post-Doctoral Research Fellowship (DMS-1304254)._x000D_
_x000D_
Review Analysis:_x000D_
For the FY17 CAREER competition the NSF Division of Mathematical Sciences received 179 proposals from an impressive group of researchers. Among them, 26 proposals were submitted primarily to the Computational Mathematics Program. _x000D_
_x000D_
Panelists of four National Science Foundation panels reviewed the submitted proposals. The panels were composed of researchers in the mathematical and statistical sciences. Proposals were assigned to specific panels based on the scientific content of the submissions. This proposal was one of 60 proposals that were reviewed by the Applied CAREER Panel. Panelists at this panel considered submissions to the programs of Applied Mathematics, Computational Mathematics and Mathematical Biology. This proposal was also additionally reviewed as one of the 29 proposals in the CCF Algorithmic Foundations panel in CISE. Both panels was asked to review the proposals on the basis of the two main NSF review criteria (intellectual merit, broader impacts) and the additional review criteria listed in the CAREER solicitation. The Applied CAREER panel's review consisted of at least three individual reviews from members of the panel and a panel summary that reflects the discussion of the proposal at the panel. The CCF Panel's review consisted of 3 panel experts and at least one external (ad hoc) reviewer chosen for their special interest in the proposed topic. The Applied CAREER panel advised the Foundation that a proposal was (i) highly competitive for funding, (ii) competitive for funding, or (iii) not competitive for funding. The CCF CAREER panel advised the Foundation that a proposal was (i) highly competitive, (ii) competitive, (iii) low competitive or (iv) not competitive, for funding._x000D_
_x000D_
A CAREER award is viewed by DMS as the highest distinction that NSF can provide to junior researchers in the mathematical sciences. As a result, the CAREER Program is quite competitive. In the Applied CAREER Panel about 40% of the proposals were ranked in the first two categories, while the remaining submissions were placed in category (iii), or were not ranked. This proposal was placed in category (iii) by the Applied CAREER Panel.  In the CCF CAREER Panel about 59% of the proposals were ranked in the first two categories, 38% were placed in category (iii) and 3% in category (iv). This proposal was placed in category (iii) by the CCF CAREER Panel._x000D_
_x000D_
Reviewer Ratings: Applied CAREER Panel: F, V/G, G; CCF CAREER Panel: G, V, V _x000D_
_x000D_
Category Placement: Applied CAREER Panel: Not Competitive; CCF CAREER Panel: Low Competitive_x000D_
_x000D_
Mail Reviewers Ratings: V_x000D_
_x000D_
Overview: The proposed work investigates mathematical questions coupled with the development and implementation of efficient numerical algorithms for real-world geometry. Specifically, the work proposes to study how different geometric representations in the smooth setting impact the effectiveness of numerical algorithms in the discrete setting. This general area of discrete geometric representations has applications in diverse areas from shape acquisition, analysis and physical fabrication of 3D geometry. The work also proposes to build a coherent track of new courses in geometry processing, mentor young researchers, and collaborate with industry on high-impact ventures._x000D_
_x000D_
Intellectual Merit: Reviewers appreciated that the proposal presents a comprehensive plan for tackling techniques that advance approaches for discrete geometric representations and it applications. Specifically, the proposal will investigate three principal topics including spectral characterizations of geometry that facilitate surface acquisition and analysis; representations of tensorial data that aid processing and remeshing of scanned surfaces and; descriptions that inherently encode material constraints arising in 3D fabrication. The techniques include mapping smooth geometries to a spectral representation, mapping 3D point clouds to surfaces represented by differential equations and developing differential-based representations for geometric objects for manufacturing. The reviewers were not excited about the first project which they noted was an extension of the PI's PhD work with not much details.  While the reviewers in both the Applied CAREER and CCF CAREER panels found the proposed challenges and applications very interesting, they felt that the description of the intellectual contributions lacked clarity in the context of the proposed applications. The reviewers also felt the proposal needed more details on the novelty of the mathematical approaches employed and their implementation. They pointed out the need for more details on the performance of the proposed methods for non-smooth objects with corners, need for clearer justification for the summer month support, details on the novelty about the spectral reconstruction project, need for inclusion of preliminary results, need for comparison with other classical techniques from computational geometry and need for more details on integration of the three problems proposed._x000D_
_x000D_
Broader Impact: The reviewers agreed that the research has the potential for impact in a number of application domains but they also felt that the connection with the applications could have been further detailed. Reviewers appreciated the educational component of the project, in particular, making the educational material from this project available. The education program also included promoting the work through Youtube channels as well as collaboration with companies for validation of data which the reviewers applauded. While they liked the development of a new course on digital geometry processing, it was not clear from the proposal the level of students that will take this course. Reviewers were also concerned about the integration of the educational activities within the research program of the PI. Panelists found the proposed application areas very interesting. Reviewers noted that the PI is a strong researcher and encouraged the PI to integrate the research more carefully with the proposed education plan. Concerns about the lack of a connected central theme in the proposed educational activities make the argument for impact on the integration of research and training less persuasive than for other proposals considered by the panelists._x000D_
_x000D_
Postdoctoral Mentoring Plan: Not Applicable _x000D_
_x000D_
CAREER Criterion: The integration of research and education is a key component for CAREER awards. Reviewers noted that the PI does plan to work with trainees at all levels, but felt that the planned activities may be ambitious and need to be carefully connected well in the proposal with more convincing evidence of an integrated plan for research and education. The departmental head is supportive of the PI's activities. _x000D_
_x000D_
Overall, this is an interesting CAREER proposal but the reviewers in both panels found the planned research and educational activities lacking details and novelty. Reviewers commented positively about the departmental support for this project, but found this project to be lacking details in the description of the presented mathematics and suggested the need for a coherent theme in the proposed educational activities. The case for a strong integration of research with education is also not provided. On the basis of comparison with other proposals in this year's very strong set of CAREER submissions both the Applied CAREER panel and the CCF CAREER panel judged this proposal to be less compelling than the proposals ranked in categories (i) and (ii) in the respective panels. The Applied CAREER panel placed it in the "not competitive for funding" category and the CCF CAREER panel placed it in the "low competitive" category._x000D_
_x000D_
Following the panel meeting, the program directors in the Computational Program corresponded by email as well as met in person to discuss the panel reviews, deliberations, rankings, and recommendations for all the CAREER proposals managed by the program (see minutes in diary notes). These deliberations were based on the documented evidence regarding both the main merit review criteria and the additional review criteria listed in the CAREER solicitation. The CCF CAREER panel program director also communicated about their decisions on the proposal (See minutes in diary notes)._x000D_
_x000D_
Summary: Given the host of demands exerted on the Computational Program by CAREER, FRG, RTG, and regular proposal pressure, as well as the evident high standard to which successful CAREER proposals in Computational Mathematics have been held in the past, the program directors decided to recommend declinations for all submissions ranked in the Not Competitive category in the Applied CAREER panel, including this one. The CCF CAREER panel judged the proposal to be Low Competitive in their panel and could not support this proposal as well._x000D_
_x000D_
Recommendation: Declination _x000D_
_x000D_
Padmanabhan Seshaiyer_x000D_
Program Director _x000D_
Computational Mathematics Program</t>
  </si>
  <si>
    <t>XS0729639</t>
  </si>
  <si>
    <t>Chopp</t>
  </si>
  <si>
    <t>chopp@northwestern.edu</t>
  </si>
  <si>
    <t xml:space="preserve">In the context of the five review elements, please _x000D_
evaluate the strengths and weaknesses of the proposal with respect to intellectual merit._x000D_
_x000D_
This project aims to develop a different way of characterizing geometry of surfaces in such a way that will be more useful in the context of replicating an object via a 3D printer.  This spans from object 3D capturing using cameras, to processing the shape in some way, and then translating into fabrication.  This is intended to reduce the cost of representing and manipulating the surface of an object._x000D_
_x000D_
* This is clearly a mathematical proposal, but I'm not convinced of the need for this research._x000D_
_x000D_
* There's not enough specifics in what steps will be undertaken in this project to evaluate this proposal.  It's an interesting concept, but I'm not convinced that it will result in significant product.  It seems like a fishing experiment to see if such representations are possible without having a good idea that they do exist._x000D_
_x000D_
* One large concern I have for this project is that many objects have sharp edges or corners, yet most of the discussion seems to be focused on smooth objects.  For this to be of practical use, it seems like jumps in the normal vector should have some way of being captured._x000D_
_x000D_
* The argument for this proposal would be much more convincing if some discussion of why the existing framework is insufficient, or how the product of this research would enable something that is not presently possible.  That key connection is missing._x000D_
_x000D_
* PI received his PhD from Cal Tech and is currently Asst. Prof. at Carnegie Mellon in Computer Science._x000D_
_x000D_
* Pi has a prior 2 year NSF grant on discrete differential geometry, which resulted in 2 publications.  _x000D_
_x000D_
* Note that the PI requests 2.5 summer months per year, which may be a little high for this project._x000D_
_x000D_
* The department letter is good, they express support for the educational components and state they have senior faculty involved in mentoring the PI._x000D_
_x000D_
* Data management plan is very good._x000D_
_x000D_
_x000D_
In the context of the five review elements, please _x000D_
evaluate the strengths and weaknesses of the proposal with respect to broader impacts._x000D_
_x000D_
* PI has a strong record of outreach through various channels such as YouTube etc.  _x000D_
Educational component_x000D_
_x000D_
* PI will develop one entirely new course on digital geometry processing, and continue to refine two courses, one an introduction to computer graphics, and one on discrete differential geometry. I could not find what level students are in these courses._x000D_
_x000D_
* PI will develop software for public use.  It's not clear to me what the software will do, or how it will be used, so I'm not able to distinguish it from the current offerings on the market._x000D_
_x000D_
* The research and educational components are certainly related, but the precise integration of the two is not discussed._x000D_
_x000D_
_x000D_
Please evaluate the strengths and _x000D_
weaknesses of the proposal with respect to any additional solicitation-specific review criteria, if _x000D_
applicable_x000D_
_x000D_
_x000D_
_x000D_
Summary Statement_x000D_
_x000D_
Overall, I found this proposal to be heavy on sales pitch and light on details of what will be done.  Flipping that relationship would go a long way toward improving the proposal.  The outreach component is OK, and the educational output is OK but not overwhelming.  _x000D_
_x000D_
_x000D_
</t>
  </si>
  <si>
    <t>OV0153121</t>
  </si>
  <si>
    <t>Guibas</t>
  </si>
  <si>
    <t>guibas@cs.stanford.edu</t>
  </si>
  <si>
    <t xml:space="preserve">In the context of the five review elements, please _x000D_
evaluate the strengths and weaknesses of the proposal with respect to intellectual merit._x000D_
_x000D_
The goal of this proposal is to study novel discrete representations for 3D geometry, the associated algorithms, and applications of both to problems in science and engineering -- especially manufacturing. The technical part of the proposal is organized in three main sections: shape acquisition, shape processing, and shape fabrication. In each section a couple of specific problems are presented along with background material and ideas towards their solution._x000D_
_x000D_
The problems selected by the proposer are fundamental and deep problems relating to the fundamental question of how to describe or represent a geometric object with a discrete set of data and how to then recover the full object geometry from that data. The key problem studied in the acquisition section is the possibility of recovering a shape from the spectrum of a self-adjoint elliptic operator acting on the shape surface -- a classic instance of that being surface reconstruction from the eigenvalues of its Laplace-Beltrami (LB) operator. Especially interesting is the study of other operators, such as the Dirac operator and its variants, that are not purely intrinsic (and therefore invariant to isometric deformations) but try to also capture extrinsic information regarding the embedding or immersion of the shape in 3D. As the author notes, different applications have different needs regarding the shape invariances they need to be sensitive to, so no single operator is universally useful. The processing section focuses on two problems, the development of an exterior calculus on point clouds using k-forms and on extending direction fields from surfaces to volumes with hex-meshing applications in mind. Finally, the fabrication section looks at discrete deployable surfaces, discrete surfaces that are continuously deformable. Two specific examples presented are (1) an approach to auxetic surfaces using conformal maps and (2) a study of how local conditions on a PQ (quad) net of linkages translate into kinematic constraints on its motion behavior._x000D_
_x000D_
A key strength of the proposal is that all the specific problems mentioned above are individually both interesting and challenging. There is no question that a solution to any subset of them would be a major contribution to our understanding of geometry processing and would require both deep connections to areas of classical mathematics as well as as the invention of new tools specific to discrete differential geometric representations and algorithms. To this it should be added that the proposer has an excellent track record is is highly qualified to approach these difficult questions. Although there is a brief discussion of inter-dependencies in Section 7 (Timeline and Milestones), a weakness of the proposal is that interconnections between all these problems are not made explicit -- so it is not quite clear how these separate developments might be integrated and what kinds of synergies might exist between them._x000D_
_x000D_
_x000D_
In the context of the five review elements, please _x000D_
evaluate the strengths and weaknesses of the proposal with respect to broader impacts._x000D_
_x000D_
3D geometry is all around us and a key component of many scientific, engineering, medical and application areas, including design and manufacturing, cultural preservation, visualization, virtual and augmented reality, gaming, animation and special effects, etc. The advent of affordable 3D scanners such as the Microsoft Kinect or the Intel RealSense sensors as well as of 3D printing technologies make it possible to imagine that the pipeline of scan -&gt; process -&gt; print for 3D shapes is that becomes widely available and that can have a transformative effect in many industries. This general vision is elucidated well in the proposal and some application concrete examples are given (e.g., deplorable manufactured surfaces that can be folded into a compact form for shipping, then expend into their functional form). However, it would have been nice to see a more detailed discussion of how solutions of some of the specific problems presented would impact particular vertical industries. In this aspect the proposal could be stronger._x000D_
_x000D_
However, when it comes to impact through education the proposal is stellar -- the section describing curriculum development is truly excellent and the proposer is uniquely qualified to carry it out. Putting all this material (notes, code, etc) on the Web can have a wide impact and help expand the currently somewhat specialized and narrow geometry processing community. It can also provide workforce skills that will be needed as advanced/sophisticated manufacturing returns to the US._x000D_
_x000D_
Please evaluate the strengths and _x000D_
weaknesses of the proposal with respect to any additional solicitation-specific review criteria, if _x000D_
applicable_x000D_
_x000D_
The proposer is a rising star in the the area of geometric modeling and processing and a pillar of the discrete differential geometry community. He has an impressive command of many advanced areas in mathematics related to geometry and a very good taste for foundational problems This proposal will give him a strong basis for putting his academic career on a firm foundation._x000D_
_x000D_
Summary Statement_x000D_
_x000D_
Overall this is a strong and well-written CARRER proposal by a highly qualified individual -- it should be supported if at all possible. There are probably few CISE NSF proposals where the intellectual challenge and depth of the problems addressed is more obvious. The interconnections between the specific problems discussed could have been better developed and also the case for broader impacts could benefit from more specifics and details. However this reviewer is confident that, on this latter issue, the impact will eventually be there._x000D_
_x000D_
</t>
  </si>
  <si>
    <t xml:space="preserve">In the context of the five review elements, please _x000D_
evaluate the strengths and weaknesses of the proposal with respect to intellectual merit._x000D_
_x000D_
The PI wants to find alternative, high-level representations of 3-D_x000D_
curved objects, e.g., using some frequency-domain representation,_x000D_
instead of "primal" spatial-domain triangulated surfaces.  The_x000D_
proposal is mathematically sophisticated (the details were not_x000D_
intelligible to this reader).  The motivating idea is that certain_x000D_
processing may be much more efficient if based on an alternative_x000D_
representation.  The one-dimensional analogue is the Fourier_x000D_
transform, specifically the FFT, for signal processing: the frequency_x000D_
domain is better for some tasks than the spatial domain.  The goals of_x000D_
the proposal are threefold:_x000D_
_x000D_
(1) Map smooth geometry to a spectral representation and vice versa;_x000D_
find new representations that encode the embedding of a_x000D_
spectrally-represented object into 3-D space._x000D_
_x000D_
(2) Map 3-D point clouds to surfaces represented by differential_x000D_
equations; compute conforming hexahedral meshes._x000D_
_x000D_
(3) Invent differential-based representations for geometric objects_x000D_
that facilitate manufacturing, e.g., layered manufacturing or_x000D_
origami-style folding.  This aspect of the proposal is quite appealing_x000D_
and could warrant more emphasis.  If the research is successful, it_x000D_
would allow a desired surface in 3-D to be analyzed for_x000D_
mathematical/physical substructures, then constructed by controlled,_x000D_
predictable deformation of a planar preimage whose manufacture_x000D_
incorporates the result of the mathematical analysis._x000D_
_x000D_
The PI has been successful in previous related work, so continued_x000D_
progress can be expected._x000D_
_x000D_
_x000D_
In the context of the five review elements, please _x000D_
evaluate the strengths and weaknesses of the proposal with respect to broader impacts._x000D_
_x000D_
The PI teaches a range of computer graphics courses at CMU, including_x000D_
an advanced course on discrete differential geometry.  He is engaged_x000D_
with undergraduate and graduate students, including minorities and_x000D_
women.  The software produced by the project may be its greatest_x000D_
impact, especially if the spectral representations enable dramatically_x000D_
more efficient processing for important tasks in computer graphics and_x000D_
geometry processing._x000D_
_x000D_
_x000D_
Please evaluate the strengths and _x000D_
weaknesses of the proposal with respect to any additional solicitation-specific review criteria, if _x000D_
applicable_x000D_
_x000D_
_x000D_
_x000D_
Summary Statement_x000D_
_x000D_
This is a very impressive proposal, even intimidating, but not_x000D_
necessarily very accessible.  Although the introduction is well_x000D_
written, later portions require specialist knowledge and supply less_x000D_
intuition than would be desirable._x000D_
_x000D_
_x000D_
</t>
  </si>
  <si>
    <t xml:space="preserve">In the context of the five review elements, please _x000D_
evaluate the strengths and weaknesses of the proposal with respect to intellectual merit._x000D_
_x000D_
The proposal plans to look at a number of issues related to computer representations of 3D objects and discrete geometry. In particular, the proposal focuses on three problems:_x000D_
1) Practical reconstruction of objects from their spectra._x000D_
2) Algorithms for dealing with discrete vector fields._x000D_
3) Algorithms for the construction of deployable structures._x000D_
These problems would have applications both in computational problems in processing 3D images and structures, but also perhaps have applications in mathematics in differential geometry._x000D_
_x000D_
In the context of the five review elements, please _x000D_
evaluate the strengths and weaknesses of the proposal with respect to broader impacts._x000D_
_x000D_
This project has several avenues for broader impacts._x000D_
1) More or less standard mentoring and course development._x000D_
2) Potential for real world applications of the research products to domains like graphics and 3D printing._x000D_
3) Plans to implement algorithms developed by this project._x000D_
This list seems slightly lacking relative to other proposals in the field. It could be strengthened by adding additional components, especially those that encourage participation by women or minorities._x000D_
_x000D_
Please evaluate the strengths and _x000D_
weaknesses of the proposal with respect to any additional solicitation-specific review criteria, if _x000D_
applicable_x000D_
_x000D_
This project's potentially transformative end goal seems to be to systematize the way we store and process data about 3D objects. Unfortunately, this goal seems a little ambitious given the resources. The specific projects proposed seem like they would produce much more modest improvements on the existing state of the art. The PI has a solid background in the area, but the proposal is short on specific plans for attacking the research problems, bringing up questions about their ability to accomplish the major goals._x000D_
_x000D_
Summary Statement_x000D_
_x000D_
The project mentions several problems on ways of computing with 3D data. A full completion of the project's stated goals would likely be significant, though this is perhaps beyond the reach of a 5-year project._x000D_
_x000D_
</t>
  </si>
  <si>
    <t>JWANG</t>
  </si>
  <si>
    <t>PB0846506</t>
  </si>
  <si>
    <t>Lewicka</t>
  </si>
  <si>
    <t>lewicka@pitt.edu</t>
  </si>
  <si>
    <t xml:space="preserve">In the context of the five review elements, please _x000D_
evaluate the strengths and weaknesses of the proposal with respect to intellectual merit._x000D_
_x000D_
This proposal studies how different geometrical representations of smooth surfaces impact the effectiveness of numerical algorithms in the discrete setting. The proposal outlines three main topics, of increasing difficulty, with the common thread of "what discrete data and how much computational power is required to describe a geometric object"._x000D_
_x000D_
These topics and related projects are:_x000D_
_x000D_
(i) Spectral reconstruction. a) developing algorithms that find a (discrete) approximation of a 2d compact surface, based on the knowledge of the eigenvalues of a certain elliptic differential operator on the surface. b) comparing the standard case of the Laplace-Beltrami operator (and the standard heat flow) with other less classical e.g. quaternionic Dirac operator (and its "heat flow").  c) characterizing classes of maps (and developing their numerical approximations) between two Riemann manifolds in terms of the relations among the eigenvalues of such operators in the domain and target manifolds. _x000D_
_x000D_
(ii)  Discrete vector analysis. a) formulating the classical exterior calculus tools (e.g. exterior derivative, wedge product, Lie derivative etc) for the so called "point k-forms" in the discrete setting.  b) comparing these discrete tools to the continuum case tools, when the discrete structure is a restriction of a smooth surface to its triangulation. c) developing new representations of symmetric direction fields in the 3d hexahedral meshing._x000D_
_x000D_
(iii) Discrete deployable geometry: developing algorithms and analytical foundations regarding continuously reconfigurable lattices. _x000D_
_x000D_
The first topic is an extension of PI's 2013 PhD thesis. There are not much concrete details provided as to the actual new work to be done, beyond a general description of the relevant problems._x000D_
_x000D_
_x000D_
In the context of the five review elements, please _x000D_
evaluate the strengths and weaknesses of the proposal with respect to broader impacts._x000D_
_x000D_
The core of this project concerns the developing of algorithms and software for computer graphics and discrete geometry. A collaboration with industry is planned, by means of talks at companies, consultation, and validation of the results on real data. The proposal includes a letter of support from Autodesk Research Inc, that is a US company making software for the architecture, engineering, construction and media industries - this collaboration seems to be very advantageous to the project and the involved personnel. Another documented collaboration is with EPFL Lausanne Computer Graphics Laboratory._x000D_
_x000D_
The PI will be maintaining a webpage for open source distribution. _x000D_
_x000D_
The PI will teach and develop new courses in geometry processing at different educational levels. He will continue to mentor students and involve them in the proposed research topics (the PI currently advises 3 PhD students and has mentored 10 undergraduate students), also through the planned undergraduate research events._x000D_
_x000D_
_x000D_
Please evaluate the strengths and _x000D_
weaknesses of the proposal with respect to any additional solicitation-specific review criteria, if _x000D_
applicable_x000D_
_x000D_
_x000D_
_x000D_
Summary Statement_x000D_
_x000D_
This is a good proposal with very good broader impacts. It somewhat lacks a compelling description of novel techniques, tools and outcomes to make an equally strong case for its intellectual merit. It also seems that the outcomes of the previous award are modest (2 papers in three years)._x000D_
_x000D_
This proposal ranked 4th out of 9 proposals I evaluated._x000D_
_x000D_
</t>
  </si>
  <si>
    <t>NU0929751</t>
  </si>
  <si>
    <t>Martinsson</t>
  </si>
  <si>
    <t>martinss@colorado.edu</t>
  </si>
  <si>
    <t xml:space="preserve">In the context of the five review elements, please _x000D_
evaluate the strengths and weaknesses of the proposal with respect to intellectual merit._x000D_
_x000D_
This is a very engaging and well written proposal. The problems addressed are both technologically important and mathematically rich. The PI does a good job of identifying problems that seem both significant in terms of their potential impact, and doable. At the same time, the proposed research comes across as slightly overly speculative in certain respects, with insufficient preliminary results in support. Moreover, it is not clear what the range of applicability of the proposed techniques would be. It would appear they would apply only to smooth surfaces without corners and edges, which limits the potential impact of the research._x000D_
_x000D_
In the context of the five review elements, please _x000D_
evaluate the strengths and weaknesses of the proposal with respect to broader impacts._x000D_
_x000D_
Developing mathematical tools for better representing complex 3D geometries is a central challenge in science and engineering. The proposal discusses 3D scanning and printing in depth, and these are both very important. But there appear to be many additional potential applications of the proposed techniques._x000D_
_x000D_
Please evaluate the strengths and _x000D_
weaknesses of the proposal with respect to any additional solicitation-specific review criteria, if _x000D_
applicable_x000D_
_x000D_
The educational component is ambitious, with several different angles. What was particularly significant to me was the emphasis of making educational material available, to maximize the potential impact of the funded work._x000D_
_x000D_
This proposal does an excellent job of integrating research and educational efforts. The subject matter lends itself very well to engaging projects at the undergraduate level, and concerns topics that are of broad interest to students._x000D_
_x000D_
Summary Statement_x000D_
_x000D_
This is a well written proposal that addresses important problems. The connection between the methods proposed and 3D printing is well explained. I had some concerns about the feasibility of the proposed research. Ideally other potential applications could have been fleshed out a little more carefully. _x000D_
_x000D_
The PI is well qualified for the work, and has a strong track record on related problems._x000D_
_x000D_
</t>
  </si>
  <si>
    <t xml:space="preserve">In the context of the five review elements, please _x000D_
evaluate the strengths and weaknesses of the proposal with respect to intellectual merit._x000D_
_x000D_
The proposal studies how various smooth geometric representations impact discrete numerical algorithms. _x000D_
The PI proposes three research topics:_x000D_
(1) Spectral reconstruction and alternative spectral encoding of surfaces; _x000D_
(2) In terms of processing, apply exterior calculus, in particular, point k-form on point cloud data; study symmetric direction fields and frame fields; _x000D_
(3) Apply discrete deployable geometry during fabrication. _x000D_
_x000D_
_x000D_
Strengths:_x000D_
_x000D_
++ The PI proposes to translate various geometric representations to effective computational tools by bridging smooth geometric descriptions, discrete analogs and computational implications. _x000D_
The proposal clearly outlines research objectives and the research ideas are novel and potentially transformative. _x000D_
_x000D_
++ The proposal is particular novel in various aspects of spectral reconstruction of surfaces.  _x000D_
_x000D_
++ In additional to traditional evaluation of numerical algorithm, the PI specifies evaluation criteria essential to geometric processing. _x000D_
_x000D_
++ The PI is well suited for the proposed work, and has a clear long-term research vision. _x000D_
_x000D_
Weaknesses:_x000D_
_x000D_
-- The proposal has a great introduction; however in the actual research plan, the exposition quickly becomes technical and less friendly to non-math-oriented audience. _x000D_
_x000D_
-- Research plan in some places is in lack of specific/in-depth plan rather than introduction of specific mathematical notions.  _x000D_
_x000D_
-- One of the research goal (Sec 2) is to reconstruct surfaces from their spectra; it would be nice to compare such approach to classic techniques from computational geometry (e.g. Tamal. K. Dey, Curve and Surface Reconstruction : Algorithms with Mathematical Analysis, 2006)._x000D_
_x000D_
--(More of a comment): Section 3.2 starts by applying direction fields 2D and then proposes frame fields in 3D. As general tensor fields can be used for re-meshing as well (at least in 2D), what is the difference (in terms of re-meshing techniques) between 3D frame fields and 3D tensor fields?_x000D_
_x000D_
_x000D_
In the context of the five review elements, please _x000D_
evaluate the strengths and weaknesses of the proposal with respect to broader impacts._x000D_
_x000D_
++ The PI is proposing to develop 3 course at various levels that help educate students in maths and computer science. _x000D_
_x000D_
++ The PI is currently advising 5 PhD students and 1 MS students; and has a great plan in mentoring young researchers. _x000D_
_x000D_
++ The practical utility is being evaluated by real world testing and code distribution. In particular, the PI describes a work-in-progress of open-source geometry processing platform that also includes mobile access and supports for users across different level of expertise.  _x000D_
_x000D_
++ The proposal also describes concrete plan for technology transfer as well as collaboration with industry partners that could  potentially enrich the education plan, as well as accelerate the dissemination of research results to a broader community._x000D_
_x000D_
Please evaluate the strengths and _x000D_
weaknesses of the proposal with respect to any additional solicitation-specific review criteria, if _x000D_
applicable_x000D_
_x000D_
-- It is not clear if it is necessary to go into technical details of prior support; and the prior support misses discussion of its relation to the current proposal._x000D_
_x000D_
Summary Statement_x000D_
_x000D_
This is a well-organized, solid proposal. The PI has clear short-term and long-term research vision. The (independently) funded collaboration  _x000D_
with industry helps to reach a broader community. _x000D_
However certain aspects of the research plan description can be very technical for non-experts._x000D_
_x000D_
</t>
  </si>
  <si>
    <t xml:space="preserve"> Panel Summary       
 SUMMARY OF PROPOSED RESEARCH ACTIVITY_x000D_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MERIT_x000D_
_x000D_
  Strengths:_x000D_
_x000D_
  - Success on the proposed projects could have significant impacts on applications by strengthening the mathematical foundations that underlie these applications._x000D_
_x000D_
  - The PI is an expert in the mathematical aspects of the proposed work, and he has a solid track record of publications in this area._x000D_
_x000D_
  Weaknesses:_x000D_
_x000D_
  - The proposal offers a few concrete research problems, but it would have been nice if the proposal had articulated a stronger vision of the long-term goals of the research and what innovative ideas are involved. Consequently, the proposed work seems rather incremental._x000D_
_x000D_
  - While the proposed applications are valuable, more details should be presented on how the success of the proposed methods on these applications will be evaluated._x000D_
_x000D_
  - It was not clear how the Auburn Geometry Lab integrates with the research efforts presented in the proposal._x000D_
_x000D_
  - The proposal organization is a bit weak. The prominence of the Geometry Lab in the proposal is unusual, given that its impacts are mostly oriented towards the proposal's broader impacts. This is clearly a strong element of the proposal, but proposals usually begin with a broad view of the intellectual landscape of the research area._x000D_
_x000D_
  - One of the reviewers identified some minor gaps in the literature review. _x000D_
_x000D_
BROADER IMPACTS _x000D_
_x000D_
  Strengths:_x000D_
_x000D_
  - The proposed Auburn Geometry Lab is a strong element of the proposal and can have a significant beneficial effect on the proposal's educational and outreach components._x000D_
_x000D_
  - Plans for increasing diversity through stronger recruitment efforts._x000D_
_x000D_
  - The plan to organize a series of workshops and seminars is also a positive element._x000D_
_x000D_
_x000D_
CAREER SOLICITATION-SPECIFIC REMARKS:_x000D_
_x000D_
Letter of institutional commitment. Included._x000D_
_x000D_
Integration of research and education:_x000D_
_x000D_
  The Auburn Geometry Lab will provide an opportunity to teach both undergraduate and graduate students about the mathematical concepts related to the proposal within a very compelling context. While the lab is a strong feature of this proposal from the perspective of educational outreach, the panel found that it could have been better integrated with the research components of the proposal. _x000D_
_x000D_
ADDITIONAL REMARKS_x000D_
_x000D_
Research plan: Adequate._x000D_
_x000D_
Data Management Plan: Adequate._x000D_
_x000D_
Results of prior support:  Not applicable._x000D_
_x000D_
SUMMARY STATEMENT_x000D_
_x000D_
 Overall, the panel felt that there this proposal described a number of interesting problems with good broader impacts, but there were nontrivial shortcomings in this proposal, such as (a) more in-depth elaboration of research plan/development and (b) providing a grand vision how different research objectives fit into a complete story._x000D_
_x000D_
The recommendation of the panel is:_x000D_
_x000D_
  ___ Highly Competitive_x000D_
  ___ Competitive_x000D_
  _X_ Low Competitive_x000D_
  ___ Not Competitive._x000D_
_x000D_
The panelists concur that the Panel Summary accurately reflects the panel discussion. 
</t>
  </si>
  <si>
    <t>Dr. Oeding,_x000D_
_x000D_
I'm sorry that we are unable to make a CAREER award this year.  In order to give as much feedback as I can, let me include a sketch my notes for the Review Analysis (an internal NSF document) for your proposal. 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</si>
  <si>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NATIONAL SCIENCE FOUNDATION _x000D_
Arlington, Virginia 22230 _x000D_
Directorate for Computer and Information Science and Engineering (CISE) _x000D_
Division of Computing and Communication Foundations (CCF) _x000D_
_x000D_
Review Analysis Recommendation: LC Decline_x000D_
_x000D_
NSF 15-555  Faculty Early Career Development Program_x000D_
Submitted: Jul 25 2016  4:08PM   Req 60 mo; Start: 05/15/17_x000D_
_x000D_
CAREER: Algebraic Vision and Collaborative Navigation_x000D_
1654261  Oeding, Luke: Auburn University: $601,079_x000D_
_x000D_
P170288    AF CAREER Panel: Low Competitive, _x000D_
           rank 18 of 29 rated projects: 3 HC, 14 C, 11 LC, 1 NC_x000D_
Reviews: V,G,G,G/F,F_x000D_
PRC: 9150       EXP PROG TO STIM COMP RES_x000D_
PRC: 1045       CAREER: FACULTY EARLY CAR DEV_x000D_
PRC: 7933       NUM, SYMBOL, &amp; ALGEBRA COMPUT_x000D_
_x000D_
_x000D_
Context: _x000D_
This project was submitted to the CAREER program, NSF 15-555, and was considered in CISE CCF Algorithmic Foundations for FY 2017 funding, with advice from the panel above. _x000D_
The Panel considered 29 proposals, each reviewed by 3 panel experts plus at least one external (ad hoc) reviewer chosen for their special interest in the proposed topic. _x000D_
Any panelist or NSF staff who had a conflict of interest with this project left the room before discussion began and did not participate in any way in the review and decision process. Each project in the panel was reviewed based on the intellectual merit of the proposed activity, its relevance to the objectives, the broader impacts of the proposed activity, and the integration of research and education.  _x000D_
_x000D_
Projects were given a recommendation of HC, C, LC, or NC (that is, "Highly Competitive," "Competitive," "Low Competitive" or "Not Competitive"), with the counts on the panel listed above, and those in HC and C were ranked by the panel. The panel recommendation was based on substantive comments from both individual reviews and the collective assessment of the project by the panel, as discussed during the panel meeting and documented by the scribe. The resulting panel summary and copies of all individual reviews are included in the electronic jacket, and copies of the panel summary and individual reviews are available to the PIs in FastLane. _x000D_
_x000D_
Project Summary: _x000D_
The proposal involves the development of algebraic and computational tools to study problems in multiple view geometry, rigidity of networks, and tensor decomposition. Applications to diverse applications is also presented including multi-view geometry, collaborative navigation, and medical imaging and brain-computer interfaces. _x000D_
_x000D_
Intellectual Merit:  The PI is clearly qualified and can bring together a diverse set of areas.  One reviewer thought the Geometry lab unified the projects; the others didn't see the research questions for the Lab or how the "loosely coupled" problems fit within an overarching vision.  All agreed that there was not enough said about the plan for evaluation of the research -- what would allow the PI to say that the research was successful. _x000D_
_x000D_
Broader Impact:  The panel had only positive things to say on broader impact. _x000D_
_x000D_
Integration of Research and Education: The plans for a Geometry Lab show that the PI is thinking creatively about how to integrate research and education, however, as the reviews and summary suggest, not all panelists got the idea of how this fit into the project.  All wanted more on how to decide if the Lab was successful. _x000D_
_x000D_
Reviews:  Because of the diversity of the mathematics and applications in the proposal, reviews from external experts in each area were sought to complement the 3 reviews by panelists.  The highest score (V) was from the mathematically-oriented external reviewer, who found the proposal well-conceived and thought the geometry lab integrated the four projects. _x000D_
The other (G) liked the project, but pointed to many references in the multiview geometry and visualization literature, and thought that implications of noise in the data would have to be considered._x000D_
The panel reviewers (G,G,F) considered these along with their own reviews in creating the panel summary.  One of them stated a lack of expertise, and the F was a little harsh for a score relative to the others, but the consistency of the review comments gives me confidence in the panel recommendation. _x000D_
 _x000D_
Recommendation: _x000D_
As Program Director, I evaluated this proposal for funding in light of its intellectual merit and broader impacts relative to the goals of the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 I concur with the panel's assessment and recommend that this project be declined. _x000D_
_x000D_
_x000D_
Jack Snoeyink _x000D_
7 Nov 2016_x000D_
_x000D_
For the AF team: _x000D_
Tracy Kimbrel, Rahul Shah, and Jack Snoeyink</t>
  </si>
  <si>
    <t xml:space="preserve">In the context of the five review elements, please _x000D_
evaluate the strengths and weaknesses of the proposal with respect to intellectual merit._x000D_
_x000D_
The PI plans to study several concrete problems in computational algebraic geometry with applications to fields like computer vision and fMRI measurements. The main research goals are:_x000D_
1) Understand the varieties corresponding to the configuration space of possibilities coming from multiple views of the same object._x000D_
2) Understanding computational problems involved with synthesizing large numbers of distance measurements._x000D_
3) Understand the moduli space of frames of various sorts._x000D_
In addition to hopefully requiring the introduction of new practical tools for employing these techniques, several of the projects if successful may help further our understanding of problems such as computer vision._x000D_
_x000D_
In the context of the five review elements, please _x000D_
evaluate the strengths and weaknesses of the proposal with respect to broader impacts._x000D_
_x000D_
The proposal has several avenues for possible broader impacts:_x000D_
1) Several of the proposed projects could have more or less immediate practical applications to things like computer vision and navigation. _x000D_
2) The PI has plans for coordinating seminars and writing a book on these topics. _x000D_
3) The PI has plans to create an educational center making use of various 3D technologies (like 3D printing and VR) to give students a more hands on experience with various geometric ideas._x000D_
These seem to be roughly on par with other proposals in the field. Additionally, (3) seems like at the very least an interesting idea to try out._x000D_
_x000D_
Please evaluate the strengths and _x000D_
weaknesses of the proposal with respect to any additional solicitation-specific review criteria, if _x000D_
applicable_x000D_
_x000D_
Although much of the proposed research seems fairly doable (the proposal has a detailed plan for how to complete it), I worry that too much of it is incremental. Many of the problems seem to be computational in nature and many seem potentially solvable merely by the application of sufficient computing power and without the advent of significant new ideas. The proposal could be strengthened if more time could be spent discussing what sorts of new insights might be looked for in order to accomplish these goals and how these insights might have broader applications._x000D_
_x000D_
Summary Statement_x000D_
_x000D_
An interesting proposal discussing problems with a number of applications and other broader impacts. However, the work might be too incremental._x000D_
_x000D_
</t>
  </si>
  <si>
    <t xml:space="preserve">In the context of the five review elements, please _x000D_
evaluate the strengths and weaknesses of the proposal with respect to intellectual merit._x000D_
_x000D_
This proposal describes four distinct projects that revolve around a common theme in algebraic geometric:_x000D_
_x000D_
- AU Geometry Lab: This lab will serve as a teaching and research resource for the simulation and visualization of various concepts in multi-dimensional geometry._x000D_
_x000D_
- Multi-view and multi-focal varieties: Exploration of core algebraic issues related to the reconstruction of 3-dimensional models from multiple camera views._x000D_
_x000D_
- Collaborative navigation: Approaches from algebra and the theory of graph rigidity applied to the problem of establishing absolute positions of a set of objects based on their relative positions._x000D_
_x000D_
- Fusion Frames, Tensors, and Brain Science: Study of the varieties of fusion frame decomposable tensors with an application to the fusion and analysis of brain-scan data from two different sources (fMRI and EEG)._x000D_
_x000D_
The PI is an expert in the mathematical aspects of the above problems, and he has a solid track record of publishing in this area. I am less convinced as to whether the theory will have a significant impact on practice (since practical issues like noise, occlusion, and sensor errors would need to be considered). It does appear that the PI is in contact with domain experts on some of these problems, which is positive._x000D_
_x000D_
In the context of the five review elements, please _x000D_
evaluate the strengths and weaknesses of the proposal with respect to broader impacts._x000D_
_x000D_
The proposed work will have applications to the mathematical fundamentals of a number of problems ranging from computer vision to analysis of brain scan data, and the PI plans workshops and seminars to establish outreach to these other communities. The proposed Geometry Lab will be a valuable tool for both education and research. The PI has a strong commitment to recruitment from under-represented groups, and he has concrete plans to work actively to recruit his next student from one of these groups._x000D_
_x000D_
Please evaluate the strengths and _x000D_
weaknesses of the proposal with respect to any additional solicitation-specific review criteria, if _x000D_
applicable_x000D_
_x000D_
_x000D_
_x000D_
Summary Statement_x000D_
_x000D_
This is an intriguing proposal, but I must admit that it is in an area that is rather far from my own areas of expertise. I applaud the PI's approach, which combines a strong focus on educational development, real-world applications, and a rigorous application of algebraic tools. The PI has a demonstrated a solid track record in publishing. Due to my lack of expertise, I regret that I cannot comment on the technical merits of the proposal with a higher degree of confidence._x000D_
_x000D_
</t>
  </si>
  <si>
    <t xml:space="preserve">In the context of the five review elements, please _x000D_
evaluate the strengths and weaknesses of the proposal with respect to intellectual merit._x000D_
_x000D_
The PI proposes four research directions:_x000D_
(1) Establish a Geometry Lab to educate students to use modern computational tools; _x000D_
(2) Develop multi-view and multi-focal varieties to improve image reconstruction. _x000D_
(3) Develop new algorithms for collaborative navigation. _x000D_
(4) Study correlation within in image signals for application to medical imaging. _x000D_
_x000D_
_x000D_
Strengths:_x000D_
_x000D_
++ The author proposes to leverage his expertise in tensors from both algebraic and geometric perspectives to develop new algorithms that may impact tools in computer vision (e.g. 3D reconstruction), medical imaging (e.g. fMRI-EEG) and collaborative navigation. _x000D_
_x000D_
Weaknesses:_x000D_
_x000D_
-- The proposal contains many interesting driving applications and research questions; however the proposal is missing a "grand vision" statement, that is, how the various research topics fit into a unified research vision. The proposal could be greatly improved if a global picture is presented that units the proposed research directions, preferably at the beginning of the proposal. _x000D_
_x000D_
-- The various topics in the proposal appear to be very loosely coupled. The research development plan is not very clearly articulated. _x000D_
_x000D_
-- Project 1 undoubtedly is interesting with respect to outreach/ education plan/broader impact; and its later part contains a facility statement. Although the topic is very interesting, it is not clear what  are the key research questions within this project. _x000D_
_x000D_
-- The proposal is missing a concrete evaluation plan to access the results of the proposed research and their potential impact. _x000D_
_x000D_
-- The description of research plan is too technical for non-experts. The PI should consider a high level, intuitive description of the proposed research before diving into technicalities. _x000D_
_x000D_
_x000D_
In the context of the five review elements, please _x000D_
evaluate the strengths and weaknesses of the proposal with respect to broader impacts._x000D_
_x000D_
Strength:_x000D_
_x000D_
++ The PI is currently mentoring two graduate students and is devoted to recruit from under-represented groups, in particular, hispanic students. _x000D_
_x000D_
++ The PI also has very concrete plans in organizing workshops. _x000D_
_x000D_
++ The PI plans to write expository articles on the topics of the proposal.  _x000D_
_x000D_
++ The establishment of an Auburn Geometry Lab will help train both undergraduate and graduate students with computational tools. _x000D_
_x000D_
Weakness:_x000D_
_x000D_
-- The proposed lab could be used to conduct projects related to computational algebra. However, it is not clear how some of the  capabilities provided by the lab (e.g., the virtual and augmented reality) are closely related to the proposed research tasks (Project 2 to 4). _x000D_
_x000D_
-- There is limited boarder impact (i.e. advance desired societal outcomes) described for Project 2 to 4._x000D_
_x000D_
Please evaluate the strengths and _x000D_
weaknesses of the proposal with respect to any additional solicitation-specific review criteria, if _x000D_
applicable_x000D_
_x000D_
_x000D_
_x000D_
Summary Statement_x000D_
_x000D_
Overall the proposal contains interesting research ideas; however, a grand vision is missing that could unify the collection of ideas._x000D_
_x000D_
</t>
  </si>
  <si>
    <t>HA0799423</t>
  </si>
  <si>
    <t>Streinu</t>
  </si>
  <si>
    <t>istreinu@smith.edu</t>
  </si>
  <si>
    <t xml:space="preserve">In the context of the five review elements, please _x000D_
evaluate the strengths and weaknesses of the proposal with respect to intellectual merit._x000D_
_x000D_
1. What is the potential for the proposed activity to_x000D_
advance knowledge and understanding within its own field or across different fields_x000D_
_x000D_
The proposal aims at developing algebraic and computational techniques for_x000D_
understanding various spaces, types or varieties of tensors connected to known or_x000D_
emerging applications in multi-view geometry, collaborative navigation and _x000D_
possibly medical imaging and brain-computer interfaces. The PI has a proven record_x000D_
of contributions to the algebra and geometry of tensors and the correlated topics_x000D_
proposed for investigation do promise an advancement of knowledge in this area._x000D_
Some directions (e.g. fusion frame decomposable tensors) are at early stages of_x000D_
development and entail both opportunity and uncertainty. The educational dimension of the proposed activities is well conceived and well integrated._x000D_
_x000D_
2.	To what extent do the proposed activities suggest and explore creative, original, or potentially transformative concepts?_x000D_
_x000D_
A significant proportion of the techniques and lines of investigation of the_x000D_
projects (2), (3) and (4) are of fairly recent date or even 'nascent'. The PI_x000D_
has chosen problems and applications which seem good testing grounds for _x000D_
new numerical and tensor related methods._x000D_
_x000D_
On the other hand, some motivating problems in computer vision have been around for many years.  The proposal has identified several useful ideas, such as the role of rigidity;  the combination of theoretical and computational approaches is sensible and important for this kind of questions.  _x000D_
_x000D_
3.	Is the plan for carrying out the proposed activities well-reasoned, well-organized, and based on a sound rationale? Does the plan incorporate a mechanism to assess success?_x000D_
_x000D_
The four projects are well integrated in the overall proposal, with (1) - the  Geometry Lab - as a common platform. _x000D_
_x000D_
4.	How well qualified is the individual, team, or organization to conduct the proposed activities?_x000D_
_x000D_
The PI has a distinguished record of scholarly activity and has knowledge and contributions in all areas proposed for investigation._x000D_
_x000D_
_x000D_
5.	Are there adequate resources available to the PI (either at the home organization or through collaborations) to carry out the proposed activities?_x000D_
_x000D_
Yes, and the PI is making good use of existing resources (high performance computing, collaborations)_x000D_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_x000D_
_x000D_
The project has a cross-disciplinary character and will stimulate interaction and collaboration between mathematicians, engineers and computer scientists. The proposed Geometry Lab may become an important teaching and educational asset of the home institution: it complements existing resources and the function and orientation described by the PI are sustainable._x000D_
_x000D_
Please evaluate the strengths and _x000D_
weaknesses of the proposal with respect to any additional solicitation-specific review criteria, if _x000D_
applicable_x000D_
_x000D_
_x000D_
_x000D_
Summary Statement_x000D_
_x000D_
The proposal is well conceived, with a comprehensive research and educational plan. It builds on the PIs expertise and interests, and nicely integrates the available resources at his university. The educational component is important and likely to contribute to improving math education via a geometry lab that will be set up,  integration of computational and visualization tools and choice of research projects for the students.  _x000D_
_x000D_
One concer  is that, on the research side, there is no plan for assessing success  or for "falling back" if the problems may turn out to be too hard to crack._x000D_
_x000D_
</t>
  </si>
  <si>
    <t>EG0857790</t>
  </si>
  <si>
    <t>rvidal@jhu.edu</t>
  </si>
  <si>
    <t xml:space="preserve">In the context of the five review elements, please _x000D_
evaluate the strengths and weaknesses of the proposal with respect to intellectual merit._x000D_
_x000D_
SUMMARY_x000D_
_x000D_
The intellectual merit of the proposed work is the development of algebraic geometric and computational tools to study problems in multiple view geometry, rigidity of networks, and tensor decomposition. Specifically:_x000D_
_x000D_
1) The proposed work in multiple view geometry will use parallel computing tools to study the defining equations of multi-view and multi-focal varieties, and compute the algebraic, Euclidean, and maximum likelihood degrees of those varieties. While these equations are in principle defined for m projections from P^{N-1} to P^{n-1} for any (N,n,m), this project will focus in some particular cases where N&lt;=5, n&lt;=4, m&lt;=5. The main reason being that the dimensions of the spaces of polynomials is ~ 10^9 even for small problems. The main tool that will be used is the parallelization of the Young symmetrize algorithm._x000D_
_x000D_
2) The proposed work on network rigidity will study methods for finding a rigid network from a minimal number of edge measurements and use it to share partial GPS data over a network._x000D_
_x000D_
3) The proposed work in tensor factorization will study the variety of fusion frame decomposable tensors, also with the goal of determining degrees, dimensions and defining equations. This work will be applied to correlate EEG and fMRI data arranged as tensors._x000D_
_x000D_
STRENGTHS_x000D_
_x000D_
1) The PI has a very solid prior record on the main areas of the proposed work._x000D_
_x000D_
2) The work proposed in Project 2 will address a key bottleneck in applying algebraic geometric methods to multiple view geometry, namely computational complexity._x000D_
_x000D_
3) Work on frames has had great impact in signal processing and compressed sensing, but connections with tensors and the use of algebraic geometric tools to study tensor factorization problems in the context of frames seems novel and intriguing, and could open up extensions of frame theory to algebraic manifolds._x000D_
_x000D_
WEAKNESSES_x000D_
_x000D_
1) The PI does not appear to have good knowledge of the literature in multiple view geometry. It claims that "many of the geometric and algebraic properties of the_x000D_
multi-view variety have only just recently been discovered" to then cite recent work by Stumfelds [4,26]. It would have been nice to acknowledge that many of the geometric and algebraic properties of multifocal tensors were heavily studied in the 80s and 90s, including (just to mention a few examples)_x000D_
_x000D_
- the work of Longuet-Higgins in 1981_x000D_
- the work on Amnon Shashua on trilinearities around 1994_x000D_
- Algebraic Properties of Multilinear Constraints, Heyden and Astrom, 1997_x000D_
- the work of Yi Ma on the multiple view matrix, 2004_x000D_
_x000D_
Overall, it would have been nice if the PI would have clarified what was done in the past and what was not. I have difficulty seeing if there is anything new really in the papers of Sturmfelds [4,46] relative to what was already done in the 80s and 90s, therefore clarifying what is new in [4,46] would have helped better assess the novelty of what is being proposed._x000D_
_x000D_
2) The PI does not seem aware of prior work in multiple view geometry for cases N&gt;3 and n&gt;2. I think that rather than attempting to address some random particular cases, it may be better to focus on cases that are relevant to applications of multiple view geometry, such as multi body multi view geometry, and nonrigid multi view geometry. In particular, prior work in this area includes_x000D_
_x000D_
- On Projection Matrices\ mathcal {P}^ k\ to\ mathcal {P}^ 2, k= 3,..., 6, and their Applications in Computer Vision, Lior Wolf, Amnon Shashua, 2002_x000D_
- Nonrigid shape and motion from multiple perspective views, Vidal, Abretske, 2006_x000D_
- Reconstruction from Projections Using Grassmann Tensors, Richard I. Hartley, Frederik Schaffalitzky, 2009._x000D_
_x000D_
My suggestion would be to focus on some of the specific varieties that show up in multi view geometry and nonrigid multi view geometry._x000D_
_x000D_
3) Issues of noise or errors do not seem to be addressed. For example, in the GPS application, GPS data will not be exact, so the observations may not exactly lie in the range of the map psi in page 7. How will that be handled? Likewise, EEG and fMRI data will be corrupted and so tensors will not be low rank. How will that be handled?_x000D_
_x000D_
4) The technical description of the proposed work is somewhat succinct. By and large, an excellent motivation of the potential applications of various problems is given, followed by a very brief description of the mathematical formulation of such problems,  a quick summary of the prior results on particular cases, and ultimately the reader is asked to believe that the prior results can be extended but no specific path for the extension is provided._x000D_
_x000D_
In the context of the five review elements, please _x000D_
evaluate the strengths and weaknesses of the proposal with respect to broader impacts._x000D_
_x000D_
STRENGTHS_x000D_
_x000D_
1) Project 1 is a very well articulated broad impact project within the proposal. I highly appreciate that the PI plans to not only develop computational tools, but also have the geometry lab. _x000D_
_x000D_
2) The applicability of the algebraic geometric and computational tools to problems in multiple view geometry, especially enabling the possibility of solving minimal problems inside a RANSAC algorithm for doing motion estimation and 3D reconstruction from multiple views. This is something that is routinely done today for N=3, n=2, m=2,3, and isn't done for higher values because it takes to long. Anything that can be done to make algebraic geometric algorithms significantly faster than they are today will have great impact in geometric computer vision._x000D_
_x000D_
3) The applicability of tensor factorization methods to the integration of EEG and fMRI data is novel, and the application problem (integration of EEG and fMRI) is very relevant._x000D_
_x000D_
4) Plans to train students and postdocs, commitment to diversity (including a trip to Puerto Rico to recruit hispanic students), algebraic vision workshops, book, etc._x000D_
_x000D_
WEAKNESSES: _x000D_
1) Since classical multiple view geometry addresses the case N=3 and n=2, the real advantage of the methods from a practical point of view is to address m&gt;3. While one such case will be addressed, the other cases N&gt;3 n&gt; 2 are of relevance to other applications in multiple view geometry, such as multi-body structure from motion and non-rigid structure from motion, which the PI didn't mention. The impact of the proposed techniques to specific multi-view geometry problems requiring N&gt;3 and n&gt;2 was not properly articulated._x000D_
_x000D_
2) While the applications to collaborative navigation is interesting, it is really a stretch. Specifically, while all of the motivation is about autonomous driving, and fusion of multimodal data, there is actually a lot of research on how to do that in the robotics community, and I wasn't convinced how the specific approach would really have an impact in autonomous driving._x000D_
_x000D_
Please evaluate the strengths and _x000D_
weaknesses of the proposal with respect to any additional solicitation-specific review criteria, if _x000D_
applicable_x000D_
_x000D_
_x000D_
_x000D_
Summary Statement_x000D_
_x000D_
The project will develop algebraic geometric and computational tools for finding algebraic equations and degrees of algebraic varieties showing up in problems in multiple view geometry, networks, and tensor factorization in frames. The proposed methods promise to accelerate the solution of various minimal problems through the use of parallel algorithms. Overall, this is a very well written proposal, that addresses important problems, and some of the proposed methods could have impact in the application domains. At the same time, the technical description of the proposed research is somewhat succinct and references to important prior work are missing to better assess novelty. Moreover, the methods seem to be applicable only to noiseless data, while in all applications the data will be corrupted._x000D_
_x000D_
</t>
  </si>
  <si>
    <t>Advancements in our interactions with electronic devices depend on our ability to train computers to understand the world. While modern smart phones are ubiquitous in the developed world, and mass-market self-driving cars are visible on the horizon, we are still learning what is possible. However, we are limited because there simply aren't enough researchers with adequate knowledge and training to work in the field and to help develop the products of the future. In addition, we still have much to learn; for instance, since the seminal work by Hartley and Zisserman on Multi-View Geometry in Computer Vision, and major advances like the construction of the GPS network, there are still numerous fundamental algebraic questions to be answered and there is still a need for new algorithms to be developed.This proposal aims to overcome these barriers with a mixture of pure and applied research together with seamlessly integrated educational aspects._x000D_
Project 1: The AU Geometry Lab (Setup in year 1, usage in years 1-5). This will be a unique resource for Auburn University for integrated active learning and research using virtual reality, augmented reality, 3D printing and scanning, and large-scale computational algebra. Existing computational algebraic tools will be improved, cluster computing resources will be leveraged, and state of the art equipment will be used for testing, simulation, and visualization. _x000D_
Project 2: Algebraic Vision (Years 2-5). Multi-view Geometry, a branch of Computer Vision has been popular for least 20 years, with concepts dating back as far as the Italian Renaissance, however there is still a wealth of interesting open algebraic questions.  Minimal defining equations, and the algebraic, Euclidean, and maximum likelihood degrees will be computed for multi-view and multi-focal varieties, which are core algebra-geometric objects in image reconstruction._x000D_
Project 3 :Collaborative navigation (Years 1-5). Current approaches to combining different data types (inertial data, full or partial GPS data, and ranges between nodes) in a dynamic network include linearization and Kalman filters to attempt to balance the advantages of each data type.  However, algebraic and combinatorial aspects have not yet been fully exploited.  New algorithms will be developed for ad hoc mobile network communication and navigation using the theory of rigid and almost-rigid graphs, rigidity matroids, and their algebraic and geometric properties. _x000D_
Project 4: Fusion Frames, Tensors, and Brain Science} (Years 1-2). The PI, Robeva, and Sturmfels introduced Frame-Decomposable Tensors (fradeco tensors) making new connections between  Frame Theory (a branch of Functional Analysis) and Combinatorial \&amp; Algebraic Geometry.  This line of investigation will be extended to (non-symmetric) fusion frame decomposable tensors.  This theory will be applied with new and existing tensor decomposition algorithms to find correlations between fMRI and EEG data, advancing Medical Imaging and Brain Science.The PI is a leader in tensors and their algebra and geometry. He will forge cross-disciplinary collaborations between engineers, computer scientists, and mathematicians. The algorithms developed will inform the advancement of new tools and methods in Computer Vision, Medical Imaging and Brain Science, and Collaborative Navigation. New mathematical ideas will be immediately applied in the proposed AU Geometry Lab using 3D vision, virtual and augmented reality, and 3D printing.  The PI will coordinate seminars and organize two research workshops (focused on Algebraic Vision in Year 2, and on Frames, Matroids and Collaborative Navigation in Year 4). The educational aspects of this project will help train the next generation of scientists, strengthen connections between diverse fields, and disseminate new knowledge.  Students will not only help with cutting edge research, they will gain valuable technical skills that will make them stand out on the job market.</t>
  </si>
  <si>
    <t>P172027</t>
  </si>
  <si>
    <t xml:space="preserve"> TRIPODS Panel 1</t>
  </si>
  <si>
    <t>Not Recommended</t>
  </si>
  <si>
    <t>NR</t>
  </si>
  <si>
    <t xml:space="preserve"> Panel Summary       
 _x000D_
This proposal aims to create a multidisciplinary data science institute at CCNY. The three foundational topics the PIs propose to investigate are: 1) Stability and complexity, 2) time-dependent data, 3) networks, dynamics and outcomes, and their applications to biology and medicine. The proposed center-like activities include a) a series of seminars and workshops, b) visiting scholars or consultants, c) training undergraduate, MS, PhD students and postdocs, and d) curriculum development in Data Science at CCNY. _x000D_
_x000D_
_x000D_
Intellectual Merit: _x000D_
_x000D_
Strengths _x000D_
_x000D_
+The proposed  research topic on  networks is timely and general. _x000D_
_x000D_
+Qualified research team especially with some of the team members' expertise on biological and neuroscience applications _x000D_
+Strong applications component. _x000D_
_x000D_
_x000D_
Weaknesses _x000D_
_x000D_
_x000D_
-The vision for the foundation of data science seems to be a little bit narrow. _x000D_
_x000D_
-The proposal does not include a well-organized research plan; it lacks sufficient depth and novelty. _x000D_
_x000D_
_x000D_
Broader Impact: _x000D_
_x000D_
Strengths _x000D_
_x000D_
+ The proposal has satisfactory strategies for workforce development. _x000D_
+ The proposal has a clear plan for ongoing assessment of all institute activities. _x000D_
+ The proposal anticipates curriculum development across the sciences at CCNY and CUNY. _x000D_
_x000D_
_x000D_
Weaknesses _x000D_
_x000D_
-None noticed. _x000D_
_x000D_
_x000D_
TRIPODS-specific criteria: _x000D_
_x000D_
weakness: _x000D_
_x000D_
-The proposal does not present a broad vision for the foundational aspects. _x000D_
_x000D_
- The synergistic activities  between the three areas of mathematics, statistics and computer science were seen as lacking. _x000D_
_x000D_
Collaboration and Evaluation Plan: _x000D_
_x000D_
The proposal has a clear plan for ongoing assessment of all institute activities. _x000D_
_x000D_
Data Management Plan: A brief data management plan is included and is adequate. _x000D_
_x000D_
Post-doctoral Mentoring Plan: adequate. _x000D_
_x000D_
_x000D_
Justification for Panel Rating: The lack of a clearly articulated vision for the foundations of data science and the narrowness of the proposed research lead the panel to place this proposal in the Not Recommended category. _x000D_
_x000D_
Panel Rating: _ Not Recommended _x000D_
_x000D_
The summary was read by/to the panel and the panel concurred that the summary accurately reflects the panel discussion.  
</t>
  </si>
  <si>
    <t xml:space="preserve">TRIPODS Review Analysis_x000D_
_x000D_
Panel Recommendation: Not Recommended (NR) or Not Discussed in Panel (NDP)_x000D_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Panel Ranking: _x000D_
_x000D_
This proposal was among the 20 rated NR and NDP._x000D_
_x000D_
Analysis and recommendation:_x000D_
_x000D_
NR and NDP proposals typically suffered from one or more substantial flaws regarding intellectual merit, broader impacts, or relevance to the program.  Issues of intellectual merit could include a failure to advance knowledge significantly within the field or poor organization of the proposed work.  Issues of broader impacts could include weakness of educational aspects or little expected benefit of the proposed activity to society.  The proposal may also have suffered from lack of sufficient motivation or justification for the proposed activities, lack of clarity or sufficient detail, weak or missing dissemination and evaluation plans, or a poor or missing research plan. The panel summary and individual reviews document the particular deficiencies of this proposal as evaluated by the panel. 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and my recommendation is that this proposal be declined.  _x000D_
_x000D_
_x000D_
Tracy Kimbrel, Program Officer _x000D_
Division of Computing and Communication Foundations _x000D_
Aug 3, 2017 _x000D_
_x000D_
On behalf of the TRIPODS Management Team _x000D_
Nandini Kannan _x000D_
Tracy Kimbrel _x000D_
Jack Snoeyink _x000D_
Christopher Stark _x000D_
_x000D_
</t>
  </si>
  <si>
    <t>WH0900411</t>
  </si>
  <si>
    <t>Day</t>
  </si>
  <si>
    <t>sday@math.wm.edu</t>
  </si>
  <si>
    <t xml:space="preserve">In the context of the five review elements, please _x000D_
evaluate the strengths and weaknesses of the proposal with respect to intellectual merit._x000D_
_x000D_
This project seeks to form a multidisciplinary data science institute at CCNY that also reaches out to other CUNY campuses.  The main research theme is network theory in problems from biology and medicine.  More specifically, the proposal focuses on stability and complexity, time dependent data, and networks and network dynamics.  They propose a series of workshops to focus on both theory and practice, graduate student and postdoc fellowships to support interdisciplinary collaboration, external visitors working between traditional areas, and curriculum development in Mathematics and Computer Science.   One strength of the proposal is that the proposed research projects appear to be inherently interdisciplinary, each requiring input from two or three of the focus areas (Mathematics, Computer Science, and Statistics) in addition to interesting data sets and/or questions from biology, medicine, or physics.  This proposal features strong, application-aware research including attention to dynamic aspects of data and detailed plans for developing a unifying curriculum.  Industry engagement and developing common terminologies an concepts are also featured in the proposal.  End-to-end provenance, reproducibility, privacy, and fairness were not emphasized._x000D_
_x000D_
In the context of the five review elements, please _x000D_
evaluate the strengths and weaknesses of the proposal with respect to broader impacts._x000D_
_x000D_
The proposal anticipates curriculum development across the sciences at CCNY and CUNY.  In particular, they aim to extend and support an anticipated (2018-19) Data Science and Engineering Master's program so that data science training reaches the full range of students (interdisciplinary training for undergraduate through graduate level).  In addition, CCNY is a Majority Minority Serving Institution.  Expansion to other CUNY campuses is anticipated for Phase II.  One goal is a new interdisciplinary program leading to a degree in Data Science.  Institutionalized Data Science program BS, MS, and PhD are anticipated for Phase II.  This represents a broad educational push toward a unified data science curriculum._x000D_
_x000D_
_x000D_
Please evaluate the strengths and _x000D_
weaknesses of the proposal with respect to any additional solicitation-specific review criteria, if _x000D_
applicable_x000D_
_x000D_
The proposal includes a reasonable general plan for fostering interdisciplinary collaboration and training through regular seminars, one or two intensive multiday workshops each year, 1-2 visiting scholars (2 person months per year), and co-advising of postdocs, graduate, and undergraduate students.  The PI and co-PIs have a solid record of interdisciplinary collaboration as well as institutional leadership.  The plans to establish a Data Science Masters Degree (in the Computer Science Department), hire a data scientist in the Mathematics Department, publish papers in the three main research areas combining theory and applications, implement specific curricular goals, and reach out to laboratories and other facilities in the CUNY system are all strengths of the proposal.  The Collaboration and Evaluation Plan should have included more detail on the breakdown of goals by project phases as well as specific evaluative metrics that would allow for adaptation of projected plans.  I also would have preferred to see more information on the anticipated total number of participants and the intended mentorship structure._x000D_
_x000D_
_x000D_
Summary Statement_x000D_
_x000D_
This is a good proposal, combining PI's and co-PI's with strong records of interdisciplinary research and institutional leadership and presenting a clear vision for developing data science research and curricula.  The potential for longterm institutional buy-in through the establishment of curricular changes, a new degree program, and a new hire are all positive.  The proposal would be further strengthened by including a more detailed breakdown of activities by phase (Phase I vs. Phase II) as well as evaluative metrics for determining success and better/more efficient allocation of future resources._x000D_
_x000D_
_x000D_
</t>
  </si>
  <si>
    <t>PA0990410</t>
  </si>
  <si>
    <t>lizhen.lin@nd.edu</t>
  </si>
  <si>
    <t xml:space="preserve">In the context of the five review elements, please _x000D_
evaluate the strengths and weaknesses of the proposal with respect to intellectual merit._x000D_
_x000D_
+The proposal proposes research on a timely and general research topic: networks. _x000D_
+Qualified research team especially the biological and neuroscience application motivated the research _x000D_
_x000D_
-not well-organized research plan, the research part of the proposal is overall not well-written_x000D_
-proposed foundational issues are being actively pursued in the scientific  literature_x000D_
_x000D_
In the context of the five review elements, please _x000D_
evaluate the strengths and weaknesses of the proposal with respect to broader impacts._x000D_
_x000D_
+Given the research expertise in the domain areas such as in biology and neuroscience, this particular topic of network is likely to have large impact on the research community, and also the study body in CUNY_x000D_
_x000D_
+The proposal has a detailed training plan. They propose budget for 1 postdoc, 3 graduate students and 4 undergraduates._x000D_
_x000D_
Please evaluate the strengths and _x000D_
weaknesses of the proposal with respect to any additional solicitation-specific review criteria, if _x000D_
applicable_x000D_
_x000D_
_x000D_
_x000D_
Summary Statement_x000D_
_x000D_
This proposal proposes  to establish a multidisciplinary data science institute at CCNY, with the research focus on networks, and applications to biology and medicine. The foundational aspects of networks the PIs propose to study are stability and complexity (the robustness of the outputs), analysis of time-dependent networks (e.g., classification issues, causal implications based on temporal data), and the dynamics of networks and outcomes.  Some of the strengths of the research component of the proposal are the timely and important research theme; they networks, a very general important topics with many foundational issues. The PIS contain many experts in neuroscience and biology which are important domain areas motivating research related to networks (especially network dynamics and etc). They have  very concrete and important examples of applications in biology and neuroscience which is very good.  There are some concerns that the description of research is too brief and not clearly enough. For example, when discussing the issue of Stability and Complexity, the PIs mentions about the complexity of homology, but it is not clearly how it is related to networks here since they are not proposing to study the networks from topological point of view.  The overall impression that the research description can be more detailed and organized.  Also there has been a huge literature studying the temporal network data, and also the dynamics of networks (e.g., a group at Northeaston on network dynamics and various groups studying the temporal neural and biological data). The proposal fails to make connection to the literature and is not clear on what is the new foundational approach they will adopt here. Overall the proposal lacks a clear new vision for the research of the proposal.  In addition, the team lacks a statistics person with statistical modeling of theory skills. _x000D_
_x000D_
The education/training plan is much more detailed which mainly has four components:_x000D_
a) A series of seminars and workshops&amp;#8232;b) Visiting scholars or consultants&amp;#8232;c) Support for undergraduate, MS, PhD and postdoctoral trainees_x000D_
d) Curricular development in Data Science at CCNY _x000D_
_x000D_
Given the highly interdisciplinary environment of the CUNY, I think it is likely they will be successful with the training program. _x000D_
_x000D_
_x000D_
</t>
  </si>
  <si>
    <t>CY0850971</t>
  </si>
  <si>
    <t>Xu</t>
  </si>
  <si>
    <t>jinhui@buffalo.edu</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</si>
  <si>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multidisciplinary data science institute at CCNY, emphasizing the role of networks, and applications to biology and medicine. The proposal mainly addresses three scientific issues in data science, a) Stability and complexity, b) Time dependent data, c) networks, dynamics and outcomes, and their applications in analyzing various types of biomedical data. The proposed center will enhance the curriculum development of a new  Data Science Engineering MS program and extend it into a more comprehensive, cross-major and department program. _x000D_
_x000D_
_x000D_
b)	Did the proposal identify specific research topics and clearly describe the roles of the mathematics, theoretical computer science, and statistics communities in addressing these foundational challenges?_x000D_
_x000D_
The proposal identified three major research topics/issues, a) Stability and complexity, b) Time dependent data, c) networks, dynamics and outcomes, and plans to use statistical inference theory, the complexity theory of computation, homology theory and dynamical systems to address them. It clearly describes the roles of mathematics, theoretical computer science, and statistics communities in addressing these foundational challenges._x000D_
_x000D_
_x000D_
_x000D_
c)	Did the proposal describe novel center-like activities? _x000D_
_x000D_
The proposed center-like activities include  a) A series of seminars and workshops,_x000D_
b) Visiting scholars or consultants, c) Support for undergraduate, MS, PhD and postdoctoral trainees, and d) Curricular development in Data Science at CCNY. _x000D_
_x000D_
d)	Please comment on the Interaction and Synergy among the 3 communities._x000D_
_x000D_
There are plenty of interaction and synergy among the 3 communities in the proposal._x000D_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adequately addressed the broad themes of Application-aware foundational research, Unifying curricula, Dynamic aspects of data. Other themes seem to be insufficient._x000D_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employ mathematics, statistics and complexity theory to help understand foundational issues of great importance in data science with applications in many fields. _x000D_
_x000D_
It will develop new curricula and research opportunities and thus will contribute to the training and career development of a new cadre of data scientists, many of whom will be from underrepresented groups. _x000D_
_x000D_
The proposed institute will support long and short term visitors, workshops in the various areas of study, post-docs and regular seminars.  _x000D_
_x000D_
b)	Did the proposal identify specific broader impact activities and clearly describe the roles of project personnel in addressing these challenges?_x000D_
_x000D_
The project personnel has clear roles in these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has identified 3 key topics in data science, and proposed to use techniques from mathematics, statistics, and theoretical computer science to solve them. The proposed research is mainly the application of some existing techniques and thus may not be viewed as solid theoretical foundations of data science. The proposal is mainly based on mathematics and statistics techniques, and the role of theoretical computer science seems to be minor._x000D_
_x000D_
The proposed activities certainly encourage collaboration and interaction among the three communities of TRIPODS._x000D_
_x000D_
_x000D_
b.	Does the proposal address the 'broad themes of the program' listed in the Program Description?_x000D_
_x000D_
The proposal adequately addressed part of the broad themes. _x000D_
_x000D_
c.	Does the proposal address strategies for workforce development, including novel educational and training activities?_x000D_
_x000D_
The proposal has a satisfactory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 _x000D_
_x000D_
e.	Vision: Is there a strong case for the ability to identify and articulate a vision for the foundations of data science? _x000D_
_x000D_
The vision for the foundation of data science seems to be a little narrow.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consists of a large group of PIs with complementary expertise. Each of them has a well defined role in the project. _x000D_
_x000D_
g.	Is there a well-developed plan for communication and interaction with the domain sciences and industry?_x000D_
_x000D_
The  communication and interaction with the domain sciences and industry is  a little unclear and needs to be better addressed. _x000D_
_x000D_
_x000D_
h.	Does the proposal provide a clear plan and rationale for an investment of the size proposed, including clear plans to develop capacity for potential future Phase II operations?_x000D_
_x000D_
The proposal addressed the potential for phase II operations. But the it is not clear what are the capacities.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_x000D_
Summary Statement_x000D_
_x000D_
This proposal aims to establish a multidisciplinary data science institute at CCNY. It identified several common challenges in data science, related to biomedical data. The proposed approaches are mainly applications of some existing techniques from the 3 communities. The overall novelty seems to be a little lacking. The role of theoretical computer science in the proposed research seems to be minor, and is expected to be strengthened._x000D_
_x000D_
</t>
  </si>
  <si>
    <t>We propose to establish a multidisciplinary data science institute at CCNY, emphasizing the role of networks, and applications to biology and medicine. The broad goals of this institute will be to see how mathematical and statistical ideas can be applied to fundamental questions about the uses of data and how these theoretical ideas relate to computation and practice, indeed to the very meaning of the results. Moreover, this institute will impact curriculum development in the relevant disciplines of biology, computer science, engineering, mathematics and physics. It will provide an important new training opportunity not only for CCNY students but also for the entire City University of New York (CUNY).Our intellectual issues are:_x000D_
a) Stability and Complexity: How robust are the outputs of data analysis algorithms. Meaningful results must be robust. Problems include model misspecifications, imprecision in data collection and input specification. How does robustness depend on the choice of algorithms used to compute these outputs? What are the most cost-efficient algorithms, and how do they depend on stability? _x000D_
b) Time dependent data: How to do classification when the data set changes with time? How may causal implications be inferred from directed graphs whose vertices are the data?_x000D_
c)  Networks, dynamics and outcomes: Data may reveal a network of interacting elements that are intended to explain some phenomena. The interactions are modeled by dynamics. Can the dynamics be learned from the data? How do the stable states of the dynamics relate to the observed outcomes that the interacting elements are meant to predict? For example, from genomics to cancers, networks of genes are inferred from the data, giving rise to dynamic systems of excitation and inhibition._x000D_
_x000D_
The mathematical and statistical ideas we bring to bear are statistical inference theory, the complexity theory of computation, homology theory and dynamical systems.  The relationship of theory to practice is very dependent on the type of data and its application. For example, networks such as gene regulatory networks and neuronal networks are fundamental and ubiquitous in biology. However, the dynamics of these networks are often imprecisely known, and even the data itself may be difficult to obtain in controlled, repeatable experiments. The institute will primarily be concerned with data coming from biology and medicine. We have identified a core group of collaborators at City College in biology, computer science, medical engineering and physics with ongoing research projects who are willing to examine their use of data and data-oriented theory in depth from the point of view of the three issues above.The Institute will establish at CCNY and CUNY a scientific discipline, not now represented, which will employ mathematics, statistics and complexity theory to help understand foundational issues of great import in data science with applications ranging from evolutionary or cancer biology to transportation systems and even more widely. Our program, which will develop new curricula and research opportunities, will contribute to the training and career development of a new cadre of data scientists, many of whom will be from underrepresented groups. The institute will strengthen education programs in mathematics, computer science, data science, and theoretical sciences at the undergraduate and graduate level at CCNY. New York City has ample professional possibilities in data science. _x000D_
The presence of an institute will clearly help move these plans along, aid in recruiting and vastly enhance our undergraduate and graduate programs. Moreover, the doctoral program of the City University of New York which is located at the Graduate Center is a very highly regarded, but basically theoretical, program. The presence of an Institute at City College interacting at a very high mathematical level would bring data science firmly into the graduate curriculum. The institute would function with long and short term visits, workshops in the various areas of study, post-docs and regular seminars. Ultimately it would give research direction to a large cohort of City University faculty through outreach to our associated City University campuses.</t>
  </si>
  <si>
    <t>Not Discussed in Panel</t>
  </si>
  <si>
    <t>NDP</t>
  </si>
  <si>
    <t xml:space="preserve">_x000D_
This year the Directorate for Computing &amp; Information Science &amp; Engineering in collaboration with the Directorate for Mathematical and Physical Sciences reviewed 83 proposals totaling 60 projects submitted to the Transdisciplinary Research in Principles of Data Science Phase I (TRIPODS) program (solicitation number NSF 16-615). Every effort is made to reach a decision to award or decline most or all proposals within 6 months of the submission deadline.  _x000D_
_x000D_
Each project was considered by a panel of experts along with other projects pertaining to similar topics. Where necessary, external reviews were obtained from reviewers who did not participate in the panel meeting. The reviews of individual panelists were discussed during the panel meetings and a Panel Summary capturing the discussion was produced. For each project, the panel recommendation to NSF was that the project was "Highly Recommended," " Recommended," "Not Recommended," or "Not Discussed in Panel."  _x000D_
_x000D_
Each of the proposals under review by the panel was considered, one at a time, as a candidate for detailed discussion, based on the panelists' individual review ratings. Each proposal with (a) at least one review rating of "Very Good/Good" or better, or (b) with all review ratings of "Good," or (c) with at least one panelist who wished to have a discussion (regardless of reviewer ratings) was retained for in-depth discussion. Reviewers with conflicts of interest on a proposal did not participate in determining whether a proposal would be discussed in depth. Each proposal that was not chosen for in-depth discussion by the panel (i.e., with no review rating of Very Good/Good or higher, with at least one review rating of Good/Fair or lower, and for which no panelist asked for discussion) was placed in the Not Discussed in Panel category, by unanimous consent of the panelists who did not have a conflict of interest with the proposal under consideration. Verbatim copies of individual reviews are being provided to the PIs for those proposals that were subject to abbreviated discussion as a result of this process.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</si>
  <si>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Methodological approaches for very large -omics, wearable computing and neuroimaging data_x000D_
_x000D_
L: 1740562 Crainiceanu, Ciprian Johns Hopkins University $  748,969_x000D_
N: 1740596 Smirnova, Ekaterina University of Montana $  374,812_x000D_
N: 1740613 Jafari, Farhad University of Wyoming $  372,322_x000D_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</si>
  <si>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_x000D_
This is a collaborative proposal among three universities mainly focusing on developing for data analytics tools big medical data. These data are of primarily three types, multi-omics data, wearable gadget data, and neuroimaging data. The data sources are mainly from the Johns-Hopkins medical center to which the PI is affiliated. The other co-PIs from Montana University and Wyoming University are all linked with the research work on biological data._x000D_
_x000D_
The goal of addressing massive data generated in the field of health-care is appropriate and timely. The availability of the data and expertise in the medical field are certainly a must for such a project. In that respect the PIs are well positioned to conduct the research. But, what is missing is the expertise in algorithmic development. There is no theoretical computer scientist involved in the project. I agree with the PIs that they have some institutional advantages, but the team lacks the expertise in theoretical computer science. _x000D_
_x000D_
The proposal mostly focuses on the particularity of the data sets and the need to handle their high dimensionality effectively. Handling massive data effectively goes beyond the expertise of the medical field, and it is appropriate that the team include people who have a solid theory base both in algorithms and mathematics. Otherwise, the proposed solutions which are mostly naive or based on already known numerical techniques wont work for such complex data. The PIs have correctly identified that global structures in data need to be harnessed to address the problem, but they dont offer any new direction to solve this issue. Also, the proposal smacks more like a big-data proposal for a specific type of application, which I gather from the call for proposal is not the goal of TRIPODS, which seeks for more foundational developments._x000D_
_x000D_
_x000D_
_x000D_
_x000D_
_x000D_
In the context of the five review elements, please _x000D_
evaluate the strengths and weaknesses of the proposal with respect to broader impacts._x000D_
_x000D_
The combination of the three institutes is a plus because, as the PIs point out, it gives the opportunity to a large body of students to be familiar with cutting edge research in data analytics. The PIs propose to develop curriculum centered on data science, in particular for medical data. They argue that a host of medical students will benefit from taking these courses and participating in developing tools to analyse such data. They propose to create a repository of data sets and software. If this is done for public use, this will be a big service. This reviewer feels that lack of appropriate publicly available data in the medical field somewhat is stifling its development. Therefore, creation of such a data repository will be an enormous service to the science and society._x000D_
_x000D_
_x000D_
Please evaluate the strengths and _x000D_
weaknesses of the proposal with respect to any additional solicitation-specific review criteria, if _x000D_
applicable_x000D_
_x000D_
This proposal talks about most of the aspects of solicitation:_x000D_
_x000D_
(i) It has a training plan to engage students to analyze different kinds of medical data and fostering cross-disciplinary activities mostly within the medical field. Specifically, it plans to offer courses through MOOCS._x000D_
(ii) It talks about scaling the project to Phase II institute_x000D_
(iii) It proposes to synchronize the activities across three geographically distant institutes through regular meetings. It is not clear how much collaboration is already existing._x000D_
(iv) It proposes to reach out to other experts in the field by regular visits and collaborations._x000D_
(iv) It is not clear how the foundational questions arising in the fields of mathematics and computer science will be addressed because the team lacks expertise in this respect._x000D_
_x000D_
Overall, this is a proposal that meets most of the criteria of the solicitation. It even claims that no other group can have the facility advantage of the kind the team will have. However, the proposal misses on the crucial aspect of TRIPODS which aims to develop foundational concepts of data science. It is shallow in this respect._x000D_
_x000D_
Summary Statement_x000D_
_x000D_
This is not a proposal that meets the criteria of TRIPODS call for proposal. It lacks the foundational aspect of the data science development both in algorithmic theory and mathematics._x000D_
_x000D_
_x000D_
</t>
  </si>
  <si>
    <t xml:space="preserve">In the context of the five review elements, please _x000D_
evaluate the strengths and weaknesses of the proposal with respect to intellectual merit._x000D_
_x000D_
+The proposal propose methodological research for important research problems in biomedical and health sciences. _x000D_
_x000D_
+the research expertise include biostatistics, math(stat) and machine learning._x000D_
_x000D_
- Not enough novelty/depth for the propose research methodologies_x000D_
_x000D_
-no component of foundation theory for the proposal _x000D_
_x000D_
_x000D_
In the context of the five review elements, please _x000D_
evaluate the strengths and weaknesses of the proposal with respect to broader impacts._x000D_
_x000D_
+ involve schools which traditionally receive relatively little funding _x000D_
_x000D_
+ involve school outside JHU_x000D_
_x000D_
+good plan for making online video disseminating their research _x000D_
_x000D_
- does not have a good education plan (no plan of involving students (graduate or undergraduate  students) 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 TRIPODS center at JHU for research and training related to massive health data. The research component focuses on proposing methodological research for biomedical data including multi-omics data, wearable biosignal, and neural-imaging data. _x000D_
Some strength of the proposal include:_x000D_
+good quality of the team including well-known biostatistician who has extensive experience dealing with health-data  and mathematicians with experience analyzing high-dimensional data. _x000D_
+the proposal aims to address important problems in biomedical science. There is critical need for developing reliable and efficient methodological for the type of data the team proposes to analyze. _x000D_
+the research teams involves researchers from University of Montana and University of Wyoming which traditionally receive relatively little research funding._x000D_
_x000D_
Weaknesses_x000D_
-there does not seem to be any foundational theory proposed. this proposal serves more like a standard methodological proposal instead of a proposal that lays theoretical foundation for data science.  The proposal seems to be lacking appropriate vision for the foundation of data science. _x000D_
-there are also some concern about the novelty of the methodologies proposed for analyzing various  type of health-data described in the proposal. Most of the methods seem to be somewhat straightforward extension of some existing methods in the literature. And the literature is largely missing (with such a small number of references cited in the proposal)._x000D_
_x000D_
-There is not enough Transdisciplinarity/Synergy among cs, math and stat. This is more of standard stat proposal with some necessary machine learning skills required for implementing the methods._x000D_
_x000D_
-the proposal is also lacking an clear evaluation plan for success_x000D_
_x000D_
-The education plan is also somewhat weak. There is no plan for involving graduate students or undergraduate students or training other workforce._x000D_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</si>
  <si>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center at Johns Hopkins University. The Institute will be dedicated to research, training, collaboration, and translation of the developed methodology and theory for massive health data, such as omics, continuous biosignals, and neuroimaging data. The particular aims of the project are: 1) building the multi-omics core, 2) building the wearable computing and biosignal core, 3) building the neuroimaging core, and 4) building the teaching, translation, and reproducibility core.  _x000D_
_x000D_
_x000D_
b)	Did the proposal identify specific research topics and clearly describe the roles of the mathematics, theoretical computer science, and statistics communities in addressing these foundational challenges?_x000D_
_x000D_
The proposal aims to develop new methods for analyzing three types of health data, multi-omics, wearable and biosignal, neuroimaging  data. It targets two common problems appeared in analyzing such data, high dimensionality, and connectivity, graph theoretic, and graph-modeling approaches, an plans to incorporate and refine analytical methods to study the determinants of disease in large and complex systems. _x000D_
_x000D_
The proposal did a good job in identifying the research problems. However, it is not clear what are the roles of  the mathematics, theoretical computer science, and statistics communities in dealing with these challenges and how they interact with each other. _x000D_
_x000D_
c) Did the proposal describe novel center-like activities? _x000D_
_x000D_
The proposed center spans over three different universities (JHU, Univ. of Wyoming, and Univ. of Montana) and thus provides the training opportunities of big-data health-analytics to students in Univ. Wyoming and Univ. Montana, which are often not accessible to such training. The center-like activities also include disseminating developed methods (as web tools) on fully documented platforms (developed by the PI), and developing massive open online courses for teaching and educational activities.  _x000D_
_x000D_
The educational, training, and center-building activities are very sketching and need to be greatly strengthened.  _x000D_
_x000D_
_x000D_
_x000D_
_x000D_
_x000D_
d)	Please comment on the Interaction and Synergy among the 3 communities._x000D_
_x000D_
The PIs include researchers from mathematics and statistics, but no theoretical computer scientist. The interaction and Synergy among the 3 communities are not very clear.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adequately addressed the broad themes of application aware foundational research, End-to-end provenance, reproducibility, privacy, fairness, and dynamic aspects of data,  but is weak in other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_x000D_
The project will tightly integrate the expertise in big biological and health-related data at JHU with scientific methods, experimental design, and inference developed at JHU, University of Montana, and University of Wyoming. _x000D_
_x000D_
It will stimulate analytic and computational cross-pollination between researchers traditionally focused multi-omics, wearable computing, or neuroimaging. _x000D_
_x000D_
The developed method could be used to discover usable information from big data that can be translated and used in small, but crucially important, targeted confirmatory experiments._x000D_
_x000D_
It will develop an open access and scalable teaching platform (using Online Open Courses)  and brings educational and training opportunities to the public. _x000D_
_x000D_
_x000D_
_x000D_
b)	Did the proposal identify specific broader impact activities and clearly describe the roles of project personnel in addressing these challenges?_x000D_
_x000D_
The proposal has specified activities and roles for the involving personnel._x000D_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identified some common challenges in analyzing biological and health data. But the proposed research seems to be more on the application and refinement of some existing statistics and data analytics method.  It is not clear how the proposed method can be the theoretical foundations of data science. The research team is missing a theoretical computer scientist. _x000D_
_x000D_
_x000D_
_x000D_
b.	Does the proposal address the 'broad themes of the program' listed in the Program Description?_x000D_
_x000D_
The proposal adequately addressed some of the broad themes, such as application aware foundational research, End-to-end provenance, reproducibility, privacy, fairness, and dynamic aspects of data, but is insufficient in others. _x000D_
_x000D_
c.	Does the proposal address strategies for workforce development, including novel educational and training activities?_x000D_
_x000D_
The proposed open platform (for disseminating developed methods) and Online line courses are interesting and novel._x000D_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bringing together theories and approaches mainly from mathematics and statistics. _x000D_
_x000D_
e.	Vision: Is there a strong case for the ability to identify and articulate a vision for the foundations of data science? _x000D_
_x000D_
The vision for the foundations of data science seems to be a little weak._x000D_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expertise of the PIs complement each other. But the expertise of theoretical computer science is lacking. _x000D_
_x000D_
g.	Is there a well-developed plan for communication and interaction with the domain sciences and industry?_x000D_
_x000D_
The proposal has a good way to communicate and interact with the domain sciences and industry through open platform and online courses. _x000D_
_x000D_
_x000D_
h.	Does the proposal provide a clear plan and rationale for an investment of the size proposed, including clear plans to develop capacity for potential future Phase II operations?_x000D_
_x000D_
It addressed the issue for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It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collaboration and evaluation plan has a clear plan for ongoing assessment of all institute activities._x000D_
_x000D_
Summary Statement_x000D_
_x000D_
This proposal aims to establish a center in JHU for  fostering the research, training, collaboration, and translation (of the developed methodology and theory) for massive health data. _x000D_
_x000D_
The proposal has identified some common challenges in biological and health data analytics. It is not clear that solutions to such challenges are strong enough to form the expected theoretical foundations for data science. _x000D_
_x000D_
The research team lacks a theoretical computer scientist. _x000D_
_x000D_
_x000D_
_x000D_
_x000D_
</t>
  </si>
  <si>
    <t>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</si>
  <si>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aims to set up collaboration between GU and GWU, named BiGeorge Data Science Institute, in the Washington DC area, dedicated to analyzing high dimensional large data sets, data streams and matrices with noise, missing values, and non-stationarity. The program involves Department of Mathematics and Statistics and the Department of Computer Science at GU, as well as Departments/programs of Computer Science, Mathematics and Statistics, Data Analytics at GWU. The proposal describe three thrusts related to these topics, and lay out which experts from which fields will be involved in each one. They propose to organize two workshops (one on Data Matrices and one on Data Streams), four Week-long Interdisciplinary Collaboration Collectives (WICCs), and near-monthly regional seminars per academic year. A postdoctoral researcher, two PhD students, a Masters student, and two undergraduate students will be funded by the Institute._x000D_
_x000D_
In terms of research problems, they will consider matrix and tensor decompositions, spectral methods, streaming algorithms, unsupervised learning, online matrix learning, etc._x000D_
_x000D_
The team will be involved in developing courses for four data science related programs in their respective insitutions. In terms of engagement with other institutions in the area, it is written that "A board of advisors at GU, GWU, Howard University, and Johns Hopkins University will ensure broad participation and impact in the greater Washington DC area."_x000D_
-----------------------_x000D_
- The sub-areas the proposal mentions are important in data science, and would benefit from collaboration among departments listed. While I did feel that some of the questions mentioned were too narrow for the kind of proposal that this is (it sometimes reads more like a regular theory research proposal), some were too broad, so a more consistant approach would have been more instructive for the reader. I suspect this is because the research plan is tailored to the individiual research endeavors of the PIs rather than on the synergy that they will create. That makes it a bit hard to imagine how and why the division of labor will be implemented. (The division of labor is stated very clearly at the end of the proposal, but it is still not entirely clear why the suggested degree of collaboration is necessary or beneficial, and how these are decided/implemented.) _x000D_
_x000D_
In terms of benefiting society, the results are probably too theoretical for that, but the questions based on noise, etc are certainly relevant for real data and real problems. There are not any serious plans for the proposed activity to benefit society outside of the immediate scientific community, and the overall plans for workshops, seminars, etc. are pretty standard so I did not see incredible synergy or novelty there._x000D_
_x000D_
There is some effort in being application-aware (due to observing characteristics of data that make it non-perfect), some effort in unifying curricula in terms of course design._x000D_
_x000D_
- The topics of streams and matrices are of course extremely important (and interesting), and original work in those would have impact on the landscape of big data. In general, however, I feel the topics are too closely tied to individuals, and I don't see how bringing various disciplines together is transformative here. It is very nice that the personnel to be involved in each particular problem is explicitly spelled out -- while this may change as the research progresses, it shows that a good deal of thought went into defining these research areas, however, a high-level marrying of the topics did not catch my eye._x000D_
_x000D_
- The plan is well organized, based on sound and well-thought out rationale. The definition of success is standard, but there is a detailed plan of a timeline and how the research follows is. The assessment plan is a general, one sentence statement. _x000D_
_x000D_
- The strength of the group, by and large is appropriate, with some very strong members. Again, I would've liked to see a better indication of how they will operate together._x000D_
_x000D_
- The resources and the support from the institutions, including the various data science-related programs, should meet the needs of such a proposal for Phase I._x000D_
_x000D_
_x000D_
_x000D_
In the context of the five review elements, please _x000D_
evaluate the strengths and weaknesses of the proposal with respect to broader impacts._x000D_
_x000D_
The topics are very theoretical, so it is not easy to talk about societal implications, other than the fact that some real life problems will be helped by the development of some of the techniques here. In general, bringing together area universities as well as different departments within these universities would be a good development for the advancement of STEM, but this is not a point that is made strongly. There is a plan for workshops etc (see above notes) that will benefit the research community and students._x000D_
_x000D_
_x000D_
_x000D_
Please evaluate the strengths and _x000D_
weaknesses of the proposal with respect to any additional solicitation-specific review criteria, if _x000D_
applicable_x000D_
_x000D_
The proposal defines research, and relies on existing DS problems in the institutions to form the glue among the groups. This works moderately well to set up a basis for such work, but an explicit and innovative plan for synergy would be more interesting. It does address the broad themes, there is a good understanding of the individual expertise of the groups and the problems. Going from there to a joint effort the plan could be more seamless._x000D_
_x000D_
The research and training activities are fairly standard, I did not find them novel or transformative. They do show a good understanding of the field, just not very cohesive. Thus I have some questions about the synergy and the vision. The expertise does cover the needed domain, and the roles for each research problem are clearly explained. There is some mention of the Census Bureau but not in a very concrete way._x000D_
_x000D_
In general, this reads more like a theory proposal with researchers from various departments than a center proposal. Given the collaboration, education, assessment plans, it does not strike me as a strong project for setting up an even bigger plan in place. I do not see a clear path from here to Phase II for this proposal._x000D_
_x000D_
_x000D_
_x000D_
Summary Statement_x000D_
_x000D_
Data management and postdoc training plans were fine._x000D_
_x000D_
I thought this proposal was not as visionary as what one would want a Phase I proposal that intends to go on Phase II would ideally be._x000D_
_x000D_
_x000D_
_x000D_
</t>
  </si>
  <si>
    <t>PX0942239</t>
  </si>
  <si>
    <t>Koutis</t>
  </si>
  <si>
    <t>ioannis.koutis@upr.edu</t>
  </si>
  <si>
    <t xml:space="preserve">In the context of the five review elements, please _x000D_
evaluate the strengths and weaknesses of the proposal with respect to intellectual merit._x000D_
_x000D_
Strengths: +_x000D_
Weaknesses: -_x000D_
_x000D_
+ The project proposes eight different "research thrusts" that cover a broad range of topics in the foundations of data science, including dynamic aspects of data. Each thrusts contains specific components that are interesting and have a reasonable chance of success. _x000D_
_x000D_
- These thrusts appear to be separate research directions of the PIs, and no common thread is provided. _x000D_
_x000D_
- The proposal does not highlight some topic as 'potentially transformative'_x000D_
_x000D_
+ The proposal includes a denomination of the thrusts in a way that each thrust is addressed by a subgroup of PIs coming from different communities. _x000D_
_x000D_
- However, the proposal does not explain (for any of the thrusts) how and why the synergy will advance the topic. So, the above "denomination" is not justified. _x000D_
_x000D_
+ The proposal does include a number of activities that are designed to increase the communication among the communities. _x000D_
_x000D_
- These activities are somewhat standard (roughly speaking, different types of meetings). In this respect the proposal lacks novelty and imagination._x000D_
_x000D_
In the context of the five review elements, please _x000D_
evaluate the strengths and weaknesses of the proposal with respect to broader impacts._x000D_
_x000D_
+ The PIs are well qualified to carry out the proposed research and broader activities._x000D_
_x000D_
+ The PIs have prior contributions of open software, and this is expected for the current proposal as well. _x000D_
_x000D_
- There is no concrete plan for industry engagement, besides invitations to workshops._x000D_
_x000D_
+ Both participating Universities have (or will soon have) related graduate programs._x000D_
_x000D_
- Plans for curriculum unification are not concrete._x000D_
_x000D_
Please evaluate the strengths and _x000D_
weaknesses of the proposal with respect to any additional solicitation-specific review criteria, if _x000D_
applicable_x000D_
_x000D_
- The plans for scalability into a Phase II are *very* limited, only a short paragraph. _x000D_
_x000D_
- The plans for self-assessment are standard, and perhaps not well thought-out for a project of this scope and magnitude. For instance, no organizational details with respect to the proposed Institute are given, and all administrative decisions seem to be described as a collective and distributed (among the PIs) process. Perhaps this is fine, but it is not justified._x000D_
_x000D_
- A major problem with Data Science that TRIPODS tries to address is that it is fragmented between communities that have their own venues of publication, and their own language. In some sense the proposal suffers from this problem as well. For example, one of the thrusts proposes research on spectral algorithms, but the terminology and references all come from the machine learning community and completely exclude any 'input' from theoretical computer science (e.g. Teng and Spielman and their "Laplacian paradigm" is completely absent from the discussion). To an extent this is a problem with all thrusts. _x000D_
_x000D_
Suggestion: The proposal would be much better if for any of the proposed topics you had done a systematic survey of related works in the 3 communities in order to propose a concrete synergy. Also, it would have been useful to identify and highlight some topics with a higher transformative potential._x000D_
_x000D_
Summary Statement_x000D_
_x000D_
The team of PIs is strong, and the proposed Institute has an interesting location. I believe that the major weakness is what I perceive as a lack of vision of what Data Science is and how it should evolve. I also consider the lack of clear thoughts about Phase II as a significant problem, as the stated goal of Phase I is to provide this bridge to Phase II._x000D_
_x000D_
</t>
  </si>
  <si>
    <t>GS0989253</t>
  </si>
  <si>
    <t>Temple Lang</t>
  </si>
  <si>
    <t>dtemplelang@ucdavis.edu</t>
  </si>
  <si>
    <t xml:space="preserve">In the context of the five review elements, please _x000D_
evaluate the strengths and weaknesses of the proposal with respect to intellectual merit._x000D_
_x000D_
The institute proposal involves outreach, training and research. _x000D_
The research areas are broadly Data Matrices and Data Streams, and then the combination of data matrices in the context of data streams.  The aim is unify the research across the different disciplines on these topics. The research areas involve matrix approximation and factorization with mathematical and statistical guarantees of accuracy, and efficient algorithms.  _x000D_
_x000D_
There is not as much on parallelism as in many of the other proposals._x000D_
_x000D_
The proposal starts by focusing on the activities and how the communities will be brought together, rather than primarily focusing on the research. This is good._x000D_
_x000D_
Each of the suggested institute/community activities is good.  Unfortunately, I fear there may be too few of them to give the institute visibility and get the PIs and others to see it as a vibrant part of their everyday work. It seems like people will come together and then return back to their typical work and field._x000D_
This is not unique to this proposal. However, if the number of each activities were scaled a somewhat, this could be avoided and the structure would be better than most proposals I have read._x000D_
_x000D_
Monthly seminars, only 4 week-long work group meetings over 3 years, 2 three-day workshops seems too few opportunities to come together._x000D_
_x000D_
The week long workshops are very important and a good idea._x000D_
_x000D_
The Data Matrices research involves factorization and approximations and algorithms to do this.  In the Data Streams research, the idea is to leverage more favorable assumptions than the worst-case ones under which many streaming algorithms were developed. It also brings streaming algorithm technology_x000D_
from CS to bare on tasks from the statistics community.  It is not clear that there is explicit collaboration or merely a transfer of problem and/or solution between the communities._x000D_
_x000D_
There is potential for synergy, specifically with the week-long work groups. However, there is still a long way to go to ensure actual collaboration._x000D_
Perhaps this will happen between the 4 co-located PIs, but what of the other participants._x000D_
_x000D_
Some of the remarks in the proposal seem to suggest applying knowledge from one discipline to problems in the other but did not explicitly indicate that there would be collaboration. Instead, there was some sense that the work would be_x000D_
done within one field and made available to the other (e.g., algorithms for statistics problems on data streams).  Again, the limited "together" time makes the collaborations and synergies less likely._x000D_
_x000D_
The proposal does address identifying common concepts and different terminologies._x000D_
_x000D_
While the proposal provides examples of application areas, the research does not appear to be connected with explicit applications._x000D_
_x000D_
There is potential for government and possibly industry engagement. But this seems more aspirational._x000D_
_x000D_
The curricula development is to add to the existing Masters programs in the two institutions.  There does not seem to be efforts to unify across the disciplines or to connect to the other (e.g. Undergraduate) programs._x000D_
_x000D_
There is no focus on the important non-CS/Math/Stat aspects of Data Science, e.g., provenance, reproducability, ethics, governance, ..._x000D_
The data streams is the dynamic aspect of the data._x000D_
_x000D_
There is only one PI from George Washington University and 5 from Georgetown University.  This imbalance may limit active involvement by others at GWU._x000D_
_x000D_
The Data Matrices research topics (thrusts) have value._x000D_
The description seems to come from the Math perspective and does not seem to involve Statisticians or Computer Scientists necessarily._x000D_
Also, the authors outline solutions for some of the questions and have done some of the work.  So where is the opportunity for other disciplines to be involved?_x000D_
_x000D_
It is not clear if there will be a single postdoc for the duration of the project (or just 2 years) or also if the 6 graduate students will be the same across the lifetime of the grant._x000D_
_x000D_
_x000D_
_x000D_
In the context of the five review elements, please _x000D_
evaluate the strengths and weaknesses of the proposal with respect to broader impacts._x000D_
_x000D_
The broader outreach includes seminars to the public, training of students, etc._x000D_
and all seem good. However, I'd like to see more interaction and events._x000D_
There is mention of diversity and assurances of success, but no plan or details._x000D_
_x000D_
_x000D_
Please evaluate the strengths and _x000D_
weaknesses of the proposal with respect to any additional solicitation-specific review criteria, if _x000D_
applicable_x000D_
_x000D_
a) Yes, the research is well integrated and the training is entirely connected to that._x000D_
_x000D_
b) Yes, the research and training address the broad goals of the program_x000D_
_x000D_
c) There are not many students involved (6 graduates, 1 masters and 5 undergraduates and Postdoc)._x000D_
The plan is to have them involved  in the research and workshops, etc._x000D_
_x000D_
d) Of the 8 thrusts/specific problems, only 2 involve PIS from all of CS, Stat and Math_x000D_
_x000D_
e)  The PIs will be able to provide some vision for articulating the foundations of data science. However, the research may be a little too method/problem-specific to bring the grand overarching vision.  Also, some of the PIs are quite recent graduates which may mean they have less experience to provide the broad vision. However, I applaud them for a very nice proposal._x000D_
_x000D_
f) The expertise seems to be present with different levels of experience._x000D_
The roles  are clear. However, not all PIs, or all disciplines, are equally involved across the thrusts._x000D_
_x000D_
g) No, the proposal does not mention explicit connections to  domain sciences or industry._x000D_
The authors indicate that there are application areas for the work, but not that they are actually working on them_x000D_
or adapting their work because of the  applications' nuances._x000D_
However, several of the PIs  do seem to work in applied areas, so it is unfortunate that they did not make this_x000D_
important connection to the application areas._x000D_
_x000D_
h)_x000D_
Yes the proposal does a reasonable job in justifying the investment._x000D_
The plan does address Phase II. There are planned expansions of the same ideas._x000D_
They believe it is simple to add more people, although that may be somewhat optimistic._x000D_
_x000D_
i)_x000D_
The proposal provides a cursory evaluation plan for the research using the usual papers and software outputs._x000D_
For the outreach and education, they will count the number of attendees and get feed back via a survey._x000D_
However there are no explicit outcomes that would indicate success._x000D_
_x000D_
j) Yes, the PIs will evaluate each activity and adapt future activities based on their findings._x000D_
There does not appear to be an explicit mechanism  in the porposal to evaluate the research activities._x000D_
I believe they think they work closely together so this isi implicit._x000D_
_x000D_
_x000D_
Summary Statement_x000D_
_x000D_
Ranking:  Good_x000D_
_x000D_
The biggest issue is getting critical mass of people and time spent together working on problems and continuity in this effort.  I fear that the interactions with be short and intense but too long between them to bring this to the forefront of anyone's work  or priorities._x000D_
_x000D_
The PIs seem to do some work in domain sciences and they should leverage this in the proposal. Unfortunately, it is not mentioned._x000D_
_x000D_
As with several of these proposals, it is possible that the work in a problem would  be done only within one of the 3 fields, and that the synergistic effect not necessarily is present. I think it is possible that there are real synergistic opportunities in this project by, e.g.,  connecting a person in statistics and a person in data streams, but the proposal doesn't make this clear and I am inferring this._x000D_
_x000D_
_x000D_
_x000D_
</t>
  </si>
  <si>
    <t>The BiGeorge (BiG) Data Science Institute is a proposed DC-area collaboration between Georgetown (GU) and George Washington (GWU) universities that is dedicated to designing, elucidating, and disseminating techniques for analyzing massive, high-dimensional data sets and data streams with noise, missing values, and non-stationarity. Many real-world data sources exhibit such practical challenges, e.g. weather and environment, survey collection, economics, network monitoring, and genomics data. This proposal addresses these challenges by building an interdisciplinary institute that bridges mathematics, theoretical computer science, statistics, and machine learning to develop the foundations of Data Science. Vertically integrated training will educate researchers at all levels (from post-doctoral scholar to undergraduates) through focused collective training and mentorship. Outreach activities (e.g. workshops, seminars, visiting scholar programs) hosted by the institute will attract and service DC-area researchers in academia, government, and industry.Data science is on the cusp of leading to major breakthroughs in a variety of fields, as evidenced in part by the success of the interdisciplinary field of bioinformatics. Yet the state-of-the-art in data science is currently fragmented among the fields of statistics, mathematics, theoretical computer science, and machine learning. Two of the most fundamental data representation models, data streams and data matrices, are studied from different angles among these fields. The proposed work will bridge this gap by laying the groundwork for a bi-university, cross-disciplinary institute, dedicated to the study of data science. Fusing expertise from all of these fields, the proposed research will both solidify and advance the understanding of data streams and data matrices. Algorithms to manage and analyze data will be designed in both of these settings, as well as for problems at their intersection. In particular, the proposal will significantly advance the study of techniques for data summarization and latent structure discovery, including (1) algorithms for analyzing data streams, (2) matrix approximation and factorization techniques, and (3) innovations combining these two topics. Given the fundamental nature of the problems studied, the proposed research is likely to be transformative to a range of data-rich disciplines.The Washington, DC area is poised to be a focal point for the advancement of data science, with the potential to impact a range of societally beneficial applications. The proposed institute leverages this opportunity by building a bridge between two proximal universities with diverse strengths. Moreover, the institute's board of advisors at GU, GWU, Howard University, and Johns Hopkins University (JHU), along with team members' affiliations at the Census Bureau and the JHU Applied Physics Laboratory, will ensure broad participation and impact in the greater DC area. The proposed institute will host: (1) a near-monthly seminar series alternating between the GU and GWU campuses, (2) workshops, and (3) week-long visiting scholar programs that promote research collaborations, exposure, and networking. Workshops will create a forum for discussing the project themes. By addressing topic fragmentation amongst the fields of statistics, computer science, and mathematics, new connections will be forged between these communities. Workshop discussions will motivate subsequent Week-long Interdisciplinary Collaboration Collectives (WICC) to foster research projects in their inception. This program will include an evening seminar series (open to the public) where invited scholars educate DC-area researchers. A postdoctoral researcher, two PhD students, a Masters student, and two undergraduate students will be supported and trained to develop theory, implement algorithms, and carry out computational experiments related to institutional themes. Institute research and program developments will be disseminated through published works, conference presentations, and shareable computational software. The diverse proposing team is committed to broadening participation in computing and STEM.</t>
  </si>
  <si>
    <t>_x000D_
The panel elected not to discuss this proposal in depth. Thus, the panel rating is Not Discussed in Panel and no panel summary was produced. The panel agreed that the individual reviews provide adequate feedback and rationale for the panel rating.</t>
  </si>
  <si>
    <t xml:space="preserve">In the context of the five review elements, please _x000D_
evaluate the strengths and weaknesses of the proposal with respect to intellectual merit._x000D_
_x000D_
This proposal focuses on plans to create a ''New England Consortium for the Advancement of Data Science (NECADS)'' beginning with the University of Connecticut (UConn and UConn Health), and University of Massachusetts, Amherst in Phase I and extending to more institutions in New England in Phase II.  The three main research themes are online updating and statistical inference for big spatial and temporal stream data, scalable algorithms for big data, and mathematical and statistical foundations and computational statistics on topological and function spaces.  Themes 1 and 2 (online updating and statistical inference, and scalable algorithms) follow a more traditional 'big data' approach focused on extending statistical and algorithmic approaches to handling data.  Motivating data sets listed in the description of Theme 1 seem appropriate and proposed research activities for both themes strongly feature both statistics and computer science/algorithms.  Theme 3 (computational statistics on topological and function spaces) is perhaps the best suited for combining all three areas (mathematics, statistics, and computer science) and the proposal suggests that, at least for a portion of the proposed research in this area, newly-developed techniques will be applied to other problems studied under this proposal.  This outreach to other projects is a strength, although more detail about the target data sets would strengthen the argument.  The proposal includes a strong focus on industry engagement, building on and extending existing collaborations, in part by focusing on application-aware foundational research.  Developing common terminologies and concepts, unifying curricula, and dynamic aspects of data are addressed modestly and/or indirectly in the proposal.  I did not see end-to-end provenance, reproducibility, privacy, and fairness addressed in the proposal._x000D_
_x000D_
_x000D_
In the context of the five review elements, please _x000D_
evaluate the strengths and weaknesses of the proposal with respect to broader impacts._x000D_
_x000D_
This proposal focuses on forming a consortium (3 institutions in Phase I and more covering the North East in Phase II).  The proposal also seeks to train research fellows (postdocs) and graduate students and offer research opportunities for undergraduates as a part of existing thesis and REU programs at the main institutions and their partners.  They plan to attract additional faculty to data science, presumably from the existing communities rather than through hiring initiatives.  They also plan to develop a Data Science concentration track in an existing M.S. program(s) (e.g. Statistics) and to change the existing Data Science major at UConn into a new interdisciplinary major (with completion in Phase II).  It is not clear to me how this existing major as well as the already funded REU programs would change, if at all, under this proposal.  Dissemination of results through an open access website, a proposed annual competition for transdisciplinary seed grants, and continuing and extending collaborations with Centers and Industry partners are strengths of this proposal._x000D_
_x000D_
_x000D_
_x000D_
_x000D_
Please evaluate the strengths and _x000D_
weaknesses of the proposal with respect to any additional solicitation-specific review criteria, if _x000D_
applicable_x000D_
_x000D_
The proposal presents a clear vision, including strong mission and vision statements.  The proposed projects, including applications, are interesting and important and the PIs have a strong track record of work in this area.  The majority of projects are heavily weighted towards statistics.    Under the broad theme of unifying curricula, the Collaboration and Evaluation Plan includes the development of short course materials with the potential of converting these into regular courses.  This is adequate but not as strong as curriculum work described in many of the other proposals I reviewed.  End-to-end provenance, reproducibility, privacy, and fairness were not explicitly addressed although proposing dissemination of work products via a publicly accessible website, if done correctly, does aid in reproducibility.  The proposal does include a list of centers and industrial partners, including letters of support. Overall, the Collaboration and Evaluation Plan is one of the strongest (top third) I reviewed._x000D_
_x000D_
_x000D_
Summary Statement_x000D_
_x000D_
This is an ambitious proposal involving many people at three institutions with plans to add more institutions and researchers in Phase II.  The proposal was well structured, describing many interesting problems followed by proposed research activities.   I rank this proposal in the middle third of those I've reviewed._x000D_
_x000D_
_x000D_
_x000D_
</t>
  </si>
  <si>
    <t xml:space="preserve">In the context of the five review elements, please _x000D_
evaluate the strengths and weaknesses of the proposal with respect to intellectual merit._x000D_
_x000D_
Strength: +_x000D_
Weakness: -_x000D_
_x000D_
+ The proposed research includes a number of specific research topics, ranging from fundamental mathematics to applications in medicine. _x000D_
_x000D_
+ The focus of TRIPODS is foundations, and some of the specific research topics are indeed interesting in this respect. The inclusion of applications further addresses the call for application-aware research. The research topics also include dynamic aspects of data._x000D_
_x000D_
_x000D_
- There is no clear description on how progress in at least some of the research topics will result from the synergy of the 3 communities. The proposal specifies research groups that will work on each topic and these groups consist of members from at least 2 communities, but it's not clear what each part contributes -- so in some sense this 'denomination' looks artificial and included only to address the TRIPODS specifications._x000D_
_x000D_
- The list of proposed topics is quite extensive, which is expected because the list of coPIs is long. But this results to a description which sometimes is not very informative due to conciseness. It also appears somewhat incoherent._x000D_
_x000D_
+ The PIs are well-qualified for the proposed research. _x000D_
_x000D_
+ There are sufficient center-like activities._x000D_
- The center-like activities are mostly standard, with the exception of potential for industry engagement._x000D_
_x000D_
In the context of the five review elements, please _x000D_
evaluate the strengths and weaknesses of the proposal with respect to broader impacts._x000D_
_x000D_
+ The PIs seem to have done significant work in laying out a plan for industry engagement. _x000D_
_x000D_
+ The proposal includes plans for the development of new courses in data science, and specific steps from further promoting data science in the participating institutions._x000D_
_x000D_
- While it may be expected as a product of the institute activity, there is no explicit mention about efforts to develop common terminologies and concepts. _x000D_
_x000D_
_x000D_
_x000D_
Please evaluate the strengths and _x000D_
weaknesses of the proposal with respect to any additional solicitation-specific review criteria, if _x000D_
applicable_x000D_
_x000D_
+ The proposal is a broad effort that includes two major institutions, that already have a significant educational and research activity in data science. _x000D_
_x000D_
+ There is a sufficiently well articulated vision and mission for the proposed institute. The proposal also includes concrete organizational details, and sufficient center-like activities that support their assessment plan. _x000D_
_x000D_
+ The proposal has the potential to evolve into Phase II_x000D_
_x000D_
- The Phase II preparation plan receives relatively little thought and attention, and different references to it can be found in a couple of places in the text, which makes it a bit harder to assess. _x000D_
_x000D_
+ The proposal touches upon several of the "Broad Themes" of the solicitation. It is particularly strong in industry engagement._x000D_
- But more effort should have been done on the 'language barriers' of the 3 communities. _x000D_
_x000D_
Overall, the question is whether the proposed institute will be 'greater than the sum of its parts', i.e. it will achieve more significant results relative to funding the coPIs independent projects. I believe there is an emerging sense of vision, mission and direction, which is likely to provide significant additional results. _x000D_
_x000D_
But certain parts could have been stronger. With the benefit of the reviewer's hindsight some things that would improve the proposal:_x000D_
- 1-2 research topics should receive greater focus and illustrate a plan of concrete collaboration between the 3 communities._x000D_
- Discussion of cross-assessment with other funded Institutes, with the purpose of evolving into Phase II. _x000D_
- Concrete plans for developing common ground between the 3 communities._x000D_
_x000D_
_x000D_
_x000D_
_x000D_
Summary Statement_x000D_
_x000D_
The proposal that addressees a number of the "broad themes" of The TRIPODS solicitation, and stands a good chance of advancing its goals The proposal also has the potential to proceed to Phase II. In that sense, the proposal is worth funding. There is a clear vision and mission for the institute, but a greater preparatory integration of its parts would have made the proposal even stronger._x000D_
_x000D_
</t>
  </si>
  <si>
    <t xml:space="preserve">In the context of the five review elements, please _x000D_
evaluate the strengths and weaknesses of the proposal with respect to intellectual merit._x000D_
_x000D_
The proposal is to create an institute and focus on research topics in 3 themes_x000D_
1) Online update and statistical inference for big spatio-temporal stream data_x000D_
2) Scalable algorithms for big data analytics:  Foundations_x000D_
3) Computational Statistics on Topological and Function Spaces_x000D_
For each topic, there are somewhat specific/concrete sub-topics for research. Some of these are quite specific, others are more general, some underdeveloped and some that should have been identified as overlapping across the themes._x000D_
_x000D_
The proposal identifies where the different researchers in different disciplines will interact. However, it is not clear what each will contribute. Several of the topics seem to be continuation of existing research of one of the researchers. It is not clear that the others will be able to get involved in that topic, add much, or that there will be synergies._x000D_
The synergy concerns me. There are several research topics that involve 2 of the 3 communities but not the third, and some that nominally include 2 or 3 but which seem to be more focused on an individuals previous work._x000D_
_x000D_
The proposal identifies the typical center activities. The plan to deliver them is not as compelling as I would like to see._x000D_
_x000D_
The proposal is somewhat application-aware, mostly biological._x000D_
There is indication of the potential for industry engagement.  However, it does not provide concrete mechanisms to realize this._x000D_
_x000D_
The research topics are interesting. However, they are somewhat specific and not leading to an understanding or definition of general foundational aspects of Data Science_x000D_
that the TRIPODS solicitation expects._x000D_
The proposal seems to be mostly traditional within-field research with some collaboration from other fields._x000D_
It is not clear that there will be significant synergies._x000D_
It does not envision the broader potential and definition for Data Science._x000D_
_x000D_
_x000D_
In the context of the five review elements, please _x000D_
evaluate the strengths and weaknesses of the proposal with respect to broader impacts._x000D_
_x000D_
The broader impacts are standard - Web site, new courses, seminars/colloquia, meet-a-thon ..._x000D_
There are no new programs and no new unifying courses. There is mention of developing short courses._x000D_
There is no mention of URMs._x000D_
The broader impacts are not as expansive as we'd like to see for a first phase of an institute._x000D_
_x000D_
Please evaluate the strengths and _x000D_
weaknesses of the proposal with respect to any additional solicitation-specific review criteria, if _x000D_
applicable_x000D_
_x000D_
The proposal  overwhelmingly focuses on the research. It is somewhat integrated but is multi-location and the plan to engage individuals regularly seems to be biweekly. This may be all we can expect but is not ideal overall for an institution that engages individuals from multiple disciplines. _x000D_
_x000D_
The plan for training does not seem to be comprehensively developed other than using existing efforts._x000D_
_x000D_
The proposal addresses the broad themes of the program in terms of research._x000D_
_x000D_
The workforce development is under-developed or aspirational_x000D_
_x000D_
I do not have confidence that there will be strong synergies and new perspectives and developments_x000D_
because of the collaborations across the three fields. It appears to me that this will be more_x000D_
extensions of research topics by one individual with the nominal engagement of others._x000D_
_x000D_
The research topics are relevant and interesting. However, they are somewhat specific, and continuations of the PIs previous research. It is not clear that the focus is on envisioning a general perspective on the foundations of data science._x000D_
_x000D_
The PIs are qualified but the roles of collaboration are not clear._x000D_
_x000D_
There is hope for engagement with domain scientists and industry but it is not articulated explicitly._x000D_
_x000D_
Measures of what defines success are not clearly articulated. _x000D_
Plans for Phase II are simply to figure it out during Phase I, i.e. to add and discard activities that are identified during Phase I._x000D_
_x000D_
The assessment plan is fine._x000D_
_x000D_
_x000D_
Summary Statement_x000D_
_x000D_
The research proposal is good. However, the authors spend most of their time discussing the research  but not addressing the important element of the TRIPODS call - an institute for data science foundations with significant broader impacts.  To indicate this, the proposal only gets to the institute elements at p11 1/2 and only dedicates 2 1/2 pages to it._x000D_
_x000D_
Many of the research questions are interesting, relevant, and are being addressed by numerous other researchers, showing their relevance._x000D_
However, there are concerns with synergies and fusion of perspectives between all 3 fields on the topics._x000D_
There is a reasonable chance that many of the topics described in the proposal are continuations of the PIs own work._x000D_
This would not result in a significantly broader vision of data science and its foundations. I think it will be mostly business-as-usual._x000D_
Instead,  a TRIPODS institute should be actively undertaking the significant effort in switching the focus of the participants to see the bigger picture_x000D_
and assimilate a holistic view of all of the work in data science in order to articulate a vision of data science foundations._x000D_
_x000D_
The research and training efforts would benefit greatly from more regular interaction between the participants._x000D_
There also appears to be a reliance on visitors, postdocs, grad. students to offer some of the activities without mention_x000D_
of oversight to ensure that these actually happen or an incentive structure to foster them._x000D_
_x000D_
_x000D_
</t>
  </si>
  <si>
    <t>This is a TRIPODS proposal to seek NSF funding to create a "New England Consortium for the Advancement of Data Science (NECADS)". It will be housed at the University of Connecticut, and will be an intensive and integrated collaborative effort of faculty, post docs, graduate students, and undergraduate students  from the University of Connecticut (UConn and UConn Health), and the University of Massachusetts (UMass Amherst), and professionals from various centers (CIRCA, CTI, InCHIP, JAX),  industries  (Boehringer Ingelheim, GlaxoSmithKline, IBM Watson Research Center, Metrum, Ruark, Travelers, and Unilever, among others), and societies (NESS, SoA, CAS). NECADS will have unique strengths in Statistics, Mathematics, and Computer Science.  The research and training developed through NECADS will emphasize the theoretical foundations of data science through inferential and predictive theory and methods, and mathematically validated high performance computing algorithms that are driven by suitable assumptions on the randomness inherent in complex data that occur in practice - which may be overlooked by a fully (or mostly) deterministic algorithmic approach. We will   leverage existing programs such as the Booth Engineering Center for Advanced Technology (BECAT) at UConn and the Center for Data Science at UMass. In Phase I, we envision a data science small consortium with global reach, touching important areas such as biomedicine, business, climate, environment, finance, insurance, etc., which will evolve in Phase II into a New England based focus for cutting-edge research, training, and teaching in data science.The proliferation of big data in scientific, commercial, and public domains, as well as the recognition of the need for research in the larger sphere of data science (which includes big data analysis) is driving the need for continued collaborations between domain specialists and the individual areas of Statistics, Mathematics, and Computer Science, but more crucially also across these three disciplines. Our proposal for this consortium comes from our recognition that the time is ripe for researchers at the forefront of these areas to work together to break the impasse of insular research within the groups and build a coherent theoretical and methodological framework for Data Science, and to provide the infrastructure and training to make these practically relevant in the workplace, through synergy with application domains in industrial organizations, information technology enterprises, and governmental agencies. Research contributions will be focused along three main themes:  Online Updating and Statistical Inference for Big Spatial and Temporal Stream Data,  Scalable Algorithms for Big Data Analytics: Mathematical and Statistical Foundations, and Computational Statistics on Topological and Function Spaces. All PIs, Senior Personnel and NECADS participants have demonstrated expertise in these areas and will devote their intellectual potential to come together at NECADS.Advancements in Data Sciences have important positive contribution to the society at large, and in particular, to industry and government. NECADS will widely disseminate its activities through a dedicated, open access website, resulting in considerable national and global impact. Scientific output from TRIPODS collaborations will be published in peer-reviewed journals, and presented at local, regional and national research conferences by all consortium participants (faculty, post docs, graduate and undergraduate students). Training in data science, data science course development, and other pedagogical aspects will contribute to development of human resources, and will be shared by all consortium participants through presentations at local,_x000D_
regional and national conferences, and via colloquia at various_x000D_
colleges and high schools. Cooperation with collaborating centers,_x000D_
industries and societies will enable NECADS to apply the data science research to practical problems of current interest.</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</si>
  <si>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Foundations of Data Science_x000D_
_x000D_
L: 1740736 Daniels, Noah U of Rhode Island $ 1,319,163_x000D_
_x000D_
_x000D_
P172027 NDP TRIPODS Panel 1, Not Discussed in Panel (F,P,P)_x000D_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</si>
  <si>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ZS0862071</t>
  </si>
  <si>
    <t>Achlioptas</t>
  </si>
  <si>
    <t>optas@cs.ucsc.edu</t>
  </si>
  <si>
    <t xml:space="preserve">In the context of the five review elements, please _x000D_
evaluate the strengths and weaknesses of the proposal with respect to intellectual merit._x000D_
_x000D_
I could not see how this proposal would significantly advance fundamental research and training in the theoretical foundations of data science. The proposal is to create an "institute that will focus on fundamental techniques and algorithms for exploring data sets... More fundamentally, the Institute seeks to understand the nature of data generated by such processes: what laws can be formulated to describe the behavior of data-generating processes?" _x000D_
_x000D_
I found the above way too generic to be useful. When the proposal becomes more concrete, the topics identified are these:_x000D_
_x000D_
- Sublinear-time algorithms: a reasonable topic but not foundational to data science._x000D_
_x000D_
- Dimension-reduction and visualization of high-dimensional spaces: no new ideas or approaches are presented for this._x000D_
_x000D_
- Property testing of functions, graphs, and sequences: also a reasonable topic, but even more removed from data science. To be clear: it is perfectly reasonable to hope that in several years we will have discovered deep connections between testability and, say, generalization. The problem is that the proposal does not offer any potential route for this._x000D_
_x000D_
- Statistical properties and model building: "We propose to explore the use of alternative estimation methods with attractive statistical properties, such as quasi-likelihood, estimating functions, and composite likelihood." This definitely does not sound like research at the theoretical foundations of data science. _x000D_
_x000D_
_x000D_
_x000D_
In the context of the five review elements, please _x000D_
evaluate the strengths and weaknesses of the proposal with respect to broader impacts._x000D_
_x000D_
The proposal did identify specific broader impact activities and clearly describe the roles of project personnel in addressing these challenges._x000D_
_x000D_
Please evaluate the strengths and _x000D_
weaknesses of the proposal with respect to any additional solicitation-specific review criteria, if _x000D_
applicable_x000D_
_x000D_
I did not find that the proposal did a good job at integrating mathematics, statistics, and theoretical computer science._x000D_
_x000D_
Summary Statement_x000D_
_x000D_
This proposal was at the overall bottom 1/3 of my proposals._x000D_
_x000D_
</t>
  </si>
  <si>
    <t xml:space="preserve">In the context of the five review elements, please _x000D_
evaluate the strengths and weaknesses of the proposal with respect to intellectual merit._x000D_
_x000D_
This proposal aims to set up a new Institute for Foundations of Data Science. The institute will focus on analyzing data, leveraging its access to various data sets such as biological (via collaboration with the College of Environmental and Life Sciences at URI) and oceanographic data sets (via collaboration with the Graduate School of Oceanography at URI). URI is setting up a separate Data Institute, and the PIs envision merging with this other institute for Phase II._x000D_
_x000D_
The group's initial focus will be on methods for analyzing high-dimensional data sets generated in certain domain-specific ways (that  might be known or unknown). They will use knowledge from the domains as well as foundational knowledge to develop techniques for understanding the underlying framework. There are three PIs, one from each discipline mentioned in the CFP. The PIs will reach out to departments such as Environment and Life Science, and Oceanography, for domain and application information in order to help understand the geometric properties underlying domain data/data generation. The sub-areas involved will be algorithms, dimension reduction and visualization, property testing on graphs, and statistical model building. URI has hired a new cohort of nine Data Science faculty; thePIs will collaborate with those faculty in research and/or teaching and training. As URI is developing new DS programs, the PIs have developed/are developing  new DS courses and modifying existing courses to have more of a DS focus. This effort will interact with this project, as I understand, due to an organic connection of similarity of area and intersection of personnel. They will interact with other regional universities and institutes within those in terms of access for data and exchange of ideas for research and training. (multiple LoC are presented.) There will be three postdocs and three graduate students. The group will have a seminar series and two workshops._x000D_
_x000D_
In this proposal, the specific research area is fairly well defined, but a more detailed explanation is lacking, or not entirely convincing. Some of the areas they mention are quite mature, and the PIs' individual roles are unclear._x000D_
_x000D_
The proposal describes research topics in pretty general terms; yet it does specify a direction. In addition, it lays out some concrete directions in terms of how it will have access to data, what type of data, etc. The division of labor is not explicit, but it can be inferred from the research problems to some extent. The proposed center is small -- in addition, URI has a new set of DS faculty and a new center so it's not entirely clear how these two centers as well as their activities will relate to each other. It is also not clear why a second center is necessary, why the members of the other center are not part of this proposal, why the two are expected to merge for Phase II._x000D_
_x000D_
The proposal is more on interaction among the three PIs than among the three communities (the larger center may be better positioned to provide that interaction). The problems span the three disciplines, but three PIs with limited experience in this area seems to be below critical mass. As a result, proposed broad themes are not as strong as one would like._x000D_
_x000D_
There is implicitly a common terminology and set of concepts developed here. There is indeed an eye on applications, at least, on real data, which is a strength of this proposal. While research topics are laid out, it is indeed a small, mostly junior team (and one not particularly consisting of experts in all of these fields) while a larger team exists within their reach, so I'm not sure how appropriate the scope is. In terms of curriculum development, again, the university seems to be making an effort, but the PIs are a small part of this effort. In short, I think this team would benefit from a couple more members and possibly more leadership._x000D_
_x000D_
In the context of the five review elements, please _x000D_
evaluate the strengths and weaknesses of the proposal with respect to broader impacts._x000D_
_x000D_
The broader impacts include improving our understanding of data and data creation as a structured process. Developments in this direction could potentially have implications various areas involving real life. The PIs leverage their institution's (as well as their geographic area's) strengths in this regard, which is a smart move. While the roles of the PIs are well defined in these, the other impacts of this work will be mostly on researchers in the field and students._x000D_
_x000D_
Please evaluate the strengths and _x000D_
weaknesses of the proposal with respect to any additional solicitation-specific review criteria, if _x000D_
applicable_x000D_
_x000D_
I feel both the research and training programs are well meant, and sensible, however, they are a small part of a whole happening at their institution, and it is hard to evaluate them in isolation. They are well integrated, but are missing critical mass. That said, they are well within the broad theme of this program. They do address workforce development, though not in novel terms. Again, with three people what they can achieve is limited. There is synergy between the people representing the groups, but they do not seem to speak for the groups nor for the DS effort at URI. In terms of the vision, I think the group is missing the theoretical computer science focus and mission a bit. I think the quality of the collaboration and its value will be high, as the researchers are strong and they have a good (though limited) direction to go. The strengths are certainly complementary (but not as broad as would be required for a project such as this). The interaction with the domain sciences is perhaps the strongest aspect of this proposal, as they want to understand the domain specific structure of their data and have access to domain specific data. Regarding Phase II, they mention that the DS institute at URI is expected to join them (even though the LOC makes a somewhat more limited commitment) -- I am not sure why or how that would happen, given the lack of contribution from the newly hired large group, or the administration of the center._x000D_
_x000D_
Summary Statement_x000D_
_x000D_
This proposal is a bit thin; the group, while individually strong, is mysteriously small and there are gaps in the expertise. I don't see this becoming a successful Phase II proposal._x000D_
_x000D_
</t>
  </si>
  <si>
    <t>US0740766</t>
  </si>
  <si>
    <t>Farmer</t>
  </si>
  <si>
    <t>farmer@aimath.org</t>
  </si>
  <si>
    <t xml:space="preserve">In the context of the five review elements, please _x000D_
evaluate the strengths and weaknesses of the proposal with respect to intellectual merit._x000D_
_x000D_
The proposal involves the creation of a research group for the study_x000D_
of four different problems in the area of big data.  The problems_x000D_
all involve a combination of math, stat, and CS, and all concern_x000D_
the theoretical foundation of data science. This would be a_x000D_
strong proposal if it were submitted to a program that supports_x000D_
the creation of such a research group.  But as a TRIPODS proposal it_x000D_
is inadequate because it:_x000D_
_x000D_
- does not describe novel center-like activities_x000D_
_x000D_
- does not make strong connections outside the core research group_x000D_
_x000D_
- does not have connections to industry at the level of other TRIPODS proposals_x000D_
_x000D_
- does not articulate a clear vision of an expanded Phase II supported by the Phase I activities_x000D_
_x000D_
_x000D_
_x000D_
In the context of the five review elements, please _x000D_
evaluate the strengths and weaknesses of the proposal with respect to broader impacts._x000D_
_x000D_
Broader impacts include teaching classes and graduate student and_x000D_
postdoctoral training.  The level of such activities is in the bottom one-third of proposals reviewed._x000D_
_x000D_
Please evaluate the strengths and _x000D_
weaknesses of the proposal with respect to any additional solicitation-specific review criteria, if _x000D_
applicable_x000D_
_x000D_
The proposed work is primarily research, not closely integrated with training._x000D_
_x000D_
The plans for developing Phase II capacity are inadequate, primarily_x000D_
consisting of discussions at monthly meetings._x000D_
_x000D_
The evaluation plan is minimal._x000D_
_x000D_
Summary Statement_x000D_
_x000D_
This proposal omits several key components of TRIPODS.  The proposed_x000D_
work, and the combined areas of the proposers, are solidly within_x000D_
the research expectations of TRIPODS, so perhaps the proposed_x000D_
work could be useful to other TRIPODS projects._x000D_
_x000D_
The data management plan and postdoctoral mentoring plan seem adequate_x000D_
but are lacking in detail._x000D_
_x000D_
The proposers should be aware that an 11 page proposal with wide_x000D_
margins and large font is unlikely to contain as much information,_x000D_
or provide as detailed of a plan, as competing proposals which_x000D_
(by making full use of the available space) contain nearly_x000D_
twice as much text.  The proposers are also advised to tailor their_x000D_
proposals more closely to the expectations of the solicitation to_x000D_
which they are applying._x000D_
_x000D_
The proposal would also be easier to read if each paragraph was_x000D_
indented or if there was extra vertical space between paragraphs._x000D_
_x000D_
</t>
  </si>
  <si>
    <t>Big data sets and the need to extract important information from them have recently emerged as a new paradigm across virtually all branches of science. The growth of data sets outpaces existing techniques and technology we use to explore them; novel algorithms and computational techniques are needed to keep pace with this deluge of data. We propose to establish a new Institute for Foundations of Data Science to study these challenges. The new institute will be formed by way of research and training._x000D_
_x000D_
The Institute will focus on fundamental techniques and algorithms for exploring data sets. We will draw on the co-PIs' expertise in algorithms for approximative search in large data sets, likelihood methods for model selection, and mathematics of metric spaces and graphs. To validate theoretical results we have access to diverse data sets, such as biological (via collaboration with the College of Environmental and Life Sciences at URI) and oceanographic data sets (via collaboration with the Graduate School of Oceanography at URI). URI is beginning the process of establishing a Data Science Institute (see Peckham LOC), and we envison, should our proposal be funded, merging with this Institute in the time scale of a Phase II TRIPODS proposal.Many real life data sets are not completely random as they are typically generated by `constrained' processes. Initially, the proposed Institute will focus on the interplay between the inherited hidden geometric and topological structure in data sets and the existence of fast approximative algorithms to extract information for these data sets. The goal is to develop a unifying mathematical and algorithmic framework. The research will build on the diverse expertise of the researchers to explore the efficiency of approximative search algorithms, graph property testing, model selection and likelihood estimates, and structural properties of metric spaces, graphs, networks, and their applications to `constrained' data sets. The fields of mathematics, computer science, and statistics use different vocabulary for very similar concepts. We will take advantage of the expertise present at the institute and explore the different techniques our fields offer for these problems. _x000D_
_x000D_
The co-PIs are well-suited to cover the areas of expertise required for TRIPODS.An important component of the Institute will be training for graduate students as well as for the researchers by offering graduate courses, invited topical lecture series, and workshops. The proposed Institute will take advantage of the complementary activities already supported by the University of Rhode Island. The University recently supported a cluster hire of several faculty in data science, thus establishing a critical community in data science on campus. A group of faculty is currently engaged in establishing a full suite of undergraduate and graduate degrees in data science and analytics. A high performance computing center is also being established on campus. Although the HPC center is independent from the proposed Institute, it will nicely complement our goals by providing needed infrastructure, addressing the applied side of data science much as the proposed Institute addresses the theoretical. The graduate training provided by the Institute will help meet demand by state and regional employers for workers with expertise in data science.</t>
  </si>
  <si>
    <t>Recommended</t>
  </si>
  <si>
    <t xml:space="preserve"> Panel Summary       
 Description: This proposal will create TRIPODS institute at Brown University that focuses on the foundations of model-driven discovery. The research activities will be focused on two-semester long programs (where the two semesters are separated by a year) in one of three specific research areas.  In co-ordination with the existing Data Science Initiative at Brown, they  will create a one-year masters program starting Fall 2017, a concurrent masters program for PhD students, and Data Science certificate program for PhD students._x000D_
_x000D_
 _x000D_
Intellectual Merit:_x000D_
_x000D_
Strengths_x000D_
_x000D_
+ The proposal has a very good organizational plan, with an innovative structure of two-semester long programs with the semesters separated by a year.  _x000D_
+ The PIs in statistics and math have a good track record of research covering two of the three research areas (causal and model-based inference, and topological methods for data analysis)._x000D_
+ The institute will be complemented by the strengths of ICERM, and the expertise of running ICERM and Data Science Initiative at Brown._x000D_
+ They will conduct TRIPODS winter schools in the relatively quiet month of January, with specific topics already decided. _x000D_
_x000D_
Weaknesses_x000D_
- The proposal lacked specifics on how they plan to approach the research questions (especially in the causal inference, and graph inference sections)._x000D_
- The theoretical CS component of the proposal was weak (this was mainly restricted to the section on analysis of networks)._x000D_
_x000D_
Broader Impact: _x000D_
_x000D_
Strengths_x000D_
+ The institute will have strong collaborations with industry and applied data science centers and labs at Brown (CSS, CCMB, BIBS etc.) . _x000D_
+ BrownX video modules and whitepapers will be used to reach a wide audience. _x000D_
 _x000D_
TRIPODS-specific criteria: _x000D_
_x000D_
Strengths_x000D_
+ The organization and structure of the institute is well thought-out and involves innovative ideas for structuring interactions and encouraging collaborations between the three disciplines. _x000D_
+  Graduate-student exchanges, datathons._x000D_
_x000D_
Weaknesses_x000D_
- The integration of computer science with math and statistics is weak._x000D_
 _x000D_
Collaboration and Evaluation Plan: Many of the plans for collaboration in the program participants through datathons, boot camps were novel. The PIs have some existing collaborations through ICERM and DCI. They will establish a Phase 1 Advisory Board that will guide the buildup towards Phase 2 of operations. _x000D_
The proposal had the best evaluation plan among all proposals. It includes evaluation by the SageFox Consulting group, which will conduct site-visits. Evaluation plan that includes Annual surveys from participants. There is a mild concern with the two-semester plan in phase 1, that they may be unable to demonstrate that this works before applying for phase 2. _x000D_
_x000D_
_x000D_
Data Management Plan: All the products -- publications, primary data, supplementary data, code, documentation will be available publicly. _x000D_
 _x000D_
Post-doctoral Mentoring Plan: Good. The postdocs will be associated with one of the three research areas, and they will be mentored by a committee of three senior faculty members. There will also be roundtable discussions, grant-writing workshops to mentor the postdocs. _x000D_
 _x000D_
Suggestions to PI: The proposal will benefit strongly with more integration of a CS component that aligns well with the research interests of the other TCS faculty affiliated with the institute. _x000D_
 _x000D_
_x000D_
Justification for Panel Rating: The proposal had a very well thought-out organizational structure for an institute, with innovative programmatic-structures and activities, and had a strong evaluation plan. The main negative was the relatively weak TCS component. _x000D_
_x000D_
 _x000D_
Panel Rating: _x000D_
_x000D_
_ Highly Recommended_x000D_
_x000D_
X Recommended_x000D_
_x000D_
_ Not Recommended_x000D_
_x000D_
 _x000D_
The summary was read by/to the panel and the panel concurred that the summary accurately reflects the panel discussion. 
</t>
  </si>
  <si>
    <t>This project creates an institute at Brown University that brings together the disciplines of mathematics, statistics, and theoretical computer science to define and refine the foundational landscape of the emerging area of data science.  The institute sponsors focused activities organized by small groups of researchers that cut across disciplinary boundaries. It connects with and informs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can even inform findings regarding food stamps and recidivism in Rhode Island. _x000D_
 _x000D_
The mission of the institute is to foster development and principled application of theory and methods of big data to discover, refine, and validate underlying theoretical models that govern a system or data-generating process, which in turn improve predictions of new outcomes.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the institute will emphasize the role of the "investigator-in-the-loop" interrogating the entirety of the data pipeline, seeking theoretical improvements and implications.  It connects to the Brown Data Science Initiative and the Institute for Computational and Experimental Research in Mathematics (ICERM).  Funds for the project come from CISE Computing and Communications Foundations, MPS Division of Mathematical Sciences, Growing Convergent Research, and EPSCoR.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</si>
  <si>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80</t>
  </si>
  <si>
    <t xml:space="preserve">Foundations of Model Driven Discovery from Massive Data_x000D_
L: 1740741 Brock, Jeffrey Brown University $ 1,482,177_x000D_
P172027 R TRIPODS Panel 1, Recommended (E/V,V,V)_x000D_
_x000D_
Congratulations! I am delighted that your proposal submitted to the Transdisciplinary Research in Principles of Data Science Phase I solicitation has received an award. This will be a three-year standard award in the total amount of $1,482,177.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Foundations of Model Driven Discovery from Massive Data_x000D_
L: 1740741 Brock, Jeffrey Brown University $ 1,482,177_x000D_
P172027 R TRIPODS Panel 1, Recommended (E/V,V,V)_x000D_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other_x000D_
universities "_x000D_
 _x000D_
AWARD CONSIDERATIONS _x000D_
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STANDARD GRANT, _x000D_
Requested duration: 36 months, starting 09/01/2017_x000D_
L: 1740741 Brock, Jeffrey Brown University, total $1,482,177_x000D_
_x000D_
_x000D_
&amp;#8203;&amp;#8203;_x000D_
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</si>
  <si>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Foundations of Model Driven Discovery from Massive Data_x000D_
_x000D_
L: 1740741 Brock, Jeffrey Brown University $ 1,482,177_x000D_
_x000D_
_x000D_
P172027 R TRIPODS Panel 1, Recommended (E/V,V,V)_x000D_
Std competition rank 3 of 30 rated projects: 2 HR, 8 R, 11 NR, 9 NDP, on 5/17/2017_x000D_
_x000D_
_x000D_
PROJECT OVERVIEW This project creates a TRIPODS (Transdisciplinary Research In Principles of Data Science) phase I mini-institute at Brown University (RI) with research, education, and outreach activities around model-driven analysis of data. This is an institute-building (as opposed to a research-heavy) proposal. _x000D_
_x000D_
The institute mission is "to foster development and principled application of theory and methods of big data to discover, refine, and validate underlying theoretical models that govern a system or data-generating process, which in turn improve predictions of new outcomes."  The focus on models is exciting, because it directly addresses the key task of the natural sciences. The proposal has a very good organizational plan, with an innovative structure of two-semester long programs with the semesters separated by a year.  The PIs in statistics and mathematics have a good track record of research in the areas of causal and model-based inference, and topological methods for data analysis.  The institute will be complemented by the strengths of the Institute for Computational and Experimental Research in Mathematics (ICERM), and the expertise of the research team in managing ICERM activities and the Data Science Initiative at Brown._x000D_
_x000D_
_x000D_
_x000D_
INTELLECTUAL MERIT The proposal motivates the research area clearly, and has concrete plans for institute building; panelists especially liked the novel workshop structure - rather than having a focus year, they split into two focus semesters separated by half a year, which can deeply more develop a subject. Panelists also appreciated the detailed evaluation plan. The mathematics and statistics legs of the tripod are extremely strong; the theoretical computer science is a little weaker._x000D_
_x000D_
BROADER IMPACTS The importance of model-driven data analysis for the sciences cannot be overstated--the PIs rightly "differentiate between big-data methods that are designed to discover structure or patterns in observed data (sometimes free of context) from those that seek to use big data to promote understanding of and knowledge about models that represent complex systems or processes." Their focus on the later approach will have impact on many areas; they already have connections with "work in brain sciences, computational biology and genomics, electronic health records, computer vision, medical images, and particle physics." Their institute has plans for educational impact on the participants in their workshops, and beyond, by their dissemination of video._x000D_
_x000D_
REVIEW SUMMARY The panel agreed with this comment by the E/V reviewer, "Among the proposals I evaluated, this proposal gave the most clear and concrete description of the proposers' vision for Phase II, and furthermore the alignment of Phase II with the goals of TRIPODS was closer in this proposal than in the others evaluated."  The reason it was not rated HC was summarized well by one of the V reviewers, "Brown already has ICERM and DSI, and it is not clear if the marginal impact of TRIPODS will be as much as in other_x000B_universities "_x000D_
 _x000D_
AWARD CONSIDERATIONS _x000B_EPSCoR was willing to co-fund this institute-building effort in Rhode Island, contributing $300,000 in FY17.  _x000D_
Convergence also contributed funds from Harnessing the Data Revolution (HDR) for its focus on bringing the disciplines together to solve important problems. _x000D_
See the diary notes for details on both.  Because of the co-funding, we recommend funding this project as a Standard grant._x000D_
_x000D_
SUITABILITY FOR CONVERGENCE:_x000D_
The research challenges of learning and validating models arise in all natural sciences; this project has direct application in brain sciences, computational biology and genomics, analysis of electronic health records data, medical imaging, and analysis of social networks.  The projects bring together researchers from across the life sciences with computer scientists, mathematicians, and statisticians to address both the foundational challenges and the implementation of new approaches for scientific discovery. Through these collaborations, the computational and life sciences may together be able to develop models that will allow for totally new areas of science to explore. Coming together in this structured manner will allow the teams to develop the models and frameworks that will enable this new frontier in life sciences, math and computing.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Standard Grant, as below._x000D_
_x000D_
_x000D_
Snoeyink, Jack S._x000D_
Cognizant Program Director  _x000D_
Tuesday, July 11, 2017_x000D_
_x000D_
 _x000D_
_x000D_
STANDARD GRANT, _x000B_Requested duration: 36 months, starting 09/01/2017_x000D_
_x000D_
L: 1740741 Brock, Jeffrey Brown University, total $1,482,177_x000D_
_x000D_
FY17 $300,000     OIA : 01060000   PEC: 8078  AC: 0116  PD: L. Nichols _x000D_
_x000D_
FY17 $441,088     CCF:  05010000   PEC: 041Y  AC: 0117  PD: J. Snoeyink_x000D_
FY17 $441,089     DMS: 03040000   PEC: 041Y  AC: 0117  PD: N. Kannan _x000D_
FY17 $300,000     OIA : 01060100   PEC: 9150  AC: 0117  PD: S. Weiler (EPSCoR)</t>
  </si>
  <si>
    <t>ZB0761578</t>
  </si>
  <si>
    <t>Anitescu</t>
  </si>
  <si>
    <t>anitescu@mcs.anl.gov</t>
  </si>
  <si>
    <t xml:space="preserve">In the context of the five review elements, please _x000D_
evaluate the strengths and weaknesses of the proposal with respect to intellectual merit._x000D_
_x000D_
+ the proposal builds on existing data science initiative at that institution that has created a few tangible outcomes that have the nature to motivate people to acquire more skills. I'm thinking here of the "concurrent masters" and data science certifications for PhD students. These are excellent ideas to motivate PhD students to make the extra step required to acquire skills slightly outside their area._x000D_
_x000D_
+ similarly, ICERM is a very visible entity that can serve as an accelerator for the proposed research snd with clear plans on how to do so._x000D_
_x000D_
+ the structure of the activities its very ingenious and, indeed, it is probably the best adapted for a broadly themed activity that may have a potential extension. The idea is to have several themes that each occupy fully the Project at any given time that are repeated after 18 months in the spring and fall semesters only. This allows topics to be started, to be digested in the periods when they are not active, and then to be brought to fruition in the second round. Winter is dedicated to schools that will further disseminate the acquired knowledge and create an environment for further discussion._x000D_
_x000D_
+ The challenges and benefits of the causal and model based inference articulated in section 3.2.1 are very well described. We do not see a lot of detail about how these challenges would be addressed good topic appears credible._x000D_
_x000D_
- For the topic 'graphs network and inference' I'm not sure I understand why the Monte Carlo approximation is any better than an efficient way to solve Laplace's equation (by a multi-grid kind of algorithm) unless one talks about significantly subsampling the graph itself and maybe that is the idea._x000D_
_x000D_
- For the "multi-fidelity data" direction, I failed to see the innovation or the challenge other than the general one of sampling the posterior._x000D_
_x000D_
- in the same subtopic, how to deal with the local discontinuities is very vague._x000D_
_x000D_
+ I appreciate that in their "geometrical and topological methods" direction the investigators have identified the issue of similarity metric as an important and challenging one_x000D_
_x000D_
+ The topic of "interacting with persistence diagrams" is a bit empirical but given the mix of challenges and applications it is a really well-chosen one as well as one that genuinely calls for a mix of techniques from applied mathematics, computer science, and statistics._x000D_
_x000D_
+ Even if not with as many details as one would like, the ideas in the third direction appear well-thought-out and credible, my favorite one being the combinatorial models for distance between plane curves._x000D_
_x000D_
+ Some of the investigators are world renowned leaders in their fields_x000D_
_x000D_
_x000D_
In the context of the five review elements, please _x000D_
evaluate the strengths and weaknesses of the proposal with respect to broader impacts._x000D_
_x000D_
+ running winter schools in the "quiet" semesters is a really good idea._x000D_
_x000D_
- I'm a bit surprised at the schedule of the winter schools.  I would have expected it to start with the first topic, "causal inference" which is instead the last one to take place in 2020. I'm not sure I see the logic._x000D_
_x000D_
+ The student "lab rotations" are a great idea to engender information exchange from students from one area from the other two._x000D_
_x000D_
+ The "datathons" are very good ideas of dissemination and motivation of the trainees._x000D_
_x000D_
+ The proposal has a specific diversity and inclusion plan building on the ones from the programs to which it connects._x000D_
_x000D_
_x000D_
Please evaluate the strengths and _x000D_
weaknesses of the proposal with respect to any additional solicitation-specific review criteria, if _x000D_
applicable_x000D_
_x000D_
-Other than the second topic, the integration of computer science is not very strong. _x000D_
_x000D_
+ there is some connection to industry that is mentioned but perhaps more credibly there is a detailed plan for the "interacting with persistence diagrams" topic on how to interact with an industrial collaborator._x000D_
_x000D_
+ The proposal will have a internal oversight board that is provided by the data science initiative. That is a practical and credible solution_x000D_
_x000D_
+ the investigators will use a professional consulting team to evaluate the program not by metrics but by answering questions by the team of reviewers._x000D_
_x000D_
+ the proposal on how to measure collaboration is ingenious and feasible_x000D_
_x000D_
_x000D_
Summary Statement_x000D_
_x000D_
This is a strong proposal with compelling areas, and an exceptionally innovative structure of the research activity as well as ideas on how to foster a good execution. It has excellent investigators. It builds on existing efforts of the home institution but it pushes things in a completely new direction. The technical details are sketchy and the computer science link is weak overall but it is strong in at least one topic. The educational activities are innovative and substantial, but other than the interaction with one industrial partner the broader impact is a bit generic. There are some unresolved operational questions._x000D_
_x000D_
</t>
  </si>
  <si>
    <t xml:space="preserve">In the context of the five review elements, please _x000D_
evaluate the strengths and weaknesses of the proposal with respect to intellectual merit._x000D_
_x000D_
The proposal concerns the creation of a new institute, with the_x000D_
novel structure of two-semester activities on specific research_x000D_
questions in the TRIPODS areas, where those two semesters are_x000D_
separated by one year.  (For example, F '17 and Sp '19.)_x000D_
Three specific projects are described, which collectively would_x000D_
cover the three years of requested funding.  Those topics_x000D_
(involving various types of inference, and geometric/topological_x000D_
methods) are solidly withing the TRIPODS scope._x000D_
_x000D_
The proposal describes the interaction and synergy among the PIs_x000D_
(who represent the three TRIPODS areas of math, stat, and CS),_x000D_
but it could have been more clear in its description of how new_x000D_
people would become part of that interaction, and how the planned_x000D_
Phase I activities might inform the methods used to form groups_x000D_
in Phase II (which conceivably could contain a completely new_x000D_
group of people)._x000D_
_x000D_
In the context of the five review elements, please _x000D_
evaluate the strengths and weaknesses of the proposal with respect to broader impacts._x000D_
_x000D_
Several novel activities will provide training to a wide variety_x000D_
of people.  Activities include: "winter school" each January,_x000D_
"boot camps" for students and faculty, and "Datathons" in which_x000D_
groups of students have one day to analyze a particular data_x000D_
sets. (That last activity was vaguely described, with workshops_x000D_
for participants, but it was unclear the relationship between the_x000D_
Datathon and the workshop.)_x000D_
_x000D_
Please evaluate the strengths and _x000D_
weaknesses of the proposal with respect to any additional solicitation-specific review criteria, if _x000D_
applicable_x000D_
_x000D_
Among the proposals I evaluated, this proposal gave the most clear_x000D_
and concrete description of the proposers' vision for Phase II,_x000D_
and furthermore the alignment of Phase II with the goals of TRIPODS_x000D_
was closer in this proposal than in the others evaluated._x000D_
_x000D_
As described in the proposal, interaction with domain sciences_x000D_
and industry is weak.  However, it appear that connections exist_x000D_
with industrial partners, and with some effort this shortcoming_x000D_
could be addressed._x000D_
_x000D_
The evaluation plan is thoughtful but could be improved.  One_x000D_
issue is the plan for annual surveys.  Annual surveys are reasonable_x000D_
for summative evaluation, but in that case it is important that_x000D_
the surveys are anonymous (a point which did not seem to be_x000D_
addressed.) Surveys with specific identifying information are of_x000D_
limited use because there is an inherent bias to not provide_x000D_
negative comments.  In addition, surveys at many institutes are_x000D_
blatant paraphrases of:  tell us good things about your experience,_x000D_
so that we can use that information to seek additional funding._x000D_
_x000D_
Both the survey itself, and the protocol for delivering it, should_x000D_
be carefully examined to eradicate any indication that the main_x000D_
purpose of the survey is to solicit positive feedback._x000D_
("Protocol" means things like the precise sentences spoken by_x000D_
the person administering the survey.)_x000D_
_x000D_
the above comments refer to summative evaluation, but in the creation_x000D_
of a new type of institution, formative evaluation is even more_x000D_
important.  It is clear that the PIs understand the issues, based on_x000D_
the list of 6 items in the Evaluation plan.  However, there is_x000D_
a disconnect between those questions and the mechanisms used to_x000D_
answer those questions.  The proposal would be improved if the_x000D_
data collection and analysis method were described explicitly,_x000D_
instead of making vague references to a not yet existent logic model._x000D_
_x000D_
_x000D_
Summary Statement_x000D_
_x000D_
This is a strong proposal which described the creation of an_x000D_
Institute which is within the parameters of the TRIPODS program._x000D_
_x000D_
The postdoctoral mentoring and data management plans are adequate._x000D_
_x000D_
</t>
  </si>
  <si>
    <t>EP0980554</t>
  </si>
  <si>
    <t>aravindv@eecs.northwestern.edu</t>
  </si>
  <si>
    <t xml:space="preserve">In the context of the five review elements, please _x000D_
evaluate the strengths and weaknesses of the proposal with respect to intellectual merit._x000D_
_x000D_
+ The proposal from Brown has the theme of understanding the foundations of model-driven discovery from data. They in fact have a clear mission statement as well. _x000D_
_x000D_
+ This is a well thought out proposal, with a clear plan for the center/institute with focused activities/ programs each organized by a cross-disciplinary group of researchers (each for 2 semesters). Some of these topics include causal and model-based inference, data analysis on massive networks, geometric/ topological methods for data analysis/ visualization etc. _x000D_
_x000D_
+ The proposal allots funding for TRIPODS postdocs whose interests align with the programs at that point, and there is a clear post-doc training plan in the proposal. _x000D_
_x000D_
+ They have a lot of prior expertise running ICERM and already have a Data Science Inititiative. This center will also share some of the plans with DSI (data science curriculum) and ICERM (workshops). _x000D_
_x000D_
- Brown already has ICERM and DSI, and it is not clear if the marginal impact of TRIPODS will be as much as in other universities._x000D_
_x000D_
- The proposal does not have concrete directions and approaches to tackle these questions. _x000D_
_x000D_
- There is a large literature in ML (in both the Statistics and CS communities) on inference in probabilistic graphical models. They do not refer to any of this work, and do not talk about any algorithmic considerations involved in such inference problems. _x000D_
_x000D_
- The algorithmic component of the proposal seems to be fairly weak. In fact none of the primary concerns/ programs outlined in the proposal address computational challenges associated with these tasks. Even in the context of graphs, networks and inference, there was little connection made to related topics in the TCS community. _x000D_
_x000D_
_x000D_
_x000D_
In the context of the five review elements, please _x000D_
evaluate the strengths and weaknesses of the proposal with respect to broader impacts._x000D_
_x000D_
The proposal does seem very transdisciplinary, particularly between mathematics and statistics. They also have access to large data sets through concrete connections to industry and public policy researchers. _x000D_
_x000D_
The plan to incorporate material from the programs and curricula into BrownX video modules (like EdX)._x000D_
_x000D_
Please evaluate the strengths and _x000D_
weaknesses of the proposal with respect to any additional solicitation-specific review criteria, if _x000D_
applicable_x000D_
_x000D_
+ The PIs have complementary skills particularly in mathematics and statistics, with very strong track records in their respective fields._x000D_
_x000D_
+ The proposal outlines clear plans for how the institute will scale up to a larger center during Phase 2 of operations.   _x000D_
_x000D_
+ The proposal gives a clear collaboration plan and evaluation plan. _x000D_
_x000D_
- Many of the principal directions outlined here do not have a significant algorithmic component. Even in the context of graphs, networks and inference, the TCS connections were fairly tenuous._x000D_
_x000D_
- - Of the 5 primary PIs, only one of them is from CS (Eli Upfal). While PI Upfal is well-known in the TCS community, much of his recent work seems to be focused on computational biology, and less on foundational algorithms research. While Paul Valiant and Phillip Klein (who have excellent track records in related areas) are listed as associated faculty, I think the proposal would be much stronger by working some of their interests into the proposal._x000D_
_x000D_
Summary Statement_x000D_
_x000D_
This proposal is well thought out, with a clear plan to scale up to Phase 2 of operations. The main negative of the proposal is that it seems weak on the algorithmic side, and lacks concrete directions and approaches. It will benefit from a stronger TCS component._x000D_
_x000D_
</t>
  </si>
  <si>
    <t>The need for transdisciplinary work across the disciplines of Mathematics, Statistics, and Theoretical Computer Science to define and refine the foundational landscape of the emerging area of data science has become increasingly prominent and the subject of serious investigation. Collaboration across disciplinary boundaries can be challenging, due to norms and practice, and also due to different fundamental goals that drive working styles and collaborative habits. An Institute centered around the idea of Transdisciplinary Research in the Principles of Data Science provides a much needed context and space for communication about a range of questions both in the specific research objectives and the larger educational framework around this emerging area. By sponsoring focused activities organized by small groups of researchers that cut across disciplinary boundaries, Brown's TRIPODS Institute will provide a motivating set of objectives that will serve as pilot projects and a test-bed for the kind of methods development and theoretical investigation that will allow a new discipline to emerge.The wide array of participating faculty, centers, institutes, laboratories and industrial partners that have agreed to collaborate in the activities set out in our proposal emphasize the heterogeneity of even the theoretical disciplinary landscape, but this range of players is drawn from a high impact pool of faculty, with strong scientific tools at hand, and a range of synergistic questions that naturally lie at a disciplinary intersection. The new Data Science Initiative at Brown, which takes as its mission a similar and synergistic emphasis on foundational methodologies in data science, will serve as an ideal academic foundation for the institute, and, together with ICERM, will support its activities. Our scientific projects in "causal and model-based inference, "data analysis on massive networks," and "geometric and topological methods to analyze and visualize complex data" drive home the role of the model, and its continuous refinement, in data analysis. Rather than seeking better "black-boxes" for analysis, our institute will emphasize the role of the "investigator-in-the-loop" interrogating the entirety of the data pipeline, seeking theoretical improvements and implications.The broader impact of Brown's TRIPODS Institute will be principally its role in forming a common language for theoretical investigation in the broad area of data science. By situating itself within the Data Science Initiative and connecting with ICERM, our TRIPODS Institute will connect with and inform a broad range of students at the undergraduate and graduate levels, working in a wide area of domain areas, from neuroscience, to genomics, to climate modeling, to public policy. Theoretical developments can improve diagnostic imaging and tumor classification, can develop improved models for neural structure, and even reinforce findings regarding food stamps and recidivism in Rhode Island. The Data Science Initiative's, DSI Lectures and Colloquiua, Industry Partnerships, and capstone projects for students serve as valuable portals for research to industry and the broader community, and the course on Data and Society foregrounds the need for explainable data science, and ethical use of information. Our dissemination plans involving whitepapers and BrownX video modules will reach a wide audience and emphasize the need for such transdisciplinary foundational activities.</t>
  </si>
  <si>
    <t>EPSCoR Co-funding response CISE 17-4, 6/15/2017</t>
  </si>
  <si>
    <t xml:space="preserve">Jack:_x000D_
_x000D_
The analysis of your request to EPSCoR for co-funding of proposal CCF 1740741, submitted by Jeffrey Brock from Brown University, indicates that it is consistent with EPSCoR FY17 co-funding program guidelines.  _x000D_
_x000D_
The project focuses on creating a mini-institute in the New England region for data science including research, education and outreach. Characteristics of this proposal that align with EPSCoR co-funding guidelines include: collaboration within and across jurisdictions; and research and training opportunities for students, post-docs and early career faculty.  _x000D_
_x000D_
Therefore, EPSCoR is willing to contribute $300,000 in FY 2017 to the implementation of this project.  Below are the funding codes for EPSCoR:_x000D_
_x000D_
Organization: 01060100 _x000D_
Program Element: 9150_x000D_
Appropriation: 0117_x000D_
All applicable Program Reference Codes (especially, CAREER, MRI, REU site, RUI, etc., as applicable) should show on the EPSCoR co-funding budget line as well. _x000D_
_x000D_
Please place a copy of this message as a Diary Note in eJacket.  Please also make sure the EPSCoR co-fund request memorandum and the Panel review (or Program) ranking chart are also in the Diary Notes section of the e-Jacket before processing your recommendation on this proposal. Please forward the eJacket to Susan Weiler (please click on the search option (magnifying glass) and choose LAN ID: sweiler) for co-funding sign-off.  All EPSCoR co-funding recommendations need to be DD concurred in eJacket no later than Friday, July 14, 2017. _x000D_
_x000D_
Thank you for considering EPSCoR as a partner in this activity._x000D_
_x000D_
Important Notes: _x000D_
(1) Please contact me if there are any changes to the proposal?s budget after this email communication. In cases where the total award budget gets reduced after receipt of this memo, a new memo showing the revised EPSCoR co-funding amount will be needed before processing the award recommendation.  _x000D_
_x000D_
(2) EPSCoR funds need to be expended at EPSCoR institutions only. It is the responsibility of the managing Program Officer to inform the PI of the EPSCoR co-funding on the award and the condition to spend the co-funded amount at an EPSCoR institution._x000D_
_x000D_
Susan Weiler_x000D_
Program Director_x000D_
NSF EPSCoR_x000D_
703-292-7860_x000D_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</si>
  <si>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Center for Scalable Data Analysis_x000D_
_x000D_
L: 1740748 Edelman, Alan MIT $  600,000_x000D_
N: 1740642 Quackenbush, John Dana-Farber Cancer Inst $  450,000_x000D_
N: 1740744 Gelman, Andrew Columbia University $  438,059_x000D_
_x000D_
_x000D_
P172027 NDP TRIPODS Panel 1, Not Discussed in Panel (G,G,F)_x000D_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</si>
  <si>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The contributions in launching free software of this group is second to none. Stan and Julia are items of huge impact in their areas. _x000D_
_x000D_
+Scalability is rightly identified as a central technological challenge. _x000D_
_x000D_
+ 2.1: Multiple dispatch is a huge functional facility to have_x000D_
_x000D_
-It is a bit unclear what are specific constructs to be investigated, and how they are particular to data analysis and not otherwise generic. _x000D_
_x000D_
+ scalable autodifferentiation would be an important benefit to a large user community when used with Bayesian inference. _x000D_
_x000D_
-we do not see descriptions of particular research thrusts in this area (2.2)_x000D_
_x000D_
-2.3 Theme 1 for this audience, it is hard to fathom what is precisely meant by normalization here. _x000D_
_x000D_
+ 2.3 T2: sensitivity of network inference is a most important topic_x000D_
_x000D_
-2.3 T2: the computational efficient linear algebra is a worthy goal, but there is no description as to what it consists of. _x000D_
_x000D_
2.3 T3 and T4: similar concerns, it is impossible to evaluate the value of the solution, when the problem is barely described. _x000D_
_x000D_
+2.4 Investigation of a polystore solution is a very important endeavor, given the mixed existing software pipelines_x000D_
_x000D_
+ 2.4: The islands of information are an interesting philosophy for multiple language support. _x000D_
_x000D_
+ 2.5: I commend the authors for describing risks and mitigations, very important issues in such a development heavy enterprise. _x000D_
_x000D_
-3.1.1 We see features here but not metrics. _x000D_
_x000D_
-3.1.2 Before description of the stage it would have been helpful to see a description of the method. Similar comments for 3.1.3 and 3.1.4. _x000D_
_x000D_
+ Project schedule is clear and achievable. _x000D_
_x000D_
+ the PIs include individuals that are worldwide leaders in their areas. _x000D_
_x000D_
_x000D_
In the context of the five review elements, please _x000D_
evaluate the strengths and weaknesses of the proposal with respect to broader impacts._x000D_
_x000D_
+ annual workshops are useful, particularly given the experience of the authors to run or participate in such visibile events. _x000D_
_x000D_
+ the software has indeed the potential to impact thousands of other researchers and countless research and development and commercial users, as it will bring interesting features from a very visible software tools group_x000D_
_x000D_
-we do not see an aim for curriculum changing or inspiring features for young trainees; it appears the work is very development heavy._x000D_
_x000D_
+ genomics/systems biology is a great target application area for a 'messy pipeline' tool-chain.  _x000D_
_x000D_
_x000D_
Please evaluate the strengths and _x000D_
weaknesses of the proposal with respect to any additional solicitation-specific review criteria, if _x000D_
applicable_x000D_
_x000D_
+ this is the most convincing proposal concerning the computer science contributions I have read. _x000D_
-on the other hand, mathematical and statistical challenges are barely articulated. _x000D_
_x000D_
+ the software dissemination with broad potential user base is a unique feature of this proposal. _x000D_
_x000D_
-no special discussion is made of involvement of industry, for which this proposal otherwise had a huge potential. _x000D_
_x000D_
-the outreach insofar knowledge and information is mostly absent, which again is a missed opportunity. _x000D_
_x000D_
_x000D_
Summary Statement_x000D_
_x000D_
The proposal contains some of the most visible PIs in statistics and computational science in the world, individuals with proven past impact for thousands of other researchers. The computer science focus is strong. The system biology focus is a great one for heterogeneous pipelines and data for which such solutions would be strong competitors. On the other hand, it reads like a development plan, rather than a research proposal. We have no details of conceptual math or stats challenges. The educational impact description does not appear to be substantial, and we do not see where will be the exciting opportunities for trainees to acquire data science enthusiasm and skills. The plans for intergrations and metrics are sketchy. _x000D_
_x000D_
_x000D_
</t>
  </si>
  <si>
    <t xml:space="preserve">In the context of the five review elements, please _x000D_
evaluate the strengths and weaknesses of the proposal with respect to intellectual merit._x000D_
_x000D_
The PIs in this proposal plan to build an institute whose focus will be to create software that will enable curating and organizing collected data from different sources and then providing a platform that can perform analysis on them with scalability. The focus is on developing systems oriented tools such as database managers, efficient compilers and high performance computing platforms catering specifically to data science. The goal is to develop prototypes that are tested on applications in computational biology and to expand further with other applications._x000D_
_x000D_
The team members hail from computer science, mathematics, statistics, and biology spanning several reputable institutes. They have developed tools for data processing, compilers in the past upon which they can build the proposed project. From this perspective, the team is in a good position to carry out the proposed work._x000D_
_x000D_
The main issue with the proposed line of work is that it does not address the theoretical foundation of data science as solicited in the call for proposal. The proposal is mostly about developing systems level software. But, the call for proposal distinctly says that this funding seeks for building institutes that will focus on addressing the foundational questions related to data science in computer science, mathematics, and statistics. I did not feel that this proposal addresses these issues._x000D_
_x000D_
In the context of the five review elements, please _x000D_
evaluate the strengths and weaknesses of the proposal with respect to broader impacts._x000D_
_x000D_
The proposal talks about organizing workshops annually mainly focusing on high performance computing in data science. It proposes to connect to other Phase I institutes in this regard._x000D_
_x000D_
The PIs argue that the development of various software tools will have an impact on various disciplines because the issues with data storage and computation with scalability exist across the entire field of data science. The proposal mentions about promoting women participation in the project by leveraging various existing efforts in the participating universities._x000D_
_x000D_
Please evaluate the strengths and _x000D_
weaknesses of the proposal with respect to any additional solicitation-specific review criteria, if _x000D_
applicable_x000D_
_x000D_
The proposal mentions the following solicitation-specific plans:_x000D_
(i) For education and outreach, it plans to organize an annual workshop to be colocated with some conference on high performance extreme computing. It proposes to conduct tutorials for users of the software and tools developed by the project. There is no specific mention of curriculum development._x000D_
(ii) It has a well laid out plan for data collection, software development, and evaluation. It proposes to disseminate software and data through online repositories._x000D_
(iii) It has a postdoctoral management plan._x000D_
(iv) The team plans to collaborate among themselves and other phase I institutes, on creating data hubs, software developments, and meeting various user needs on their platforms._x000D_
(v) It talks about extending the project to Phase II phase, but nothing very specific._x000D_
_x000D_
Summary Statement_x000D_
_x000D_
This is a proposal that addresses the systems oriented issues in data science. It does not address problems related to core theoretical foundations of data science. This is why I cannot rate it highly for funding._x000D_
_x000D_
</t>
  </si>
  <si>
    <t xml:space="preserve">In the context of the five review elements, please _x000D_
evaluate the strengths and weaknesses of the proposal with respect to intellectual merit._x000D_
_x000D_
+ the proposal has an interesting, general and I'mportant research theme: addressing scalability of big, complex and diverse data sets._x000D_
_x000D_
-Key weakness: lacking of substance and strategy for the research plan especially on how to develop the DataTheoryDispatcher. lack a clear vision/path for the theoretical foundation._x000D_
_x000D_
In the context of the five review elements, please _x000D_
evaluate the strengths and weaknesses of the proposal with respect to broader impacts._x000D_
_x000D_
+The proposed center consists a team of researchers from several universities which can have potentially wide impact_x000D_
_x000D_
+propose to develop software system which can far-reaching impacting given that the team (or some members of it) have already had experience develop systems like Stan._x000D_
_x000D_
- Not clear how the new system is going to have substantial new contribution given the lack of clear plan on the first stage of the research._x000D_
_x000D_
Please evaluate the strengths and _x000D_
weaknesses of the proposal with respect to any additional solicitation-specific review criteria, if _x000D_
applicable_x000D_
_x000D_
_x000D_
_x000D_
Summary Statement_x000D_
_x000D_
This proposal proposes a center for scale data analysis with research team consisting of researchers from MIT (math, computer science), Harvard (biostatistics and public health) and Columbia (statistics). The main research goals are to develop user-interface software systems that can address foundational issues needed for big and complex data analysis . The first stage aims to develop a novel system called 'DataTheoryDispatcher' that can discover foundational math, stat CS approaches for various data problems. The second stages focus on developing algorithms necessary for using the DataTheoryDispatcher, the third and fourth stages are dedicated to the validation of these software and tools using data from system biology and etc._x000D_
Although such a platform upon successful can be of tremendous impact to the data science community, the PIs have not provided a clear path on the feasibility of developing the DataTheoryDispatcher system, nor on how to develop such a system. They hope to have a system that can fit various needs (dispatching foundational theory) of the users depending on the input data type of complexity and provide some sort on interface.  It is however unclear how the PIs are going to achieve such a goal.  Therefore, the proposal lacks a clear vision on the foundational issues. Other strengths/weaknesses are outlined below. _x000D_
_x000D_
Strengths:_x000D_
+The team consists of highly qualified researchers._x000D_
+The PIs have previous experience developing software systems that are wildly used by the community such as Stan and Julia._x000D_
+have a clear validation plan using data from system biology which is an apparently very important and popular domain nowadays _x000D_
_x000D_
_x000D_
weaknesses:_x000D_
_x000D_
-Lack of concrete plans for developing the DataTheoryDispatcher system.  Fail to describe how to dispatch the foundational theory given the user input of the data. Thus lack of a clear vision of the foundational  development. _x000D_
-although the proposal proposed a center for scalable data analysis, it is unclear on the issue of scalability issue is addressed. There is a need for a clear description of the challenges, concrete research problems, models/algorithms for address the stability of the data. _x000D_
_x000D_
-a somewhat weak education plan, no students or postdocs are involved (only techniques are requested for developing softwares)._x000D_
_x000D_
-Not sufficient novelty.  The algorithms they propose during their second stage have already been or are being extensively studied._x000D_
_x000D_
</t>
  </si>
  <si>
    <t>Today most subject disciplines are struggling to identify and implement the best data science methods capable of meeting the challenges presented with the availability of large, complex and diverse data sets.  As the data sets get ever larger, more complex and diverse, demand for more comprehensive scalable data analysis becomes ever more challenging to implement.   This is made more difficult because the data itself is often of inconsistent quality in terms of being well ordered and complete and scalable.  In the end, this is an often an underestimated or overlooked foundational problem in data science.  The enormity of this problem is further documented when it is noted that data professionals often spend 50 to 80 percent of their time addressing these data preparation and data scaling challenges.  It is critical that this foundational challenge centered on the  quality  and  scalability  of  data  be  addressed  to  assure  that  the  data  utilized  will  provide accurate model building and data analysis for users across many subject domains.Our collaboration is proposing that a Phase I Institute be established to address the foundational data science challenge of quality and scalability of data.  Addressing these challenges is a critical path item that must be addressed prior to the users? attempts at model building and data analysis. The Institute program will leverage the collaboration?s leading work on algorithms, programming languages,  signal  processing,  statistics,  databases,  and  parallel  programming.   This  team  is recognized to have deep expertise in algorithms, statistics, data representations and development of  powerful  software  systems  such  as  Stan  and  Julia  that  have  already  been  successfully deployed with third party applications.  Using this experience as a basis, this project will develop new ideas and prototype software systems and tool chains focused on addressing the challenges with data and scalable analysis issues.  These prototype software and tool chains will be tested using active research projects in life sciences and other Statistics research areas.Progress in data science requires that users have a fundamental capability to collect, prepare and perform scalable data analysis using software and tool chains that are straightforward to use and can be applied across a spectrum of subject domains and applications. If model builders and analysts  are  to  successfully  deliver  knowledge  and  insights into data sets, it is critical that foundational data science challenges for handling data be successfully addressed. Without a priority to develop the software and tool chains to meet these data challenges, the quality of the knowledge and insights derived from building models may be less than optimal._x000D_
The Phase I Institute will deliver capabilities that will allow researchers across a broad range of fields to communicate data-analytic ideas more precisely and have access to tool chains that can straightforwardly implement them.  This work will have broad impact for scientists, engineers, and policy analysts to process and model their data directly, be able to do scalable data analysis, fit a larger class of models to bigger datasets, and thus enable inferences that will be more relevant to applications. The Institute will also continue and enhance existing outreach efforts to other universities and industrial partners already participating individually with the PIs in this type of work. The Institute has a strong dedication to disseminating  the  software, tool chains and educational knowledge and insights gained from this Phase I work and preparing for production level implementations in a Phase II program.  This Institute will actively outreach and engage with the data science community, the other Phase I Institutes, the NSF Big Data Regional Innovation Hubs,  Mathematical  Sciences  Research  Institutes, and Software Infrastructure  for Sustained Innovation to collegially address pressing data science challenges.</t>
  </si>
  <si>
    <t xml:space="preserve"> Panel Summary       
 Description:_x000D_
Five high-quality semester-long programs are proposed,_x000D_
all of which are suitable for TRIPODS:_x000D_
  1) Statistical and computational tradeoff_x000D_
  2) Sublinear time algorithms_x000D_
  3) Learning under complex structure_x000D_
  4) Graphical models_x000D_
  5) Non-convex optimization and deep learning._x000D_
The team of accomplished researchers covers the three areas_x000D_
of TRIPODS.  The educational/training aspects are modest,_x000D_
as are the center-like activities._x000D_
_x000D_
Intellectual Merit: _x000D_
Strengths_x000D_
+ The 5 semester topics are all key problems for the foundations of data science._x000D_
+ The roles of math, stat, and CS are clearly described for each problem._x000D_
Weaknesses_x000D_
- The involvement of industry and domain science is minimal._x000D_
- The panel had some disagreement as to how innovative the research was._x000D_
- The projects involve each proposer working in their_x000D_
individual specialty, limiting the synergistic aspects of_x000D_
the work._x000D_
_x000D_
Broader Impact:_x000D_
Strengths_x000D_
+ The "office hours" will be of some benefit to local practitioners_x000D_
and students, but is unlikely to scale to benefit the wider community._x000D_
Weaknesses_x000D_
- The educational/training aspects were weaker than other proposals,_x000D_
as was the dissemination._x000D_
_x000D_
TRIPODS-specific criteria:_x000D_
Strengths_x000D_
+ The themes of the projects are foundational and suitable for TRIPODS._x000D_
Weaknesses_x000D_
-  The measures of success, for the Institute-like activities, are weak._x000D_
-  Plans for Phase II activities are not well developed,_x000D_
-  Interaction with Industry and domain sciences are weaker than other_x000D_
proposals._x000D_
_x000D_
Collaboration and Evaluation Plan:_x000D_
The Collaboration and Evaluation Plan is weak.  There is very little_x000D_
in terms of evaluating the separate activities.  For those items_x000D_
which are proposed to be measured, the proposal lacks detail about_x000D_
those measurements will be taken, and more significantly, does_x000D_
not state what would be considered to be a "success"._x000D_
_x000D_
_x000D_
Data Management Plan:_x000D_
The Data Management Plan is weak, providing few details._x000D_
_x000D_
Post-doctoral Mentoring Plan:_x000D_
The Post-doctoral Mentoring Plan is weak, failing to provide details of_x000D_
what precise activities will take place and who would oversee those activities._x000D_
_x000D_
Suggestions to PI:_x000D_
The purpose of the Post-doctoral Mentoring Plan and Data Management Plan are_x000D_
to explain to the reviewers the activities which will occur.  Only once those_x000D_
details are provided can the panel make a judgement as to whether those_x000D_
activities are likely to be effective.  Without any details, it is natural_x000D_
for the reviewer to conclude that the proposers did not take those_x000D_
requirements seriously._x000D_
_x000D_
Justification for Panel Rating:_x000D_
The strength of the research component overcame the panel's concerns about_x000D_
the weaknesses in the Institute-like aspects and Broader impacts of_x000D_
the proposal._x000D_
_x000D_
Panel Rating:_x000D_
_ Highly Recommended_x000D_
X Recommended_x000D_
_ Not Recommended_x000D_
_x000D_
The summary was read by/to the panel and the panel concurred that the summary accurately reflects the panel discussion._x000D_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</si>
  <si>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 To facilitate the interactions between the participants, the project will support two project postdocs, who will play the role of connectors between different disciplines.</t>
  </si>
  <si>
    <t>Proposal ID: CCF 1740751_x000D_
PI: Indyk, Piotr_x000D_
Co-PIs: Jonathan Kelner, Philippe Rigollet, Ronitt Rubinfeld, Devavrat Shah_x000D_
Institution:  Massachusetts Institute of Technology  _x000D_
Title:  TRIPODS: Institute for Foundations of Data Science (IFDS)_x000D_
_x000D_
Dear Professors Indyk, Kelner, Rigollet, Rubinfeld, and Shah,_x000D_
_x000D_
Congratulations! I am delighted that your proposal submitted to the Transdisciplinary Research in Principles of Data Science Phase I solicitation has received an award. This will be a three-year continuing award in the total amount of $1,368,500.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_x000D_
Following in-depth discussion, the panel was asked to place each project into one of three categories (1) Highly Recommended, (2) Recommended, and (3) Not Recommended._x000D_
_x000D_
Panel Ranking: _x000D_
_x000D_
The review ratings of the proposal are:  E/G, V, V/G.  This proposal was placed in the Recommended category;_x000D_
_x000D_
Post Panel Review:  _x000D_
_x000D_
After the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t>
  </si>
  <si>
    <t>Proposal ID: CCF 1740751_x000D_
PI: Indyk, Piotr_x000D_
Co-PIs: Jonathan Kelner, Philippe Rigollet, Ronitt Rubinfeld, Devavrat Shah_x000D_
Institution:  Massachusetts Institute of Technology  _x000D_
Title:  TRIPODS: Institute for Foundations of Data Science (IFDS)_x000D_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E/G, V, V/G.  This proposal was one of eight placed in the Recommended category and was ranked eighth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will establish an interdisciplinary institute called the Institute for Foundations of Data Science (IFDS) at the Massachusetts Institute of Technology. The Institute will center around five semester-long themes, which are 1) statistical and computational tradeoffs, 2) sublinear time algorithms, local algorithms, and robust statistics, 3) learning under complex structure, 4) graphical models, exchangeable models and graphons, and 5) non-convex optimization and deep learning. The institute will support activities including workshops, spring/fall schools, seminars, outreach, knowledge transfer, and data science curriculum development._x000D_
_x000D_
Intellectual Merit: _x000D_
_x000D_
The panel agreed that the PIs describe key problems for the development of a foundation for the field of data science. The connection with the three TRIPODS areas are clearly described, and the planned activities indicate that the proposers have thought carefully about the challenges of bringing together diverse research areas. The panel was confident that great work will emerge from this team if the project is funded.  The PIs all have outstanding track records on research related to the proposed themes, with complementary expertise sets.  The roles of mathematics, statistics, and theoretical computer science are clearly described for each problem._x000D_
_x000D_
Broader Impacts:  _x000D_
_x000D_
The project will foster interdisciplinary research at MIT and the broad research community and will provide the research and educational opportunities to postdocs and graduate students. The education aspect is primarily based on student participation in the research activities. The planned creation of open problem lists will be useful to the wider community.  The  new methods in this project will be useful for analyzing large amounts of data, and thus have potential for broad impact on daily life._x000D_
_x000D_
TRIPODS-Specific Criteria:  _x000D_
_x000D_
The panel felt that the proposal provided a clear vision for the foundation of data science.  Each of the themes has clear roles for the participating researchers from the three communities, and requires their coordinated effort. One panelist noted that this proposal did "the best job of explaining the role of Math, Stat, and TCS in each of the research problems proposed. "  The institute will support a number of center-like activities, such as workshops, spring/fall schools, overlap seminars, dedicated talks, and curriculum development, though some panelists felt the proposal could have been stronger in the last category. This project will provide excellent opportunities to train the next generation of data science researchers.  The PIs are urged to pay careful attention to, and consider increased efforts in, areas related to curriculum development and knowledge transfer to industry and domain sciences as they grow toward Phase II capacity._x000D_
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mentoring of students and postdocs.  The Management Team recommends an award at a slightly reduced level.  _x000D_
_x000D_
Recommendation: _x000D_
_x000D_
A three-year continuing award at the level of $1,368,500.  The funding is distributed as follows:_x000D_
_x000D_
FY 2017_x000D_
_x000D_
CCF      Org Code 05010000  PEC 041Y  $184,250_x000D_
DMS      Org Code 03040000  PEC 041Y  $184,250_x000D_
_x000D_
FY 2018_x000D_
_x000D_
CCF      Org Code 05010000  PEC 041Y  $250,000_x000D_
DMS      Org Code 03040000  PEC 041Y  $250,000_x000D_
_x000D_
FY 2019_x000D_
_x000D_
CCF      Org Code 05010000  PEC 041Y  $250,000_x000D_
DMS      Org Code 03040000  PEC 041Y  $250,000_x000D_
_x000D_
_x000D_
PRCs: _x000D_
_x000D_
047Z TRIPODS Phase 1_x000D_
062Z Harnessing the Data Revolution_x000D_
_x000D_
Tracy Kimbrel, Program Officer_x000D_
Division of Computing and Communication Foundations_x000D_
July 14,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</si>
  <si>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Five semester-long themes are proposed, each in the combined areas of_x000D_
math, stat, and CS, on topics suitable for TRIPODS.  Activities in_x000D_
those semesters will include as school, a workshop (a more accurate_x000D_
name would be a conference), a seminar with multiple meetings, and_x000D_
special lectures._x000D_
_x000D_
The connection with the three TRIPODS areas are clearly described,_x000D_
and the planned activities indicate that the proposers have thought_x000D_
carefully about the challenges of bringing together diverse research_x000D_
areas._x000D_
_x000D_
A potential weakness is Industry engagement, which could have been_x000D_
described in more detail._x000D_
_x000D_
In the context of the five review elements, please _x000D_
evaluate the strengths and weaknesses of the proposal with respect to broader impacts._x000D_
_x000D_
The broader impacts of this proposal are weaker than other proposals_x000D_
reviewed.  The education aspect is limited to student participation in_x000D_
the research activities.  Knowledge transfer to industry is not_x000D_
well described.  The planned creation of problem lists will be_x000D_
useful to the wider community._x000D_
_x000D_
The idea of "office hours" has some appeal, but is unlikely to scale_x000D_
as the project grows._x000D_
_x000D_
Please evaluate the strengths and _x000D_
weaknesses of the proposal with respect to any additional solicitation-specific review criteria, if _x000D_
applicable_x000D_
_x000D_
As required by TRIPODS, the proposal describes a well-integrated_x000D_
research and training program, with each semester involving a variety_x000D_
of activities that will help to engage students, bring together_x000D_
people from several areas to work together, and enable the disciplines_x000D_
to communicate._x000D_
_x000D_
The evaluation plan is inadequate.  The plans include "gather attendance statistics for the events", which provides limited_x000D_
information and is unlikely to shed light on the process of running_x000D_
an Institute, and "gather information about research developments"._x000D_
For that second item, then acknowledge that it is difficult to_x000D_
obtain such data.  Considering that the proposal does not even state_x000D_
any concrete steps that will taken to gather that data, their_x000D_
expected difficulty is an understatement._x000D_
_x000D_
For summative evaluation they propose to count publications.  That_x000D_
is unlikely to shed any light on the usefulness of the procedures_x000D_
being developed in Phase I._x000D_
_x000D_
Phase II is not well described.  The reviewer is left to speculate_x000D_
that Phase II would be just like Phase I, with a theme for each semester._x000D_
_x000D_
_x000D_
Summary Statement_x000D_
_x000D_
The 5 planned semester activities combine the three TRIPODS areas_x000D_
and address suitable research topics.  Novel activities will help_x000D_
support the interaction of students, researchers in the TRIPODS_x000D_
areas, and other researcher._x000D_
_x000D_
The proposal has merit, but a shortcoming is that the plans for_x000D_
Phase II are unclear._x000D_
_x000D_
The Data Management Plan is inadequate, providing almost no details._x000D_
The postdoctoral mentoring plan is also poor, involving only vague_x000D_
descriptions such as "a program of structured mentoring activities",_x000D_
with no details and no statement about who would administer those_x000D_
activities._x000D_
_x000D_
If funded, the PIs will need to radically re-evaluate what is means_x000D_
to run an institute (i.e., what procedures are put in place to_x000D_
make the Institute function as a new entity that brings a new_x000D_
dimension to the research endeavor), and how they will evaluate_x000D_
whether *the specific procedures being implemented* are actually_x000D_
performing as desired.  Obtaining such information will require_x000D_
examining all activities, and multiple times from multiple_x000D_
directions._x000D_
_x000D_
</t>
  </si>
  <si>
    <t xml:space="preserve">In the context of the five review elements, please _x000D_
evaluate the strengths and weaknesses of the proposal with respect to intellectual merit._x000D_
_x000D_
Amazing team of accomplished researchers covering the three areas of TRIPODS - TCS, Math, and Stat. The structure of the proposal is to define 5 semester-long programs that bring together the three disciplines on interesting topics such as CS-Stats trade-offs, sublinear algorithms, graphons and exchangeable models, etc._x000D_
_x000D_
This structure seems set up so that each PI can stay within his/her comfort zone. It is not clear how it will help them find some new interdisciplinary ground. _x000D_
_x000D_
In addition, at this phase of the TRIPODS program I would have liked to see more of an effort to get to the basic foundations of data science from 3 points of view. The listed themes seem to be chosen more because they are in the comfort zone of the PIs._x000D_
_x000D_
Having said all that, I find the descriptions of the proposed programs very compelling and I am completely confident that great work will emerge from this_x000D_
team if the project is funded._x000D_
_x000D_
Of all the proposals I read this proposal does the best job of explaining the role of Math, Stat, and TCS in each of the research problems proposed. _x000D_
_x000D_
The proposal described center-like activities ... most notably workshops every semester and an overlay seminar series. In addition there will be post-docs chosen by all PIs._x000D_
_x000D_
There is very good synergy between the 3 communities here, with several pairs of PI having already collaborated together(?)_x000D_
_x000D_
The project seems more focused on problems where there is already common terminology. There isn't much mention of industry engagement, and the problems are not *directly* related to a specific application._x000D_
_x000D_
There is no plan for creating new curricular programs or enhancing the course offerings in this space at MIT. The main educational component is the plan to have Fall and Spring schools._x000D_
_x000D_
The proposal does not touch on issues such as privacy, fairness, or provenance._x000D_
_x000D_
In the context of the five review elements, please _x000D_
evaluate the strengths and weaknesses of the proposal with respect to broader impacts._x000D_
_x000D_
The Broader impacts section is a little pro forma._x000D_
_x000D_
Please evaluate the strengths and _x000D_
weaknesses of the proposal with respect to any additional solicitation-specific review criteria, if _x000D_
applicable_x000D_
_x000D_
There is a well-integrated reesarch program between the three disciplines. Training could be well-integrated depending on the details of the Spring and Fall workshops._x000D_
_x000D_
It is not clear that the proposal addresses the broad themes of TRIPODS program, specifically the need to do theory that is informed by practice. _x000D_
The proposal does not talk about workforce development._x000D_
_x000D_
There is very good synergy between the groups, but I didn't see a compelling, overarching vision for data science._x000D_
_x000D_
Summary Statement_x000D_
_x000D_
Great team with good synergy. Members of the team have already demonstrated the capacity to work in interdisciplinary areas. The problems that will be considered in the programs described seem exciting._x000D_
_x000D_
</t>
  </si>
  <si>
    <t xml:space="preserve">In the context of the five review elements, please _x000D_
evaluate the strengths and weaknesses of the proposal with respect to intellectual merit._x000D_
_x000D_
This proposal aims to establish an interdisciplinary institute for the development of foundations of data science at MIT. In Phase I, it will center around 5 semester-long themes, which include 1) Statistical and computational tradeoff, 2) Sublinear Time Algorithms, Local Algorithms, and Robust Statistics, 3) Learning under complex structure, 4) graphical models, exchangeable models and gryphons, 5) Non-convex optimization and deep learning. The institute will support activities like workshops, spring/fall schools, seminars, outreach, and knowledge transfer, data science curriculum development.   _x000D_
_x000D_
Strengths:_x000D_
_x000D_
1) The proposal has identified five research themes/topics, which are all key problems for the development of a foundation for the field of data science. Each of these themes has clear roles for the participating researchers from the three communities, and requires their coordinated effort.  _x000D_
_x000D_
2) The institute  supports a number of center-like activities, such as workshops, spring/fall schools, overlap seminars, dedicated talks, and curriculum development. This will provide excellent opportunities to train the next generation of data scientists.  _x000D_
_x000D_
3) The proposal clearly addresses how the 3 communities interact with each other in both research, training, and center-like activities. _x000D_
_x000D_
4) The proposal has addressed almost all broad themes, such as developing common terminologies and concepts, application-aware foundational research, industry engagement, unifying curricula, End-to-end provenance, reproducibility, privacy, fairness, and Dynamic aspects of data. _x000D_
_x000D_
Weakness:_x000D_
_x000D_
No obvious weakness has been identified._x000D_
_x000D_
_x000D_
In the context of the five review elements, please _x000D_
evaluate the strengths and weaknesses of the proposal with respect to broader impacts._x000D_
_x000D_
Strengths:_x000D_
_x000D_
The project will foster interdisciplinary research at MIT and the broad research community. _x000D_
_x000D_
It will provide the research and educational opportunities to postdocs and graduate students._x000D_
_x000D_
The developed new methods will be used for analyzing large amounts of data, and thus have a broad impact on our daily life. _x000D_
_x000D_
It will  support knowledge transfer initiatives through office hours and systems._x000D_
_x000D_
Please evaluate the strengths and _x000D_
weaknesses of the proposal with respect to any additional solicitation-specific review criteria, if _x000D_
applicable_x000D_
_x000D_
Strengths: _x000D_
_x000D_
1) The proposal has a well-integrated research and training program devoted to foundations of data science and fostering collaboration and interaction among the three communities.  _x000D_
_x000D_
2) The proposal addressed almost all broad themes in the program description. _x000D_
_x000D_
3) The proposal has adequately addressed the strategies for workforce development, including both educational curriculum development and training activities. _x000D_
_x000D_
4) The project is transdisciplinary and needs coordinated effort from the three communities to overcome the foundational challenges. _x000D_
_x000D_
5) The proposal provided a clear vision for the foundation of data science. _x000D_
_x000D_
6) The PIs of this project all have outstanding track records on research related to the proposed themes and on training activities. Their expertises complement each other and have an excellent coverage on the proposed training and educational activities. _x000D_
_x000D_
7) The proposal has knowledge transfer initiatives which could provide the communication and interaction with the domain sciences and industry._x000D_
_x000D_
8) The proposal has the capacity and potential for a future phase II operations. The proposed five themes are rather broad. _x000D_
_x000D_
_x000D_
9) The collaboration and evaluation plan has clear measures of success, both for Phase I operations and development of capability for a potential Phase II. It also provides a good plan for thoughtful, ongoing assessment of all Institute activities. _x000D_
_x000D_
Weakness:_x000D_
_x000D_
The proposed research is a little too ambiguous. Since the PIs are all outstanding researchers, this may not be an issue. _x000D_
_x000D_
_x000D_
Summary Statement_x000D_
_x000D_
This proposal aims to establish an institute devoted to foundations of data science at MIT. The proposal is well-thought and well-written. It has an extremely strong team with complementary expertise from the three communities. The proposed research themes are fundamental and could have profound impact to the emerging field of data science._x000D_
_x000D_
</t>
  </si>
  <si>
    <t>The aim of this project is to "plant the seeds" for an interdisciplinary institute devoted to foundations of data science at MIT. During the three years of Phase I, the project goal is to stimulate research and educational interactions between mathematics, statistics and theoretical computer science, both within MIT and in the research community at large. On the way, the team will also develop the organizational capabilities and visibility needed for the potential Phase II activities._x000D_
_x000D_
The project activities in Phase I will be organized around 5 semester-long themes. Each theme will be devoted to a topic at the intersection of at least two (and often three) TRIPODS areas, and will focus on catalyzing interactions between them. The specific themes we will focus on are: statistical and computational tradeoffs, sublinear algorithms and distribution testing, learning with complex structures, graphical models and exchangeability, and non-convex optimization. Within each theme, the PIs will organize numerous activities, including a workshop, a fall/spring school covering introductory material and regular seminars. They will also support knowledge transfer activities, including "office hours" that will offer free help and consultation on algorithmic, mathematical and statistical aspects of data science._x000D_
_x000D_
To facilitate the interactions between the participants, the project will fund two project postdocs, to be selected by all participants. The postdocs will play the role of "connectors" between different disciplines. They will be supervised by at least two project members, representing at least two TRIPODS areas. Their research activities will stimulate collaboration between different groups and disciplines.The project will develop new frameworks and techniques for a wide range of questions at the intersection of mathematics, statistics, and theoretical computer science. It will demonstrate both positive (algorithmic) and negative (limitations) results. It will make progress towards establishing a unified perspective on data science.The project will galvanize interdisciplinary research, both at MIT and in the broad research community. It will fund two postdocs and help train graduate students well-versed in multiple perspectives on data analysis. Furthermore, it will develop new methods for processing and analyzing large amounts of data. Given the prominent role of data science in today's society, these developments will likely have a significant and broad impact. Finally, the project will support knowledge transfer initiatives, including "office hours" that will offer free help and consultation on algorithmic, mathematical and statistical aspects of data science.</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</si>
  <si>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Institute for Interdisciplinary Data Science_x000D_
_x000D_
L: 1740752 Davison, Brian Lehigh University $ 1,499,915_x000D_
_x000D_
_x000D_
P172027 NDP TRIPODS Panel 1, Not Discussed in Panel (G/F,G/F,F)_x000D_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</si>
  <si>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 team teaching is certainly a great idea to achieve integration between their three disciplines._x000D_
_x000D_
- from section 3.3 I'm a bit unclear whether this is possible or it's only an aspiration. On top of page 4 the same appears a lot more tentative than I first thought when I read it._x000D_
_x000D_
+ The investigators make a credible case that this funding will make a difference in affecting culture but their institution which is the moment has the three departments separated in a fairly silo way._x000D_
_x000D_
- However, we are unclear in reading further the proposal as to how that will come about._x000D_
_x000D_
+ Alternate housing of the postdocs in the respective departments is a good idea in achieving transdisciplinarity at least in terms of training._x000D_
_x000D_
- I'm a bit unclear whether obtaining the vectorized version of the words is a topic of investigation or not. To me it appears as the more delicate question compared to the ones mentioned in section 4.3_x000D_
_x000D_
+ the questions outlined in section 4.3 are interesting and important._x000D_
_x000D_
- There is very little idea as to how one would aim about solving such questions. Moreover, we do not see a discussion of whether there are relevant results of the investigators that one can build on._x000D_
_x000D_
- Beginning of section 5: I'm a bit unclear about the use of word "rigidity". It is meant as a precise obstacle then that would definitely not be correct._x000D_
_x000D_
- "semi-parametric models": the discussion appears to be primarily a review about existing methods and some of their shortcomings and perhaps some of their existing features. We do not see from here what is meant to be new in research except again as possible questions rather than directions of investigation e.g. "how do we choose the new density if the choices are in a specific class?"_x000D_
_x000D_
+ Extending differential privacy to hierarchical feature representations is an interesting idea._x000D_
_x000D_
+ Investigating fairness and trustworthiness is a very important topic._x000D_
_x000D_
+ Assessing and working with "diversity of data" concept is an interesting idea_x000D_
_x000D_
- we are a bit unclear as to how the investigators see this technique applied. For example, they state that they want to compute the N points closest to a cluster center which are maximally diverse. How will this information be used in assessing fairness? We sort of see that it is possible but it should be spelled out._x000D_
_x000D_
- Section 7.2.3: we are unclear as to how this abstraction reflects the problem outlined before of trustworthiness. What would be the mapping between messages and variables or actions? The described game approach is very generic._x000D_
_x000D_
_x000D_
In the context of the five review elements, please _x000D_
evaluate the strengths and weaknesses of the proposal with respect to broader impacts._x000D_
_x000D_
+ the fact that the proposal tries to look at trustworthiness and fairness in relation to data makes it inherently broadly applicable; it is a very important topic in which not many practical abstractions exist_x000D_
_x000D_
+ the record of the principal investigator in educating underrepresented groups is commendable._x000D_
_x000D_
- unless we miss something, we do not see a major plan to change curriculum based on the support obtained from funding this proposal. The statement is "the proposed research will enhance course contents" which appears insufficient._x000D_
_x000D_
_x000D_
Please evaluate the strengths and _x000D_
weaknesses of the proposal with respect to any additional solicitation-specific review criteria, if _x000D_
applicable_x000D_
_x000D_
+ there is a clear connection between the three areas in this proposal_x000D_
_x000D_
- the plans for collaborations are quite generic, we do not see many interesting ideas here._x000D_
_x000D_
- there do not appear to be any interesting interactions with other entities, such as commercial, for the research in this proposal._x000D_
_x000D_
- we do not see wide dissemination of artifacts other than publications._x000D_
_x000D_
_x000D_
Summary Statement_x000D_
_x000D_
Overall, this proposal appears to be at best of  fair quality. We do not see details of research, in very few cases there are described ideas that are clearly new. There are no real plans to develop curriculum based on this research. The operational plans are generic. I commend the authors for choosing a couple topics which are important and difficult to formalize such as fairness and trustworthiness. On the other hand, there is little detail of what are the new ideas that will help crack the challenges, or details about the investigators' prior research in the respective areas. The three areas are represented conceptually but the mathematical angle is perhaps a bit faint compared to other proposals._x000D_
_x000D_
_x000D_
</t>
  </si>
  <si>
    <t xml:space="preserve">In the context of the five review elements, please _x000D_
evaluate the strengths and weaknesses of the proposal with respect to intellectual merit._x000D_
_x000D_
The PIs propose very specific problems - word embeddings in NLP, a hybrid parametric/non-parametric estimation problem, privacy in deep learning, and more. While I appreciated the concreteness of the problems described, they were too scattered to amount to a significant whole, and I did not get the sense that the team would develop techniques and foundations for data science as a whole._x000D_
_x000D_
Also, while most of the proposal refers to 2 PIs, in the budget and the CVs we finally encounter the other senior personnel... it even appears that some of the research thrusts such as privacy in deep neural nets come from these other personnel. The PIs would do well to provide a more coherent narrative integrating the other PIs._x000D_
_x000D_
Missing in this proposal is clear strength in theoretical computer science - one of the three legs of the TRIPODS program._x000D_
_x000D_
The proposal did identify many specific research topics. It identified the roles of the 3 disciplines on these topics._x000D_
_x000D_
The proposal did describe novel center-like activities - student training across departments, faculty cross-training, co-teaching across departments. But there wasn't much talk of visitors, center-like programs, etc. _x000D_
_x000D_
I am unable to judge the level of synergy between the PIs, but the specific disciplines that are supposed to be covered in the TRIPODS program don't seem to be covered by this project._x000D_
_x000D_
It's not clear if this proposal will develop a common terminology for foundational concepts across the disciplines. The proposed problems are of practical interest and so the proposal has an application focus already. _x000D_
_x000D_
_x000D_
_x000D_
Problems on privacy and fairness will be considered in this project._x000D_
_x000D_
_x000D_
_x000D_
In the context of the five review elements, please _x000D_
evaluate the strengths and weaknesses of the proposal with respect to broader impacts._x000D_
_x000D_
The institute at Lehigh would reduce redundancy in course offerings between various schools (and their departments) and also bring into contact researchers in these schools, who seldom have such contact otherwise. Both PIs have a good track record of advising women and will continue to do so._x000D_
_x000D_
Please evaluate the strengths and _x000D_
weaknesses of the proposal with respect to any additional solicitation-specific review criteria, if _x000D_
applicable_x000D_
_x000D_
The proposal reads like it will correct some institutional problems at Lehigh, such as the barriers between schools and redundancies in course offerings, but doesn't spend much time describing what truly positive effect the integration will have._x000D_
_x000D_
The vision is fine, but _x000D_
_x000D_
There is no mention of industry collaboration. _x000D_
_x000D_
The evaluation plans seem to talk more about the evaluation of particular results on particular problems rather than the evaluation of the project as a whole._x000D_
_x000D_
_x000D_
_x000D_
Summary Statement_x000D_
_x000D_
A more clearly defined team that is responsive to the TRIPODS call would have strengthened the proposal. Also, while the PIs describe problems in detail, they do not spend enough time talking about the big picture._x000D_
_x000D_
</t>
  </si>
  <si>
    <t xml:space="preserve">In the context of the five review elements, please _x000D_
evaluate the strengths and weaknesses of the proposal with respect to intellectual merit._x000D_
_x000D_
This is project for an institute hosted at Lehigh Univesity and involving 12 faculty with strong qualifications and a broad range of expertise. _x000D_
_x000D_
Strength: +_x000D_
Weakness: -_x000D_
_x000D_
+ The proposal specifies 4 research directions, that among else touch upon privacy and fairness, which are topics of interest according to the solicitation.    _x000D_
_x000D_
+ The proposed topics appear to be quite broad and ambitious. _x000D_
- There is no concrete collaboration plan on at least some of the research topics, besides an assignment of research groups to the topics. _x000D_
_x000D_
- Including some slightly more concrete and 'down to earth' research topics would have been good._x000D_
_x000D_
+ The proposal articulates very well the 'language barrier' problem in data science and includes some interesting ideas for addressing it, such as "rotations" of students, course cross listing etc._x000D_
_x000D_
- The center-like activities are about standard. _x000D_
+ Perhaps realistically, the proposed institute focuses on local activities that can have a global impact by providing an example to others: For instance creating an example for "breaking the siloes" among departments at a smaller University with little prior activity focused on data science (with the exception of recent CS hirings)._x000D_
_x000D_
In the context of the five review elements, please _x000D_
evaluate the strengths and weaknesses of the proposal with respect to broader impacts._x000D_
_x000D_
+ The proposal argues that besides the standard broader impact through educational activities, the proposed research will also have an unusual broader impact due to its socially sensitive nature (privacy, fairness, bias)_x000D_
_x000D_
- No plans for industry or domain engagement._x000D_
_x000D_
Please evaluate the strengths and _x000D_
weaknesses of the proposal with respect to any additional solicitation-specific review criteria, if _x000D_
applicable_x000D_
_x000D_
* Among the broad themes of the solicitation, the proposal addresses the development of a common language, and privacy/fairness. _x000D_
_x000D_
+ The PIs are well qualified to perform the proposed research._x000D_
- The solicitation gives an emphasis in theoretical computer science (TCS), but the team of the senior personnel does not include a person who is active in the core TCS venues. This somehow is reflected in the references, which do not include any reference to a FOCS/STOC/SODA paper (only one  to ICALP)   [suggestion: perhaps you should have tried to locate and include external collaborators]_x000D_
_x000D_
- By the proposal's admission, the existing synergy among the PIs is virtually non existent._x000D_
_x000D_
+ There are plans for assessment, which notably includes assessing the progress via collaborative funding. _x000D_
_x000D_
+ Matching funds from other sources (individual projects of the PIs) will be directed to enhance the impact of the proposed institute. _x000D_
_x000D_
- There is no clear vision for the foundations of data science._x000D_
_x000D_
+ There seems to be a concrete mission for the institute, which is to "act locally, think globally", i.e. support activities that will enhance data science and its foundations at the location of the Institute, providing examples globally. _x000D_
_x000D_
- The proposal includes a plan for Phase II, but the envisioned expansion is not very convincing and it only mentions additional local research capacity. This is not very realistic, and also probably not enough for any Phase II project  [suggestion: a bolder proposal would be to act as coordinator and meeting place for smaller institutions that want to advance data science locally]_x000D_
_x000D_
Summary Statement_x000D_
_x000D_
This is a proposal for a mostly inward-looking Institute at Leigh University. The proposal addresses some of the broad themes of the solicitation, by means of a local example of "breaking the siloes" between departments and communities. The proposed research is interesting and it includes some ambitious (high-risk high-reward )topics. Still, the integration and synergies between the communities/departments seems to be very underdeveloped. Funding this proposal would probably help develop these synergies at the location of the proposal and possibly provide a more global example, as the proposal argues. But it is not clear whether such an effort can be funded as an "Institute"; there may be other funding opportunities that address specifically educational and curriculum development needs._x000D_
_x000D_
</t>
  </si>
  <si>
    <t>The study of data has often progressed independently across multiple disciplines, but disciplines have collided in this era of big data and associated computational tools.  Recognizing the barriers between disciplines, this institute will facilitate cross-disciplinary research and understanding, and build a unified interdisciplinary data science community.  In the process of building bridges ourselves, we will train the next generation of data scientists with multi-disciplinary perspectives and impact the fundamental theories that underlie data science.With a large team in our small institute, we propose to make intellectual advances in a number of fundamental areas of data science:_x000D_
1. Modern distributed data representations are really knowledge representations.  We will provide careful theoretical analyses: to understand the information capacity of embeddings generated with particular hyperparameters; to facilitate comparisons between embeddings that were generated with stochastic methods; and, to enable incorporation of additional non-contextual knowledge, all of which will result in improved quality of embeddings._x000D_
2. The trade-off in complexity versus robustness of models is often difficult to determine.  We will examine semiparametric models and functional analysis to understand and evaluate the efficiency of statistical learning algorithms and robustness to noise and incomplete information, and to help moderate the tension between overfitting and underfitting data._x000D_
3. We will extend differential privacy to the setting of hierarchical feature representation (e.g., as used in deep learning settings)._x000D_
4. We will develop algorithms that balance similarity and diversity in clustering to increase fairness of the resulting analysis._x000D_
5. We will develop and analyze a game theoretic framework to model adversarial settings for various kinds of spam.The proposed work will be impactful in a number of ways._x000D_
1. The research questions we will address in data representation, semiparametric models, privacy, fairness and trustworthiness are not only interdisciplinary areas of fundamental importance, but answers to the theoretical questions in these research thrusts will also have impact on the many application areas that will use them._x000D_
2. Some of the research (especially on privacy and fairness of algorithms) addresses societal concerns about data mining and data science broadly._x000D_
3. This work will provide education and training directly for a good number of graduate students and postdocs, but also for faculty, and indirectly for undergraduates.  It will also promote interdisciplinary thinking in new data science educational programs._x000D_
4. The institute will help to break down the silos of the three departments at Lehigh and provide a model to do so elsewhere.</t>
  </si>
  <si>
    <t xml:space="preserve"> Panel Summary       
 Description: This proposal will create CMU-IFDS at Carnegie Mellon University involving 5 PIs from CS, Statistics and Machine Learning. The institute will facilitate synergy between the research groups of the PIs, and a research portal will aid discussion and communication. The educational component includes a new graduate course, and an annual undergraduate symposium. The proposal discusses research directions on specific topics on finding structure in data, high-dimensional prediction and graphical inference._x000D_
_x000D_
 _x000D_
Intellectual Merit:_x000D_
_x000D_
Strengths_x000D_
_x000D_
+ The institute will leverage CMU's unique strengths in machine learning (they have a ML department within School of CS)._x000D_
+ They already have a Statistical Machine Learning group involving three of the PIs (Wasserman, Tibshirani, Singh), who have existing collaborations._x000D_
+The PI team has a very strong track record, particularly in statistical ML. _x000D_
+ The proposal suggests 9 concrete directions that the PIs plan to work on. _x000D_
_x000D_
_x000D_
Weaknesses_x000D_
_x000D_
-The research outlined is somewhat disjointed and most directions seem narrow in scope._x000D_
- The proposal will mainly continue to fund the usual research agendas of the PI team. Many of the problems and directions outlined in the proposal seem fairly incremental (e.g., sections 4.1, 4.3). _x000D_
- The TCS component of the proposal is relatively weak. Most of the collaborative portions of the proposal are between the three statisticians in the proposal._x000D_
- Some of the directions in the proposal (e.g., High dimensional clustering) were low on specifics._x000D_
_x000D_
Broader Impact:_x000D_
_x000D_
Strengths_x000D_
+ They propose the creation of a new journal on the foundations of data science, and an annual undergraduate symposium on data science._x000D_
+ PI Singh has a strong track record of mentoring women, and encouraging diversity._x000D_
_x000D_
Weaknesses_x000D_
- There are no specific application domains or applied data science groups that the research is connected to.  _x000D_
 _x000D_
TRIPODS-specific criteria:_x000D_
_x000D_
Strengths_x000D_
+ PIs have a very strong track record in their respective fields (particularly strong in Statistics) _x000D_
+ They leverage existing strengths through their Statistical ML group. _x000D_
+ The research portal seems like a novel way of facilitating collaborations and discussions._x000D_
_x000D_
Weaknesses_x000D_
-  The proposal has little institute-level activity associated with it.  _x000D_
- The proposal doesn't make it clear that the expertise of the PI team is balanced.  _x000D_
- Apart from the new journal, there didn't seem to be a good plan for how they would scale up to a much larger institute in Phase 2. _x000D_
 _x000D_
Collaboration and Evaluation Plan: The proposal has plans for a Research portal that will facilitate communication, and discussions across disciplines, and allow for sharing open problems. They also plan weekly research meetings and an undergraduate symposium. The evaluation plan was somewhat weak, and mainly involved paper counts and course reviews. Tracking blog posts, and clicks on the research portal was novel.   _x000D_
_x000D_
Data Management Plan: All the products -- publications, primary data, supplementary data, code, documentation will be available publicly._x000D_
_x000D_
Suggestions to PI: The proposal will be more compelling with a stronger institute organization that also involves the broader ML community (outside of CMU). They would also benefit with a stronger CS component, that involves more CS faculty in the university._x000D_
 _x000D_
_x000D_
Justification for Panel Rating: The main drawback was the absence of larger institute-level activities that would involve the broader ML research community outside CMU as well. Further, the research seemed more incremental than transformative, and was relatively weak on the TCS side. _x000D_
_x000D_
 _x000D_
Panel Rating:_x000D_
_x000D_
_ Highly Recommended_x000D_
_x000D_
_ Recommended_x000D_
_x000D_
X Not Recommended_x000D_
_x000D_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</si>
  <si>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 introduction: as presented, the proposal looks like an extension of an existing research group, which while more credible in terms of building the research experience it is perhaps a bit underwhelming._x000D_
_x000D_
- introduction with the plan deliver in explaining how it will leverage nonclassical problem settings?_x000D_
_x000D_
- introduction: the blog is a good idea, but I would've expected that existing machine learning research group would have had one by now._x000D_
_x000D_
+ personnel: the principal investigators have excellent credentials and past research record._x000D_
_x000D_
+ past results that show that the convergence rate of the minimax risk is dependent on the intrinsic structure are interesting._x000D_
_x000D_
+ Density ridge estimation is quite intriguing given its promise of faster convergence of the estimation. As well is the problem set up itself appears to be quite original._x000D_
_x000D_
+ The estimation of topological structure is a bit narrow but the ideas seem to be original and well designed_x000D_
_x000D_
- the high dimensional prediction ideas are an important, but they appears incremental compared to previous work_x000D_
_x000D_
- high dimensional clustering the problems outlined are interesting but we do not see what will the work consist of._x000D_
_x000D_
+ The nonlocal functional topic is solid; the ideas appear well thought out._x000D_
_x000D_
+ The spectral approach to graph denoising over incoherent graphs is an original to deal with a problem that its genuinely important as an abstraction. It may provide insight onto how to choose efficiently the parameter lambda in problem 3._x000D_
_x000D_
+ The first approximation algorithms are quite intriguing and the idea of solving the problem by solving over multiple chains derived from the original graph may have the promise of obtaining near linear time performance_x000D_
_x000D_
+ the graph embedding direction is an intriguing one in the sense that it allows one to investigate multiple of the techniques deployed here such as optimal transport, fast algorithms and graph concepts. Probably choosing more topics like this would have been even better for the program to which they apply._x000D_
_x000D_
+ The sampling for the near prediction is another intriguing idea that combines techniques from optimization, theoretical computer science (sparsification), and statistics (sampling methods) so indeed would be a very interesting area of research in the spirit of this proposal. Some of the insights in solving such problems are also very intriguing such as using a specialized basis that is likely to contain an optimal estimator._x000D_
_x000D_
_x000D_
In the context of the five review elements, please _x000D_
evaluate the strengths and weaknesses of the proposal with respect to broader impacts._x000D_
_x000D_
-the research portal is a good idea provided that it is constantly used by the people in my experience there are inertial forces unless there is a good plan on how to go about it._x000D_
_x000D_
- the seminar series appears to be an extension of existing activity._x000D_
_x000D_
+ training activities are adequate though one hardly sees here something of high originality_x000D_
_x000D_
- I do not really see a strong application component particularly compared to other applicants._x000D_
_x000D_
_x000D_
Please evaluate the strengths and _x000D_
weaknesses of the proposal with respect to any additional solicitation-specific review criteria, if _x000D_
applicable_x000D_
_x000D_
+ while I was unhappy with the way the portal was described û û partly because from personal experience unless there is a clear plan of how it's going to be used, and the notion of someone who takes personal and complete responsibility for it eventually falls out of use as it is quite time-consuming to update û û I completely agree with the idea that is a fantastic way to measure things and in that way it is quite an original idea to answer this important requirement of the program._x000D_
_x000D_
+ The notion of using the resources to drive towards the creation of a journal dedicated to data science as a way to build up in phase 2 it is a terrific idea and given the people involved a very credible one. _x000D_
_x000D_
+ I do believe that the proposal contains in parts of it at least strong elements of all the three disciplines in a significant manner and I will point to the two topics I have identified above_x000D_
_x000D_
_x000D_
Summary Statement_x000D_
_x000D_
This is a fairly theoretical proposal coming from excellent people with a great record of transdisciplinary science and with a few excellent directions of research. it is only generically tied to applications so in that direction its immediate broader impact is weak. There are very few details and structures that are described to specifically address the requirements of this program and the work appears to be interesting but mostly incremental. (Though in a theoretical sense may be quite important). The integration between the topics is not very credible except for a couple examples. On the other hand, the ideas about the metrics contained a few gems which has typically not been the case in most proposals I have seen._x000D_
_x000D_
_x000D_
</t>
  </si>
  <si>
    <t xml:space="preserve">In the context of the five review elements, please _x000D_
evaluate the strengths and weaknesses of the proposal with respect to intellectual merit._x000D_
_x000D_
The PIs of this proposal plans to create an institute for foundations of data science (IFDS) between the four departments of statistics, machine learning, computer science and mathematics. On the technical front, they propose to address mainly the problems of (i) statistical inference of structures from point clouds, (ii) label propagation and denoising of data based on an input graph (iii) efficient acquisition of data through improved sampling techniques._x000D_
_x000D_
For (i), the PIs propose to investigate the convergence rates for estimations of manifolds and their substructures such as ridges. They mostly rely on statistical techniques that a subset of PIs have worked on. The problem of manifold and their substructure approximations have gained a considerable attention from the field of Computational Geometry. One of the features of these techniques is that they are deterministic and provide with richer structural guarantees. The proposal does not mention any of these efforts. The proposal mentions briefly about applying topological data analysis for this task. But, it is a little disheartening that the proposal only does a lip-service to the effort. For example, there have been a lot of work on extracting topological structures from data in this area, but the proposal only confines to few results by the PI. It is mentioned that [22] developed the theory and method to estimate DTM from data. Other prior work by Chazal et al. have laid the foundation of DTM and others have exploited it to infer topological structures none of which is mentioned._x000D_
_x000D_
For (ii), the proposal advocates using the well known label propagation technique based on functional optimizations on graphs. The PIs propose to extend some of the works in this area by them. This aspect of the proposal constitutes the bulk of the technical contents of the proposal. It includes a spectral based graph embedding  technique that the PIs argue to apply for denoising the data. The description of label propagation is in Sections 4.5. It also describes optimal transport for measures. I find this part somewhat disjoint and dont see how it fits to the rest of the proposal. Sections 4.6 and 4.7 describe the denoising of data on graphs. These are the only sections where some relevance to theoretical computer science is made. _x000D_
_x000D_
For (iii), the PIs again describes some of their research on efficient sampling and some of the open issues with it. This section 4.9 seems to be a little disjoint from the other sections._x000D_
_x000D_
In general, I find this proposal somewhat disjoint when it comes to putting together a coherent theme. It is a bit narrow in terms of its scope. The roles of mathematics and computer science are somewhat subdued._x000D_
_x000D_
In the context of the five review elements, please _x000D_
evaluate the strengths and weaknesses of the proposal with respect to broader impacts._x000D_
_x000D_
The broader impact of the proposal includes curriculum developments across different disciplines relevant to data science. Curricula both at undergraduate and graduate levels will be enhanced and developed with the input from the institute. The PIs point out that CMU has already developed this cross-disciplinary programs through various efforts. It has supported research work across disciplines of statistics, machine learning, computer science and mathematical sciences. Exploratory seminar series and symposia are also on the agenda. In this respect, the established seminar series such as the one in Google Labs will be useful. Co-PI Singh will continue her outreach activities in attracting and training female students. _x000D_
_x000D_
_x000D_
_x000D_
Please evaluate the strengths and _x000D_
weaknesses of the proposal with respect to any additional solicitation-specific review criteria, if _x000D_
applicable_x000D_
_x000D_
(i) The creation of the IFDS research portal for co-ordinating the activities of the institute and disseminating its results is a nice idea. _x000D_
(ii) The inclusion of materials from the research on data science into existing and new course works is mentioned._x000D_
(iii) The workforce at both graduate and undergraduate level is planned to be developed. The existing framework of CMU promotes the cross-disciplinary activities among students and faculty._x000D_
(iv) Seminar series, workshops will be held along with a plan to host long term visitors._x000D_
(v) A plan for scaling up the activities for phase II is mentioned._x000D_
(vi) The collaboration plan repeats most of the things said already. It does not show a real intention to establish a strong collaboration among the PIs. Actually, there is very little existing collaboration among the PIs._x000D_
(v) The evaluation of the progress of the project activities and curriculum developments is well documented._x000D_
_x000D_
In short, the proposal mentions some of the standard activities expected from an institute of this scale, but not much out of the ordinary._x000D_
_x000D_
_x000D_
_x000D_
Summary Statement_x000D_
_x000D_
This is a good proposal written by well established researchers. It is a little narrow in scope and a little thin on embracing theoretical computer science and mathematics. Actual collaboration among the PIs is that strong which also shows up in somewhat disjointed description of the technical parts._x000D_
_x000D_
</t>
  </si>
  <si>
    <t xml:space="preserve">In the context of the five review elements, please _x000D_
evaluate the strengths and weaknesses of the proposal with respect to intellectual merit._x000D_
_x000D_
The PIs propose an institute CMU IFDS that builds on existing strengths of the Stats, School of CS (CS department and ML department) and the mathematics departments._x000D_
_x000D_
+ CMU has unique strengths in this area on account of their strong focus in ML and AI. In particular, they already have an Machine Learning department within the School of CS (the only one I'm aware of)._x000D_
+ The PIs have an excellent track record of making fundamental contributions in statistics (PIs Wasserman, Tibshirani and Arti Singh), fast combinatorial algorithms (PI Gary Miller).    _x000D_
+ The PIs suggest concrete directions and very specific questions about ten specific topics e.g., Estimating Geometric Structure, Estimating Topological Structure, High-dimensional Prediction etc. It is very likely that they make progress along these lines.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The marginal impact of this institute is likely to be less than the other proposed institutes. Further, it is not clear that funding through the institute is needed to encourage these collaborations. _x000D_
_x000D_
- The main negative about the proposal is that it mainly involves the research groups of the PIs at CMU, and seems to be less about building an institute that involves participation from outside the institute. From this point of view, the proposal looks more like a standard NSF proposal. _x000D_
_x000D_
- The research suggested here seems very related to problems the PIs have already worked on. So, this seems less transformational._x000D_
_x000D_
- The proposed institute seems like it will add to already existing collaborations (through the Statistical ML group which already involves 3 of the 5 PIs). It is not clear that funding through the institute is needed to encourage these collaborations. _x000D_
_x000D_
_x000D_
_x000D_
In the context of the five review elements, please _x000D_
evaluate the strengths and weaknesses of the proposal with respect to broader impacts._x000D_
_x000D_
+ PI Arti Singh has a strong track record of outreach. _x000D_
_x000D_
- No new initiatives w.r.t. teaching. _x000D_
_x000D_
_x000D_
Please evaluate the strengths and _x000D_
weaknesses of the proposal with respect to any additional solicitation-specific review criteria, if _x000D_
applicable_x000D_
_x000D_
+ They are setting up a Research portal to encourage and facilitate collaborations and disseminating research products. This seems different compared to other proposals.  _x000D_
_x000D_
- Apart from the new journal, there wasn't much in the proposal that suggested they can build up to a large Phase 2 institute._x000D_
_x000D_
- _x000D_
- Regarding distribution between areas, I feel the problems are not very balanced and are mostly of a statistical nature. I feel the algorithmic component of the proposal is weaker (the main algorithmic portion I say was about the proposed collaboration between Tibshirani-Miller-Slovek regarding linear time algorithm). It would have been better if there was more involvement from the CS and math departments._x000D_
_x000D_
Summary Statement_x000D_
_x000D_
The proposal builds on an already existing strong Statistical ML group within the statistics and ML department (between PIs Wasserman, Tibshirani and Singh) who have strong track records in CS. The proposal seems to involve the CS and math departments less, and the proposal seems to be more of supporting their current research interests, as opposed to building a new institute that will involve participation from the wider research community outside CMU._x000D_
_x000D_
</t>
  </si>
  <si>
    <t xml:space="preserve"> Panel Summary       
 _x000D_
_x000D_
Description:_x000D_
_x000D_
The TRIAD proposal aims to create an institute to address massive, dynamic, noisy and complex data. For its first phase, it will host_x000D_
focused working groups, national and international workshops, and organized innovation labs. In the second phase, it will involve undergrads and K-12 students. A postdoc and grad students will be supported, and a professional admin will be employed to carry out the required reporting and outreach. _x000D_
_x000D_
The topics they covered are: _x000D_
- decentralized and scalable inference_x000D_
- Optimization algorithms for inference and learning_x000D_
- Applications are in data science related fields, such as_x000D_
    - Advanced manufacturing._x000D_
    - Learning at the Sensor_x000D_
    - Inferring dynamical properties from biological data._x000D_
_x000D_
_x000D_
Intellectual Merit:_x000D_
Strengths_x000D_
+ The proposed work covers important foundational elements of the data science pipeline. _x000D_
+ They have presented interesting questions of data collections and have the right models. _x000D_
+ They carry out inference from data followed by good optimization ideas. _x000D_
+ The research team has excellent investigators that cover the whole space of the TRIPODS proposal. _x000D_
Weaknesses_x000D_
- The panel found the research plan too high-level and lacking details._x000D_
_x000D_
Broader Impact:_x000D_
Strengths_x000D_
+ The proposal has a good plan about diversity._x000D_
+ They have good collaborations in place and good existing programs. _x000D_
+ The proposal identifies numerous large data-driven companies local to Atlanta with which Georgia Tech has strong relationships, and by implication, with which the PIs can establish collaborations _x000D_
+The proposal lists three explicit application areas - manufacturing, sensor arrays, and dynamic biology, and there are corresponding domain scientists in the 33 person team _x000D_
Weaknesses_x000D_
- No notable weaknesses noted. _x000D_
_x000D_
_x000D_
TRIPODS-specific criteria:_x000D_
Strengths_x000D_
+ It is a very interesting idea to have someone professional work on marketing. _x000D_
+ The connection with industry -- is not well described intrinsically, but it is credible given the campus connection. _x000D_
+  This is one of the more balanced proposal that has a strong institute element along with a strong research component._x000D_
+ It involves excellent people across the three disciplines. _x000D_
+ The innovation labs and think tanks are original, interesting ideas. _x000D_
+ They propose a workshop series in data science and have clear topics lined up for these workshops: randomization and algorithms. _x000D_
+ They have a good plan to expand in future years. _x000D_
+ There are many significant synergistic data science activities, space and administrative personnel at Georgia Tech that the PIs are likely to leverage to make a highly visible, significant institute. _x000D_
Weaknesses_x000D_
- The possible synergies are not specifically described. _x000D_
_x000D_
Collaboration and Evaluation Plan: _x000D_
_x000D_
It has a well thought out collaboration and evaluation plan. They have a plan on how to identify topics in which to solicit proposals in phase II. They will convoke an external advisory board, that will oversee and guide the management and strategic activities. _x000D_
_x000D_
Data Management Plan:_x000D_
_x000D_
There will be software produced which will be open source and made available via github. The publications will be made available via the regular outlet channels. _x000D_
_x000D_
Post-doctoral Mentoring Plan:_x000D_
_x000D_
The postdocs will have scientific and administrative mentors. The first takes responsibility for the technical orientation, the second interfaces with the incumbent to assess progress and provide the metrics needed to advance the project. _x000D_
_x000D_
What is bold, exciting, high risk/reward, or potentially transformative? _x000D_
_x000D_
Several topics are exciting and well described. _x000D_
For example, distributed inference and optimization are very exciting directions that are very important given evolving database architectures. Another original idea is deep learning on how to do algorithms selection -- e.g. can one train a deep network to figure out the right parameters for the algorithms (e.g maxcut, TSP)?_x000D_
_x000D_
Suggestions to PI: _x000D_
_x000D_
If funded, articulate the synergies of the three disciplines better, and pursue it in the programs developed. By having smaller margins (but still within NSF guidelines) _x000D_
and better adjusting headings, would allow for more text  to be included in the proposal_x000D_
_x000D_
Justification for Panel Rating:_x000D_
_x000D_
The proposal builds on a good institutional foundation, it has excellent PIs, and great research topics, though not described in significant detail. It also has a good management and institutional plan. _x000D_
_x000D_
Panel Rating: _x000D_
_ Highly Recommended_x000D_
X_ Recommended_x000D_
_ Not Recommended_x000D_
_x000D_
The summary was read by/to the panel and the panel concurred that the summary accurately reflects the panel discussion._x000D_
 _x000D_
_x000D_
_x000D_
_x000D_
_x000D_
</t>
  </si>
  <si>
    <t>hwarchal</t>
  </si>
  <si>
    <t>This project creates the Transdisciplinary Research Institute for Advancing Data Science (TRIAD) at the Georgia Institute of Technology.  TRIAD aims to integrate research and education in mathematical, statistical, and algorithmic foundations for data science. Analysis of massive, dynamic, noisy, and complex data arising in virtually every sphere of human activity is a pressing challenge of our time, and an area of great importance for its economic and societal impact. TRIAD will address the growing challenges in establishing the foundations of data science, much of which lies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TRIAD hosts focused working groups, national and international workshops, and organized innovation labs. Participants include senior, mid-career, and junior faculty members, postdoctoral fellows, graduate and senior undergraduate students, and data science practitioners at large. All TRIAD activities involve interdisciplinary personnel from the three foundational disciplines. TRIAD deploys information technology and communication infrastructure to quickly and efficiently disseminate its research and activities, while the research community at large can easily access and comment/critique TRIAD's choice of research programs and topics. The institute aims to create an intellectual atmosphere that connects theoreticians and practitioners, scientists, and engineers from across the nation and worldwide on a regular basis._x000D_
_x000D_
TRIAD enriches careers of participants ranging from undergraduate students to senior researchers from around the nation. Postdoctoral fellows and graduate students are introduced to collaborative research in the institute activities and through workshops. TRIAD makes prudent efforts to reach out to diverse communities, including participants from smaller colleges and institutions serving under-represented minorities. TRIAD actively engages in outreach through public lectures, press releases, and dissemination via other internet channels. TRIAD works with associated professional societies to provide stimulus to data-science-related initiatives. Additional activities (such as customized workshops) will combine interactive projects and field trips to acquaint undergraduate and/or high school students from all over the U.S. with data-science-related techniques and the themes of TRIAD's year-long programs. Every effort will be made to make products and lectures available online and to enable remote participation.  Funds for the project come from CISE Computing and Communications Foundations and MPS Division of Mathematical Sciences.</t>
  </si>
  <si>
    <t>nakannan</t>
  </si>
  <si>
    <t xml:space="preserve">Proposal ID: CCF 1740776_x000D_
PI: Xiaoming Huo_x000D_
Co-PIs: Srinivas Aluru, Dana J. Randall, Prasad Tetali, C. F. Jeff Wu_x000D_
Institution: Georgia Tech Research Corporation_x000D_
Title:  Transdisciplinary Research Institute for Advancing Data Science (TRIAD)_x000D_
_x000D_
Dear Professors Huo, Aluru, Randall, Tetali, and Wu,_x000D_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_x000D_
On behalf of the TRIPODS Management Team_x000D_
Nandini Kannan_x000D_
Tracy Kimbrel_x000D_
Jack Snoeyink_x000D_
Christopher Stark_x000D_
________________________________x000D_
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V/G, V, and E/V respectively.  Based on the reviews and the panel deliberations, your proposal was placed in the Recommended category.     _x000D_
_x000D_
Topic: This proposal, from the Georgia Institute of Technology, seeks to create TRIAD: the Transdisciplinary Research Institute for Advancing Data Science, an institute that focuses on the integration of research and education in the mathematical, statistical, and algorithmic foundations of data science._x000D_
_x000D_
The proposed research topics include (1) transcribing data with new models and mathematics, (2) new paradigms for decentralized and scalable inference, and (3) efficient strategies with theoretical guarantees for both statistical efficiency and computational complexity.  Center-like activities for Phase I include workshops, innovation labs, short-term visitors, graduate student and post-doc co-supervision and mentoring, development of new courses and a lecture series.  The project will leverage existing data science activities at Georgia Tech through partnerships with the interdisciplinary Research Institute (IRI) for Data Engineering and Science (IDEaS) and the NSF South Big Data Regional Innovation Hub. _x000D_
_x000D_
Intellectual Merit: The reviewers and panel agreed that the research addressed many foundational elements of the data science pipeline.  However, reviewers felt that the description of the research projects was presented at a very high level, and would have liked to see more details about "concrete research challenges and approaches for each of the themes."  The team includes investigators with excellent research records in foundations of data science, extensive interdisciplinary collaborations, and an established track record of training and mentoring.  The proposal also includes plans to engage domain scientists and engineers, and collaboration with local businesses and industry. _x000D_
_x000D_
The panel viewed the topics related to distributed inference and optimization as exciting directions, and appreciated the leveraging of existing data science related infrastructure at Georgia Tech._x000D_
_x000D_
Broader Impacts:  The proposal lays out a detailed plan for cross-disciplinary training of graduate students and postdoctoral fellows, and a structure for joint supervision across academic units on campus.  Curricular innovations include the development of a new data science related machine learning course and an undergraduate course on "Mathematics of Data Science"._x000D_
_x000D_
The panel appreciated the attention to diversity, including the formation of a committee for Program Diversity as part of the TRIAD's organizational structure.  The members of the committee have experience leading diversity and broadening participation initiatives.  The research team has existing collaborations with minority serving institutions, including Agnes Scott, Morehouse and Spelman Colleges._x000D_
_x000D_
Reviewers found the connections to real world data from applications related to manufacturing, sensor arrays and biological networks compelling.  _x000D_
_x000D_
TRIPODS-Specific Criteria:  _x000D_
_x000D_
Reviewers agreed that the proposal presented a well-integrated research and training program and the synergy between the different groups was well-articulated.    _x000D_
_x000D_
The panel found the collaboration and evaluation plan to be "well thought out", including an external advisory board to oversee and guide the management and strategic activities, and plans to solicit topics for potential Phase II activities.  The use of innovation labs and think tanks for community building were original and interesting.  The proposal listed a number of center-like activities for Phase I and a well-developed plan for a potential Phase II institute at Georgia Tech.  The panel agreed that this was one of the "more balanced" projects bringing together "a strong institute element along with a strong research component."_x000D_
_x000D_
Summary and Rationale for Recommendation:  The TRIPODS Management Team agreed that the intellectual merits and broader impacts of the project were excellent.  The research addressed significant foundational data science challenges, with a well-integrated training program.  Given the existing initiatives and infrastructure at Georgia Tech,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</si>
  <si>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 whole spectrum estimation for large covariance matrices is a very intriguing idea._x000D_
_x000D_
+ The data inspire mathematical analysis categories are very well selected. They could be described in more detail, but the choice of keywords and emphases provide some confidence of the directions of research._x000D_
_x000D_
+ the focus on decentralized and scalable statistical inference is a crucial insight in order to accomplish real progress in large and realistic data sets._x000D_
_x000D_
- however, for the topic of distributed inference which is so crucial and challenging we would need some detail as to not just why it is useful û û this reviewer is completely sold û û but what may be the technical directions that may be espoused. For example "software to support reproducibility" how does that connect with the decentralization aim?_x000D_
_x000D_
+ while we also ache for some additional details on the optimization thrust the technical details here are well chosen indicating very clear thoughts about how to progress forward._x000D_
_x000D_
- there appears to be a disconnect between the application areas proposed in the deep learning direction in section 2.4 which appears to be the main application area._x000D_
_x000D_
+ the investigators are top-notch in your area some of them being probably the best in the world to their topics._x000D_
_x000D_
- I am a bit disappointed there is not more detail about these great ideas, and articulation of the connections, the distributed inference one in particular. I am looking at the formatting, and there were ways to get more space perhaps a couple pages more in my experience. Plus some of the planning details could have been relegated to the appendix. _x000D_
_x000D_
_x000D_
In the context of the five review elements, please _x000D_
evaluate the strengths and weaknesses of the proposal with respect to broader impacts._x000D_
_x000D_
- for the topic of its complexity, the "advanced manufacturing" application area is barely sketched._x000D_
_x000D_
+ "learning at the sensor" is an excellent research direction._x000D_
_x000D_
+ the aim of reaching an international audience by use of modern cyber infrastructure is an original idea._x000D_
_x000D_
- the notion of prudent effort of reaching out to diverse communities is a good one if it is what I think it is, but since it is used so often you should probably be better described._x000D_
_x000D_
+ the structure and topic of the workshops are very appealing, and their experience seems to be very strong to carry out such a program of dissemination. Section 3.1+_x000D_
_x000D_
+ the ideas and structure of "innovation labs" is original in terms of its details in connection to existing structures and program of study. Section 3.2_x000D_
_x000D_
- we would have liked some examples of transdisciplinary projects for students, given its focus in the call for proposals would have been good to have some detail. Section 3.4_x000D_
_x000D_
+ reaching out to international audiences is a very compelling thought of this proposed work._x000D_
_x000D_
_x000D_
Please evaluate the strengths and _x000D_
weaknesses of the proposal with respect to any additional solicitation-specific review criteria, if _x000D_
applicable_x000D_
_x000D_
+ the idea of co-supervision of PhD students and postdocs by multiple mentors is, in the experience of this reviewer, one of the best ways to initially create workforce that has versatility in multiple areas. _x000D_
_x000D_
+ The integration of the proposed work with existing sizable efforts on campus, such as the interdisciplinary research Institute for data engineering and science is very promising._x000D_
_x000D_
+ there are decent plans of operations and ramping up in phase 2._x000D_
_x000D_
+ The communication and marketing ideas are quite compelling, having a specialized individual is absolutely warranted for so many technical people involved._x000D_
_x000D_
- Computer science does not appear to be explicitly represented (unless one takes a very theoretical point of view)._x000D_
_x000D_
Summary Statement_x000D_
_x000D_
This is a very strong proposal, with well thought out ideas and   compelling directions of research, in the middle of a campus with strong support for data science with which aims to connect, and with exceptional investigators. Some novel directions would require more detail and the connections between the parts may not be perfect. The computer science angle is barely touched unless one takes a very theoretical point of view, but some of the strong ideas, such as distributed inference, have unmistakable connections. Overall I find the proposal compelling._x000D_
_x000D_
</t>
  </si>
  <si>
    <t xml:space="preserve">In the context of the five review elements, please _x000D_
evaluate the strengths and weaknesses of the proposal with respect to intellectual merit._x000D_
_x000D_
The proposal is for a Data Science institute focusing on_x000D_
1) advanced mathematical modeling for contemporary data_x000D_
2) inferential strategies that are both scalable and decentralized with tradeoffs between computational speed and statistical accuracy_x000D_
3) efficient optimization with theoretical guarantees_x000D_
4) applications in domains leveraging large data_x000D_
_x000D_
The PIs for a very impressive interdisciplinary team of foundational researchers and are already establishing vibrant Data Science activities at Georgia Tech._x000D_
_x000D_
The details of the research topics in 1) - 3) are somewhat vaguely described and it is not clear exactly what the PIs will actually do or how they plan to attack each problem, or whether some of it is already done and waiting to be applied (e.g. STINGER - no reference). The proposal focuses more on the motivation for addressing_x000D_
these problems, but the motivations are already well established and known throughout the communities. This lack of detail does raise some concerns._x000D_
_x000D_
Some of the topics in each of 1)- 3) explicitly overlap (e.g.optimization and distributed computation). That these are not combined illustrates the difficulties of PIs from different fields not necessarily collaborating and identifying shared research topics. _x000D_
_x000D_
The PIs explicitly intend to integrate domain scientists which is a very good sign rather than focusing exclusively on theory and foundations.  Exactly how this integration will occur is not clear from the proposal._x000D_
_x000D_
A Data Science institute will have synergy with several other activities and initiatives at Georgia Tech, including an NSF regional big data hub led by Georgia Tech._x000D_
Collectively, these *may* provide critical mass to make a vibrant community working together each day rather than an institute whose members only meet weekly or less frequently.  There are major plans for the data science academic and industry communities to be colocated starting in 2019._x000D_
_x000D_
There is a some vague hyperbole and bold claims that would benefit from details._x000D_
_x000D_
Overall, more details on the research being proposed would be valuable._x000D_
_x000D_
The proposal wisely borrows planned activities from existing Math &amp; Statistics institutes (e.g. SAMSI) with research labs &amp; working groups and_x000D_
innovation labs explicitly mentioned, short and long-term visitors.  This is important as some other proposals did not explicitly address how the research_x000D_
would be done but assumed it would just happen and researchers from different disciplines would spontaneously collaborate.  The proposal could make how these_x000D_
will function more explicit._x000D_
_x000D_
While somewhat vague, there is reason to believe the groups will work synergistically._x000D_
_x000D_
The proposal focuses on the traditional narrower view of data science, and does not address important issues such as_x000D_
provenance, reproducability, ethics, governance. Unfortunately, the mindset seems to be more traditional Math, Stat, CS._x000D_
_x000D_
_x000D_
In the context of the five review elements, please _x000D_
evaluate the strengths and weaknesses of the proposal with respect to broader impacts._x000D_
_x000D_
Introduce students &amp; postdocs to collaborative, interdisciplinary research._x000D_
Outreach to URMs_x000D_
Workshops_x000D_
Public outreach via lectures, Web portal, etc._x000D_
On-line degree programs that aim to cover topics not usually taught in courses._x000D_
_x000D_
_x000D_
Please evaluate the strengths and _x000D_
weaknesses of the proposal with respect to any additional solicitation-specific review criteria, if _x000D_
applicable_x000D_
_x000D_
a. The program is, for the most part, well integrated across the research topics and training of the students involved._x000D_
_x000D_
b. Yes, the proposal is very much in line with the TRIPODS description and has a foundational focus._x000D_
_x000D_
c. The workforce development seems to be in the research training and developing some data science courses._x000D_
_x000D_
d.  Yes, I believe there will be synergy between the fields._x000D_
_x000D_
e.  The team is very likely to be able to articulate a vision for the foundations of data science, although specifically the traditional areas and less so the broader elements of the pipeline which are not always considered foundational._x000D_
_x000D_
f. Yes, the expertise of the PIs is good and complementary._x000D_
_x000D_
g.  Reasonable plan for integration with domain sciences and industry._x000D_
The proposal mentions manufacturing, sensor arrays and biological data. There are researchers mentioned in the collaboration plan from these areas and so we assume these are the domain scientists._x000D_
_x000D_
h.  The proposal seems reasonable for justifying the investment, but is a little vague. The Phase II plans are more exploratory and aspirational than concrete._x000D_
In Phase II, the PIs plan to extend outreach to K-12 students and teachers._x000D_
_x000D_
i.  The collaboration and evaluation plan includes "progress toward solving the problems posed, development of models or algorithms, data collected, the engagement with end users and stakeholders, relevance to the institute, technical accomplishments and innovation of approaches, publications and presentations, progress toward transition, involvement of students, engagement with other components of TRIAD".  These go beyond the typical, simple-minded number of publications, citations, etc. which is very good._x000D_
In other words, they say what they will measure, along with surveys, etc.  but not what would constitute success._x000D_
They somewhat suggest they will define the definition of success in year 1._x000D_
_x000D_
j.  There will be semi-annual reports from the research groups. And there will be an internal and external advisory board._x000D_
There are several management committees which should monitor the activities._x000D_
_x000D_
_x000D_
Summary Statement_x000D_
_x000D_
The research topics are  interesting and the PI team is excellent._x000D_
There are excellent opportunities for symbiotic/synergistic development of a TRIPODS institute with developing entities at Georgia Tech._x000D_
_x000D_
The description of research plan is a little too high-level, hyperbolic and lacking in details._x000D_
_x000D_
The proposal mentions that Georgia Tech has several indsutrial connections and lists specific companies._x000D_
However, it is not clear from the proposal whether the PIs will be able to meaningfully engage with them,_x000D_
but we can assume they will._x000D_
_x000D_
The applications section (2.4) is encouraging but lists one problem area and then alludes to general problems in sensor arrays._x000D_
The senior personnel includes domain researchers. We are left to assume that these will be engaged in making these application areas a real_x000D_
and meaningful part of the institute's activities as it is not made explicit in the proposal._x000D_
_x000D_
_x000D_
_x000D_
_x000D_
</t>
  </si>
  <si>
    <t xml:space="preserve">In the context of the five review elements, please _x000D_
evaluate the strengths and weaknesses of the proposal with respect to intellectual merit._x000D_
_x000D_
+ The directions are broad considering the four phases/threads in data science: new models for data, inference from data, provable algorithms, and applications to data science. _x000D_
_x000D_
+ The PIs affiliated with the proposal have a very strong track-record, particularly in the context of theoretical foundations of data science. This is especially so, if the 30-odd faculty who will be affiliated with the institute are also included. _x000D_
_x000D_
+ Three workshops each year along the three research themes of focus. The initial ones will be on Randomness in Data Science and Optimization, Optimization Challenges (non-convex, high-dimensions), and in decentralized inference and deep learning. The organizing committees of these workshops consists of experts and leaders in these fields from Georgia Tech.   _x000D_
_x000D_
- The proposal doesn't talk about concrete directions, or grand research challenges where they think progress can be made. Some of the descriptions are vague, especially in section 2.1 (e.g., data inspired random matrix analysis and algorithms). However, these broad directions are timely, and the strong track record of the personnel involved helps. _x000D_
_x000D_
- The proposal doesn't mention which PIs or personnel will be associated with the specific directions mentioned (this would have helped understand the approaches). Also, sections 2.1-2.3 give broad descriptions of these areas, without an indication of why we are likely to make progress on these theoretical fronts._x000D_
_x000D_
In the context of the five review elements, please _x000D_
evaluate the strengths and weaknesses of the proposal with respect to broader impacts._x000D_
_x000D_
+ The proposal has plans to engage undergraduate and K-12 students (especially in Phase 2). _x000D_
+ They plan to work with Georgia Tech online degree programs on graduate courses in data science. Also launching a PhD program in Machine Learning, that should tie in well. _x000D_
+ PI Randall and PI Tetali have a good track record of diversity outreach._x000D_
_x000D_
Please evaluate the strengths and _x000D_
weaknesses of the proposal with respect to any additional solicitation-specific review criteria, if _x000D_
applicable_x000D_
_x000D_
+ The team of PIs and senior personnel affiliated with the institute have strong expertise in all three areas. In fact, the personnel involved are very prominent people covering TCS, optimization, math, statistics and applied data science communities. _x000D_
_x000D_
+ The institute can take advantage of the existing overlap between CS and Applied Math through the ARC program. _x000D_
_x000D_
+ They have a fairly comprehensive Evaluation plan and Collaboration plan._x000D_
_x000D_
+ They have an existing Georgia Tech Institute for Data Engineering and Science (IDEaS), managed by PI Aluru and PI Randall. They plan to use the administrative staff from IDEaS, so that setup is quicker and easier. _x000D_
_x000D_
+ Georgia Tech is investing in a new building (Coda) to house related data science initiatives IDEaS. _x000D_
_x000D_
- On the flip side, there may be more benefit to be gained by a new institute in a university which does not already have such a data science related center._x000D_
_x000D_
Summary Statement_x000D_
_x000D_
The proposal from Georgia Tech aims to create a research institute called TRIAD, and involves a large and diverse teams of PIs and co-PIs. The PIs and personnel associated with the proposal have an excellent track record of working on foundational questions related to data science and ML. They already have infrastructure in place to hit the ground running, and scale up to Phase 2 as well. The proposal would have been even stronger if there were concrete research challenges and approaches for each of the themes._x000D_
_x000D_
</t>
  </si>
  <si>
    <t>The Georgia Institute of Technology proposes to create the Transdisciplinary Research Institute for Advancing Data Science (TRIAD). TRIAD will integrate research and education in mathematical, statistical, and algorithmic foundations for data science. It will initially focus on four threads of research topics: (1) advanced mathematical modeling for contemporary data, (2) new inferential strategies that can be both scalable and de-centralized, (3) efficient optimization tools with theoretical guarantees, and (4) applications in the context of large datasets from domains including biology, design, manufacturing, logistics, and sustainability. TRIAD will have a periodic review of the past, present, and future projects, enabled by its leadership and committees, both internal and external.Analysis of massive, dynamic, noisy and complex data arising in virtually every sphere of human activity is a pressing challenge of our times, and an area of great importance for its economic and societal impact. TRIAD will be particularly well placed to address the growing challenges in establishing the foundations of data science, much of which lie at the intersection of computer science, statistics, and mathematics. TRIAD's intellectual focus is to design and build transdisciplinary research programs that provide an enabling and cross-fertilizing platform of ideas and stakeholders (including theoreticians/scientists from domain sciences and users of technology). In Phase I, TRIAD's main mode of operation is in hosting focused working groups, national and international workshops, and organized innovation labs. Participants include senior, mid-career, and junior faculty members, postdoctoral fellows, graduate and senior undergraduate students, and data science practitioners at large. In Phase II, besides strengthening and extending, we will pursue activities that engage undergraduate and K-12 students, as well as K-12 school teachers. All TRIAD activities will involve interdisciplinary personnel from the three foundational disciplines. TRIAD will deploy information technology and communication infrastructure to quickly and efficiently disseminated its research and activities, while the research community at large can easily access and comment/critique TRIAD's choice of research programs and topics. The utilization of contemporary cyber-infrastructure is likely to lead to international impact and collaboration, which further enhance the institute's capabilities. The institute creates an intellectual atmosphere that connects theoreticians, practitioners, and scientists from across the nation and worldwide on a regular basis. Findings resulting from TRIAD's activities will lead to presentations at major conferences and publications in refereed journals.TRIAD will enrich careers of participants ranging from undergraduate students to senior researchers from around the nation in due time. Postdoctoral fellows and graduate students are introduced to collaborative research in the proposed activities and through workshops. TRIAD will make prudent efforts to reach out to diverse communities including participants from smaller colleges and institutions serving under-represented minorities. TRIAD will actively engage in outreach through public lectures, press releases and dissemination via other internet channels. TRIAD will work with associated professional societies, including Association for Computing Machinery,  American Statistical Association, American Mathematics Society, Mathematical Association of America, Society of Industrial and Applied Mathematics, IEEE, and likely others to provide stimulus to data-science-related initiatives. TRIAD will work with the Georgia Tech online degree programs on graduate courses, so that students across the nation can learn about state-of-the-art and interdisciplinary research topics that are not typically covered within traditional campus courses. During Phase II, additional activities (such as customized workshops) will combine interactive projects and field trips to acquaint undergraduate and/or high-school students from all over the US with data-science-related techniques and the themes of the TRIAD's year-long programs. Effort will be made to make products and lectures available online and to enable remote participation.</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</si>
  <si>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SUNY Data Science Institute (SUNY-DSI)_x000D_
_x000D_
L: 1740779 Carbonara, Joaquin SUNY Col Buffalo $  285,964_x000D_
N: 1740731 Sperhac, Jeanette SUNY Buffalo $  209,549_x000D_
N: 1740743 Bichindaritz, Isabelle SUNY Oswego $  361,729_x000D_
N: 1740745 Walters, Lisa SUNY Fredonia $  248,472_x000D_
N: 0 12:00:00 AM, Sanjeena SUNY Binghamton $       0_x000D_
_x000D_
_x000D_
P172027 NDP TRIPODS Panel 1, Not Discussed in Panel (G,G,P)_x000D_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</si>
  <si>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project involves activity across several SUNY campuses.  The main_x000D_
focus is on training, specifically training students and training_x000D_
people from business/industry in the established techniques of_x000D_
data science.  There also is a component of original research, but_x000D_
it is less of a focus than in several other proposals.  Furthermore,_x000D_
that research is less focused on the theoretical foundations of_x000D_
data science, and more on solving specific problems._x000D_
_x000D_
The proposal does not give details of specific problems to be worked_x000D_
on, but just described general classes of problems, such as_x000D_
identifying clustering or finding optimal parameters.  The VIDIA_x000D_
Gateway (an online platform which enables users to run a variety_x000D_
of software in their browser) plays a prominent role.  The use of_x000D_
VIDIA is primarily to make use of existing tools, and generally does_x000D_
not constitute the type of research intended for TRIPODS.  Hoewever,_x000D_
it does contribute to the TRIPODS themes of providing a unified_x000D_
curriculum and engaging industry._x000D_
_x000D_
The greatest strength of this proposal is its education component,_x000D_
which also brings together the three themes of math, stat, and CS._x000D_
In some sense, education is too much of a focus, if the plan of_x000D_
tutoring businesses "how to collect, assess, house, and evaluate_x000D_
their existing data" is viewed as education.  The proposal would_x000D_
be stronger if there were more emphasis on engaging business as a_x000D_
resource to better understand the classes of problems on which there_x000D_
is a need for theoretical progress._x000D_
_x000D_
In the context of the five review elements, please _x000D_
evaluate the strengths and weaknesses of the proposal with respect to broader impacts._x000D_
_x000D_
This proposal would have strong broader impacts through significant_x000D_
training of students, and significant transfer of knowledge to_x000D_
businesses, enabling them to make better use of relevant data._x000D_
_x000D_
The proposal clearly describes how the project personnel will_x000D_
contribute to broader impacts through enhancements to VIDIA,_x000D_
and through the development of new courses and masters degree_x000D_
programs._x000D_
_x000D_
_x000D_
_x000D_
Please evaluate the strengths and _x000D_
weaknesses of the proposal with respect to any additional solicitation-specific review criteria, if _x000D_
applicable_x000D_
_x000D_
The proposal describes a "well-integrated research and training_x000D_
program", but the proposed program is heavily slanted toward applying_x000D_
existing knowledge.  A more theoretical basis would strengthen the_x000D_
proposal, although the proposed work will provide strong workforce_x000D_
development._x000D_
_x000D_
The regionally-based work at some SUNY campuses in Phase I_x000D_
would grow into other regions in Phase II.  The most obvious_x000D_
difficulty with this model is that the result would_x000D_
not be of general benefit the wider community, as one might expect_x000D_
from an NSF Institute._x000D_
_x000D_
The evaluation plan, specifically the criteria for success, are not_x000D_
described in sufficient detail.  Phrases employed are "measure how effectively the Institute promotes" and "measure how effectively it encourages organizations to utilize data science", which do not_x000D_
inherently describe how to measure success.  It is described that_x000D_
the ultimate measure of success is published papers, additional,_x000D_
funding, industry support, etc.  Those measure do not say anything_x000D_
about the effectiveness of Phase I to prepare for Phase II._x000D_
_x000D_
_x000D_
_x000D_
Summary Statement_x000D_
_x000D_
This proposal is lacking in various key areas of the TRIPODS_x000D_
solicitation, however it does have strong broader impacts and_x000D_
a strong education/training component._x000D_
_x000D_
The data management plan is adequate, primarily consisting of_x000D_
routine plans to disseminate papers and software._x000D_
_x000D_
</t>
  </si>
  <si>
    <t xml:space="preserve">In the context of the five review elements, please _x000D_
evaluate the strengths and weaknesses of the proposal with respect to intellectual merit._x000D_
_x000D_
This is a joint proposal from 5 different SUNY campuses. The emphasis is on laying out a meticulous plan for the organization of the institute, with a clear goal and mission for the local and global economy and ambitious plans for a Phase II expansion. The proposed research component receives relatively less attention. _x000D_
_x000D_
There are concrete research directions. One of them could be considered as 'meta-research' as it proposes the development of an ontology for data science. The other two are topics that indeed can benefit from the synergy between the communities._x000D_
_x000D_
Strength: +_x000D_
Weakness:  __x000D_
_x000D_
Proposed Research_x000D_
+ The 'meta-research' topic addresses in some way the broad them of developing common concepts and synergies. _x000D_
_x000D_
+ The other two proposed research directions address problems that can enable communication and interaction with the domain sciences._x000D_
_x000D_
- The proposed research receives very little space and attention (about 0.5 page), and while a synergy is possible, it is not described in detail. _x000D_
_x000D_
- I would not consider the proposed topics foundational. _x000D_
_x000D_
+ The proposal is extremely strong in center-like activities that leverage significant preexisting experience and infrastructure._x000D_
_x000D_
_x000D_
_x000D_
In the context of the five review elements, please _x000D_
evaluate the strengths and weaknesses of the proposal with respect to broader impacts._x000D_
_x000D_
+ The proposal is strong in broader impacts, as it encompasses several SUNY campuses, and faculty that includes researchers and teachers at several levels._x000D_
_x000D_
+ There are concrete plans for industry engagement, and the proposal will likely have a good impact in the local economy. _x000D_
_x000D_
+ A positive aspect is the design of new MOOCs, which builds upon previous experience of the senior personnel. This can potentially have a much broader impact in data science._x000D_
_x000D_
Please evaluate the strengths and _x000D_
weaknesses of the proposal with respect to any additional solicitation-specific review criteria, if _x000D_
applicable_x000D_
_x000D_
+ The proposal is very strong in the organizational aspect. The proposal contains very well planned details, a strong assessment plan and clear plans for a Phase II expansion. _x000D_
_x000D_
+ Interesting center-like activities are proposed. _x000D_
+ An advisory board will be formed._x000D_
_x000D_
- The proposal does not make a clear case on how the institute will serve the *foundations* of data science, as opposed to data science in general. Excluding some specific sporadic references to foundations and synergy, the proposal could very well stand as a generic data science institute proposal. Perhaps, only its leadership would indicate such a 'foundational' direction._x000D_
_x000D_
Summary Statement_x000D_
_x000D_
This is a good proposal, with a very strong and detailed plan for a data science institute in the upper NY state area. The focus of the proposal is in the organizational aspects of the Institute, and the proposed actitivies likely justify the amount of requested funding. The proposal gives less details about the proposed research, which might be OK considering that the senior personnel and the broader community at SUNY is clearly well qualified to produce first-rate research. The main negative point and worry is that the proposal has a notably more 'generic' character than one would expect, i.e. the attention to foundational aspects of data science is somewhat limited. However, if the proposal is funded, the advisory board that is included in the proposal will be hopefully able to steer the institute to the 'right' direction, which of course would be a crucial element of success for Phase II. For this reason I am willing to overlook this weakness._x000D_
_x000D_
</t>
  </si>
  <si>
    <t xml:space="preserve">In the context of the five review elements, please _x000D_
evaluate the strengths and weaknesses of the proposal with respect to intellectual merit._x000D_
_x000D_
The proposal is overwhelmingly focused on education._x000D_
_x000D_
The proposal seems to be quite incompatible with the TRIPODS call._x000D_
The institute would be essential virtual, meeting monthly._x000D_
There seems to be very little foundational research._x000D_
The focus is on education, applied problem solving and technology transfer, and industrial outreach._x000D_
These are all very good things.  However, these are far from foundational._x000D_
More importantly, the description of some of the statistical machine learning seems not to be at the highest-level , but seems to misunderstand some fundamental concepts, and also the similarities and overlap between statistics and machine learning.  I worry that the education may be misleading._x000D_
_x000D_
Even the educational aspirations don't appear to focused on developing new pedagogical techniques, but using those of others._x000D_
There is no sense about how research and education would actually evolve._x000D_
_x000D_
The proposal did not do a good job identifying the roles of the different research communities and how they would collaborate synergistically.  Instead, it somewhat indicated a lack of collaboration but a pipeline of passing problems of one community to another._x000D_
_x000D_
The novel center-like activities seem to not to act like a center._x000D_
The interactions will be much less frequent than a center and will be mostly virtual._x000D_
There were very few details in how the activities would actually occur, just simple high-level declarations and aspirations._x000D_
_x000D_
There is very little indication that interesting synergies would occur between the disciplines/communities._x000D_
_x000D_
The PIs developing ontologies which may address the common terminologies and concepts, but the authors did not indicate this was a goal or expected outcome._x000D_
It would build on existing ontologies and add updating and integrative aspects across disciplines. It is not clear that the PIs have the expertise to be able to provide this integration accurately._x000D_
_x000D_
The proposal is overly application-aware or focused for a foundational institute_x000D_
and the applications are not very detailed at the domain-level. Furthermore, there are really only three potential domains - biology, medicine, energy-aware computing for data science._x000D_
_x000D_
The proposal addresses industry engagement as a primary motivation, but does not offer concrete plans of the engagement would actually occur other than via an Advisory board. _x000D_
_x000D_
The proposal aspires to create new courses but does not address conceptual aspects of a curriculum._x000D_
_x000D_
Rather than discussing what the project would do, a lot of the description_x000D_
was focused on justifying the role and promise of data science which was implicit in the TRIPODS call. _x000D_
_x000D_
The VIDIA gateway is a means to simplify basic computing. It is not really a part of the research or something that students would use after graduation. It is merely a means to an end and not necessarily ideal from a pedagogical perspective at the senior-level._x000D_
_x000D_
I understand the difficulties associated with  a multi-campus proposal, especially where the teaching load is high.  However, the proposal is weak and the quality and content of the proposal makes me feel we can't support this proposal._x000D_
_x000D_
In the context of the five review elements, please _x000D_
evaluate the strengths and weaknesses of the proposal with respect to broader impacts._x000D_
_x000D_
The intended broader impacts are new courses, a MOOC certificate, seminars, Web portal for Data Science knowledge, industrial engagement and impact on the economy. Unfortunately, there are few concrete details and I have concerns about the quality._x000D_
_x000D_
_x000D_
Please evaluate the strengths and _x000D_
weaknesses of the proposal with respect to any additional solicitation-specific review criteria, if _x000D_
applicable_x000D_
_x000D_
There proposal does not articulate a strong for either research or training, and certainly not an integrated approach to these._x000D_
_x000D_
The workforce development is weak._x000D_
_x000D_
The project hardly brings theories from any field, let alone connects them across fields._x000D_
_x000D_
There is no vision for identifying a vision for the foundations of data science._x000D_
_x000D_
The collaboration plan is vague and not strong._x000D_
_x000D_
Connections to the domain sciences and industrial partners is a large goal of the proposal. Unfortunately, the details are again very vague and have a significant uncertainty in being realized._x000D_
_x000D_
There are very few details, ideas or even content on plans for Phase II.  The Phase II plan consists of 3 paragraphs. The largest is just a boilerplate description of SUNY's demographics and rankings.  The aim for Phase II is to target_x000D_
other SUNY institutions. But there is no reason to believe this will improve the vision._x000D_
_x000D_
The evaluation plan is poorly displayed, articulated and conceived. Basically it is  aspirational and generic._x000D_
_x000D_
_x000D_
Summary Statement_x000D_
_x000D_
The proposal suggests that the PIs have not understand the requirements of the TRIPODS call, or even basic aspects of the connections between data science, machine learning, and statistics or even some of the basic concepts._x000D_
_x000D_
There are very few actual details of their proposed work, but a lengthy description of a student computing platform (VIDIA) developed at SUNY._x000D_
_x000D_
</t>
  </si>
  <si>
    <t>The SUNY-Data Science Institute project proposes to combine faculty and members from different institutions, disciplines, and roles (researchers, teachers, consultants, and others) to advance transdisciplinary research and training in data science and big data analytics, with a focus on infusing practical applications with data science theory. This institute will promote the development of foundational knowledge, the implementation of novel, effective classroom training techniques, and the incorporation of experiential learning. SUNY is one of the largest U.S. university systems, encompassing 64 campuses, which include research universities, four-year colleges, and community colleges. It is also one of the major economic drivers in the state. The institute will therefore serve as a bridge between academia and industry. Our team includes accomplished scholars and educators from computer science, mathematics, and statistics from five SUNY campuses: Binghamton, Buffalo (UB), Buffalo State (BS), Fredonia, and Oswego. An advisory board including people from industry and academia will oversee the activities of the institute._x000D_
The overall goals of the project are to:_x000D_
1. Create a SUNY Institute for Research and Training in data science serving as a catalyst for defining the scientific infrastructure enabling defining the science of data from experience._x000D_
2. Define and launch the research agenda of the institute to foster the mapping of the theoretical realms of data science to the practical realms of applied science and industry._x000D_
3. Define and launch the educational agenda of the institute through innovative instructional methods and technology._x000D_
4. Define and launch the community sharing and dissemination of methods, tools, and processes to benefit local partners, the local community, NY state, the country, and the world._x000D_
5. Evaluate and improve the institute?s performance at enabling the enrichment and transfer between theory and practice in data science._x000D_
6. Share the unique infrastructure as a model for other parts of the country and the world.This project will launch an institute with the goal of bringing the field of data science to an unprecedented level of scientific maturity. To do so, it will bring together experts in the theoretical disciplines that comprise data science, to provide solutions to the major challenges in application domains from STEM, the medical sciences, and industry. This approach will bridge the gaps created by the divergence of approaches among scientific communities, fostering the emergence of a novel synergistic knowledge framework for data science as it creates a new, common scientific gateway for sharing approaches and solutions. The SUNY Data Science Institute will be a unique transdisciplinary resource to which data science researchers, practitioners, educators, and learners will turn for inspiration, fresh approaches, and answers to their research, practice, pedagogy, and learning questions.The proposed institute will serve as a catalyst for innovations to industry and education in the Upstate New York region, which currently suffers from the migration of the young population to areas with more economic opportunities. The knowledge created by the institute will be shared freely through its data science portal, seminars, conferences and its MOOC-like educational offerings, reaching underrepresented populations in the community. The interdisciplinary nature of the institute will enable its researchers, practitioners, and students to find solutions to challenges in application domains such as medicine and biology. The institute?s activities will be fueled by the specific datasets, resources, goals, and questions of disparate application domains, such as medicine. The resulting transdisciplinary data science concepts, methods, and algorithms will then be applied to improve outcomes in medicine, biology, and other domains. The unique infrastructure and model of this institute can be shared with other regions that face these economic challenges, thus fueling the global economic engine.</t>
  </si>
  <si>
    <t xml:space="preserve"> Panel Summary       
  _x000D_
Description: The proposal is to leverage topological data analysis (TDA) to capture higher order structures in data and use them in machine learning framework to enhance the performance in data science. The PIs argue that replacing the traditional vectorization of data with higher order structures has potential to improve the state-of-the-art. A plan for building an institute around this theme is planned under the aegis of the existing facilities of UFII._x000D_
_x000D_
Intellectual Merit: _x000D_
_x000D_
Strengths _x000D_
 + The proposal is in general well written._x000D_
 + The use of topological data analysis in machine learning framework is timely and worthwhile goal. _x000D_
 + Necessary expertise in TDA and machine learning are there. In particular, the persistence landscape, a well known technique in TDA aimed toward fusing it into the machine learning framework was initiated by one of the PIs._x000D_
 _x000D_
Weaknesses _x000D_
 - The proposal does not connect TDA with the machine learning beyond mentioning the use of persistence landscapes. Sections on topological data analysis and the sections on machine learning are somewhat disconnected._x000D_
 - The proposal does not convince the panel that the team includes sufficient expertise in theoretical computer science necessary for achieving the goals._x000D_
_x000D_
Broader Impact:_x000D_
_x000D_
Strengths _x000D_
 + Fusion of TDA and machine learning is a noble goal to broaden the scope of data science._x000D_
 + The existing facilities in UFII can be leveraged to build the institute for data science._x000D_
 + The training and education plan are well though out. _x000D_
_x000D_
Weaknesses _x000D_
 - Building the more specialized TRIPODS institute under the more general existing UFII institute can be viewed as asking more resources for the larger institute._x000D_
_x000D_
_x000D_
TRIPODS-specific criteria:_x000D_
_x000D_
Strengths _x000D_
 + Building the more specialized TRIPODS institute under the existing UF informatics institute has some advantages and also some concerns._x000D_
 + Good plan for workforce development through internships, workshops, weekly meetings._x000D_
 + Good undergraduate training plan._x000D_
 _x000D_
Weaknesses _x000D_
 - The panel was concerned that a more specialized institute within an existing institute, without the addition of theoretical computer science expertise, would serve the aims of the original institute more than it would advance the goals of the TRIPODS program. _x000D_
_x000D_
 - It is doubtful how will it scale for phase II while remaining under the aegis of the larger institute._x000D_
_x000D_
_x000D_
Collaboration and Evaluation Plan: The PIs have come together to put forward the synergistic topic of using TDA into machine learning framework. They plan to collaborate more closely on this topic. A more detailed description about the knowledge transfer between TDA and machine learning at the PI level would be more convincing. The plan for recruiting an independent evaluator for the program is noteworthy._x000D_
_x000D_
Data Management Plan: The plan for maintaining GitHub repository for disseminating the results, data, pictures is appreciated. _x000D_
_x000D_
Post-doctoral Mentoring Plan: A detailed post-doctoral plan is provided._x000D_
_x000D_
What is bold, exciting, high risk/reward, or potentially transformative? The fusion of TDA into the machine learning framework to enhance the scope of data science is seen as a bold and exciting step. However, more details about this synergy is necessary to make the proposed research potentially transformative._x000D_
_x000D_
_x000D_
Justification for Panel Rating: The panel felt that the fusion of TDA with the machine learning framework should have been described more thoroughly and beyond persistence landscape. The proposal did not demonstrate that the team had expertise in theoretical computer science that would be needed to support the project. Some doubts were expressed about how the specialized institute under the aegis of an existing institute would scale up for phase II._x000D_
_x000D_
Panel Rating: _x000D_
_ Highly Recommended _x000D_
_ Recommended _x000D_
X Not Recommended _x000D_
_x000D_
The summary was read by/to the panel and the panel concurred that the summary accurately reflects the panel discussion.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</si>
  <si>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UF Institute for Learning from Higher Structured Data_x000D_
_x000D_
L: 1740780 Michailidis, George University of Florida $ 1,500,000_x000D_
_x000D_
_x000D_
P172027 NR TRIPODS Panel 1, Not Recommended (V/G,V/G,V/G)_x000D_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</si>
  <si>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In this proposal, the PIs consider the problem of enhancing machine learning techniques by using features from topological data analysis. They argue that the traditional machine learning techniques can benefit from using higher order structures in data that may not be readily captured by the vectorization. The primary link between topological data analysis and the machine learning framework will the persistence landscape, a concept initiated by Bubenik, one of the co-PIs._x000D_
_x000D_
This is a noble goal and I think topological data analysis has lot to offer in this direction. The proposal has laid out the basics of both fields nicely with examples and reasoned out legitimately why the two fields will benefit from a synergy. However, this reviewer thinks that more details are necessary to explain how exactly topological features will be used for actual machine learning tasks. By this time, it is well established that the persistence diagrams can be converted to feature vectors by various means as the proposal has already mentioned. These feature vectors can then be used for supervised/unsupervised learning. The proposal does not offer much beyond this basic point._x000D_
_x000D_
The writing of the proposal is uneven and perhaps shows the disconnect between the two components. Section 2.1 lays out the very basic principles of persistent homology and topological data analysis based on that. Then, section 2.2 is supposed to connect these topological concepts into the machine learning framework. But, it was a little disappointing to see that section 2.2 is pretty much an independent exposition on various machine learning optimization issues. Except for the mention that topological feature vectors can be used to facilitate the process, there is hardly any more exposition about this synergy in otherwise quite detailed optimization framework. Then, section 2.3 proposes very superficially to use learning to improve the filtration for persistence, but again the very basic details are missing._x000D_
_x000D_
In general, I liked reading the first part of the proposal, but then the technical parts thinned down. I would have rated it higher if the PIs thought through the problems more thoroughly and presented some early experimental results given that the persistent landscape has been around for a while._x000D_
_x000D_
_x000D_
_x000D_
_x000D_
In the context of the five review elements, please _x000D_
evaluate the strengths and weaknesses of the proposal with respect to broader impacts._x000D_
_x000D_
The main broader impact mentioned is that the fusion of topological data analysis with machine learning techniques will broaden the scope of data science. The higher order structure exploited by topological data analysis will enhance the capabilities of different machine learning framework including deep learning. Training the students, doctoral and post-doctoral participants through various research and collaborative activities in data science will benefit the society by creating future workforce._x000D_
_x000D_
Please evaluate the strengths and _x000D_
weaknesses of the proposal with respect to any additional solicitation-specific review criteria, if _x000D_
applicable_x000D_
_x000D_
(i) The PIs plan to use the facility of the UF Informatic Institute (UFII) to build the TRIPODS institute. Existence of such a facility is certainly a plus._x000D_
(ii) The PIs plan to develop curriculum with courses on various topics of data analytics. These efforts will span multiple departments as required. They will have a strong undergraduate training component by partnering with the groups at UFII. _x000D_
(iii) For workforce development, they propose to have internships program connecting with industry and research labs, annual workshops, and visiting scholar programs. Weekly meetings in the form of a Journal club is a good idea. _x000D_
(iv) For dissemination of results, they will maintain dedicated web-pages and GitHub repositories. They will post the results with pictures, videos, and data._x000D_
(v) There is a well laid out plan for post doctoral management._x000D_
(vi) The PIs plan to collaborate on the project. There is no current collaboration among the PIs. The collaboration plan does not provide detail about the knowledge transfer needed between the TDA and machine learning at the PI level. There is a clear timeline mentioned to carry out the activities._x000D_
(v) It is mentioned that the activities will be scaled up for phase II_x000D_
(vi) The PIs plan to recruit an individual tasked with evaluating the program activities on regular basis._x000D_
_x000D_
_x000D_
_x000D_
Summary Statement_x000D_
_x000D_
This is a reasonable proposal but short in innovative details. The collaboration among the PIs at the technical level is not detailed. I would rank it as not a very high, but a reasonable proposal._x000D_
_x000D_
</t>
  </si>
  <si>
    <t xml:space="preserve">In the context of the five review elements, please _x000D_
evaluate the strengths and weaknesses of the proposal with respect to intellectual merit._x000D_
_x000D_
The proposal is on discovering and analyzing structure in high dimensional data by discovering association structures from the datasets themselves, then combining those with vector space representations of the data, and finally using machine learning techniques to discover underlying topological structures. The PIs' goal is to preserve higher order structures within the date through their representation so that relationships that are not obvious using other representations are available to the learning algorithms. Various forms of these have been used separately by CS, mathematics, and statistics, but the PIs would like to bring them together to form a synergy that will lead to more effective analysis. Among other things, the PIs want to combine topological data analysis with supervised learning, improving the outcome of the learning process. _x000D_
There is already an institute at UF called the UF Informatics Institute, that aims to develop and nurture core and applied informatics techniques, founded by PI Michailidis. The PIs would like to establish a TRIPODS institute that will follow a similar trajectory in the area of DS, which will operate within the UFII. The PIs propose establishing a graduate DS concentration 6 courses, as well as recruiting and training undergraduates for projects, as well as mentoring them. They will have lab rotations, a a weekly journal club (a forum for students/postdocs where they discuss and present research), annual workshops, a student-run seminar, an internship program, and a visiting scholar program._x000D_
The proposal identifies research areas and topics, and outlines the approaches to these problems. The roles of individuals and/or disciplines are reasonably clear. The role and the activities of the center, along with its relationship with its parent center, UFII are clearly explained. The interaction between the communities involved is explained; it sounds feasible and useful for this type of research. (The group might benefit from a TCS person though.) The work will explore common themes between the disciplines and develop a joint approach. The suggested techniques and their marriage seems like a good direction to follow that takes into account the emergent high dimensional data paradigm. It is not entirely clear how application-aware the research will be, but it seems like it is especially suited for certain domains. As a corollary, I'm not sure what the Industry engagement will be, however, the special relationship with UFII will certainly help there. The DS concentration will be helpful in unifying their curricula, and, again UFII will be helpful there._x000D_
_x000D_
The new center operating within an existing, more general center which is already established in many activities that it performs makes it easier and more risk-free to succeed, as well as more efficient in its use of resources. However, it brings the novelty and usefulness of the new center into question: just how different is it from the "parent" center, and, more importantly, what can we expect from Phase II? For Phase II to be feasible, it seems there needs to be a clear differentiation from the existing center, and perhaps a separation. This process is not really explained. Given the lack of a distinct TCS component from the proposal, it seems like it may fall within the scope of the greater center rather than a more specialized, theoretical one for Phase II._x000D_
_x000D_
_x000D_
_x000D_
_x000D_
In the context of the five review elements, please _x000D_
evaluate the strengths and weaknesses of the proposal with respect to broader impacts._x000D_
_x000D_
The proposal promises various training/knowledge/internship opportunities for students and postdocs of various levels. It leverages itself on the tried and true methods of the existing center, which, though removes the risk factor, might be more of the same, merged with existing programs. I found the statement of this impact reasonably strong, but, again, this is because this project in some sense relies upon the experience of a prior project._x000D_
_x000D_
The scientific broader impact is left vague, which is not unusual for a theoretical/mathematical proposal._x000D_
_x000D_
_x000D_
Please evaluate the strengths and _x000D_
weaknesses of the proposal with respect to any additional solicitation-specific review criteria, if _x000D_
applicable_x000D_
_x000D_
The research and training program is well integrated, with roles fairly clearly defined, even though it could benefit from more TCS expertise. The research directions presented are appropriately multidisciplinary, and would provide a unifying theme for the group. The educational and training acitivities are not novel (I don't think this is a requirement for this type of activity), but seems to be well thought out, with a good track record by the existing center. There is vision in terms of the research proposed here; regarding general vision I am a bit less enthusiastic as there's a feeling of this endeavor being a subsidiary of the greater UFII project. The personnel are complementary, though a bona fide TCS person would improve the team significantly. The collaboration plan with domain sciences and industry relies heavily on UFII, which makes it less risky, but also less interesting. The evaluation plan is well defined._x000D_
_x000D_
_x000D_
_x000D_
_x000D_
Summary Statement_x000D_
_x000D_
This is a well written and well thought out proposal, but this is partially because it borrows heavily from an existing project. It seems like this is priming UFII for Stage II, and it would help to distinguish the proposed center from the rest of UFII for this stage._x000D_
_x000D_
Also, it would be good to see more of a TCS flavor in the proposal, given the nature of the TRIPODS program._x000D_
_x000D_
</t>
  </si>
  <si>
    <t xml:space="preserve">In the context of the five review elements, please _x000D_
evaluate the strengths and weaknesses of the proposal with respect to intellectual merit._x000D_
_x000D_
+ concrete research plan has been proposed: using TDA (topological data analysis) tools for representation of high-dimensional data_x000D_
_x000D_
+ intersting extension of current machine learning task based on the TDA summaries_x000D_
_x000D_
- novelty in question given an extensive TDA literature _x000D_
_x000D_
-not enough technical advances; extensions seems relatively straightforward_x000D_
_x000D_
In the context of the five review elements, please _x000D_
evaluate the strengths and weaknesses of the proposal with respect to broader impacts._x000D_
_x000D_
+ the propose tools can be applied to general domain areas thus can be beneficial to many areas thus the society _x000D_
+has a clear education plan _x000D_
_x000D_
_x000D_
_x000D_
Please evaluate the strengths and _x000D_
weaknesses of the proposal with respect to any additional solicitation-specific review criteria, if _x000D_
applicable_x000D_
_x000D_
_x000D_
_x000D_
Summary Statement_x000D_
_x000D_
The proposal proposes to advance the foundation of data science by adopting new lower-dimensional feature representations beyond the standard vector (Euclidean) representation that is commonly used in the statistics/machine literature. In essence, the proposal proposes to leverage tools from Topological Data Analysis for representation for the  lower-dimensional structure of the potentially high-dimensional data. Some of the key novelties includes extending the supervised learning algorithms such as regularized or penalized methods based on the topological summaries.  Some further strengths and weakness can be summarized below. _x000D_
_x000D_
Strengths _x000D_
_x000D_
+Provides a clear research theme by using topological representation for lower-dimensional structure inherent the higher-dimensional data_x000D_
_x000D_
+extend the tools of machine learning (e.g., supervised learning) based on the topological framework._x000D_
_x000D_
+ the teams has top expertise in TDA (e.g., Peter Bubenik)_x000D_
weaknesses _x000D_
_x000D_
_x000D_
-There are some doubts about whether 'enough' foundational advances have been proposed or made beyond the current literature of TDA (topological data analysis). While the idea of extending some of the machine tasks based on the TDA framework is nice, it is not clear whether there is substantial advances here. TDA has been extensively applied in many domain areas, the advantage or weaknesses of the TDA are somewhat clear to the literature. Not sure whether the PIs have contributed significantly new materials here. _x000D_
_x000D_
-_x000D_
_x000D_
_x000D_
Weankensses_x000D_
_x000D_
</t>
  </si>
  <si>
    <t>This project brings together a strong interdisciplinary team from computer science, mathematics and statistics to study and advance the current state of the art in data science. All three communities have made impressive advances in developing methods and the associated algorithms and computational tools for data analysis (supervised and unsupervised) tasks. However, each community has approached the problem to a large extent from its own intellectual foundations. Nevertheless, there have been many successes and a solid body of methods and tools -leveraging the popular feature vector representation of the underlying data-  are available to practitioners for addressing their data driven scientific and business problems. Some key themes that many approaches share are that of the presence of structure that reduces the dimensionality of the underlying learning task and facilitates the estimation of key model parameters from limited amounts of data. The most prominent structural assumptions have been the presence of sparsity or low dimensional structure, motivated primarily by data sets in the biological and life sciences. However, many modern application data sets exhibit more complex and nuanced structure. The proposed TRIPODS Institute aims to develop methods and associated computational tools that leverage recent developments in topological data analysis, and structured machine and statistical learning for learning higher order structure from data by holistically modeling the entire analytic pipeline. The end goal is to couple ideas and techniques from the fields of computer science, mathematics and statistics for developing an integrative methodology for data science. In parallel, the Institute through a number of outreach activities aims to train a new generation of data scientists that embrace this holistic methodology and leverage it to address important scientific data driven applications.We will develop a data analysis processing pipeline that converges three closely related research thrusts_x000D_
.Firstly, using recent advances in topological data analysis and especially the novel concept of persistent landscape, we will learn higher order associations from complex data. Secondly, these associations will guide the structure of a novel norm that will be used as a regularizer in a number of canonical learning tasks, including regression/classification based predictive modeling, graphical modeling, clustering and dimension reduction procedures. Finally, we combine the key components of the proposed persistent landscapes with deep learning architectures to address complex classification tasks, as a first step in bypassing the classical feature vector representation of the data. These research tasks will lead to a new body of methods that would provide deeper insights into the role of higher order associations in machine learning and data mining. Special emphasis will be placed on scalable algorithms and on inference/stability of the obtained model parameters. The methodology will be extensively tested and illustrated on data from a number of scientific domains that the research team has extensively worked on, including biomedical and life sciences, social and sensor networks, text and image analytics.This project will train a diverse category of students in the three pillars ?computer science, mathematics and statistics- of data science. Research outcomes will be disseminated through the journal/conference publications, conference presentations, software and webinars. More importantly, the Institute will develop capacity for outreach activities including (i) offering a graduate concentration and a certificate in data science that incorporates the proposed research outcomes, (ii) annual workshops focusing on both methods and applications of the developed techniques and tools, (iii) a visiting scholars program, (iv) journal club, undergraduate and graduate mini projects that leverage the proposed technical approach and (v) an internship program.</t>
  </si>
  <si>
    <t xml:space="preserve"> Panel Summary       
 Description: _x000D_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_x000D_
The three main problems the PIs propose to investigate are: _x000D_
_x000D_
(i) Understanding the effect of the optimization methods used for training to the generalization capacity of the trained model (optimum found) in the general setting of non-convex optimization. _x000D_
_x000D_
(ii) Going beyond first-order methods, such as [S]GD, and utilizing curvature information in the training of deep neural networks. _x000D_
_x000D_
(iii) Turning the choice of activation function from a hyper parameter to something that is [also] learned from the data (non-parametric). _x000D_
_x000D_
Strengths _x000D_
+ The research proposed is central to building theoretical foundations of data science, especially (i). It uses sophisticated ideas from mathematics and aims at rigorous mathematical results, i.e., theorems._x000D_
+ The Lehigh PIs form an excellent optimization team and have a track record of effective collaboration. _x000D_
+ The PIs are qualified to direct and participate in the research program and to develop the educational aspects. _x000D_
+ The proposal is very well written and the problems are presented in a thoughtful manner, inspiring additional confidence in the PIs expertise. _x000D_
_x000D_
Weaknesses _x000D_
- There is some concern regarding the absence of a theoretical computer scientist from the team. _x000D_
- The statistics part of the proposal, part (iii) above, is not as strong as parts (i,ii). Given that Deep Nets already have millions of parameters (often more than labelled examples) do we really need to also learn the activation functions? Wouldn't that introduce the need for another regularization component? Could it be that this idea is a better fit for models with fewer parameters instead of deep nets?_x000D_
_x000D_
Broader Impact: _x000D_
Strengths _x000D_
+ The PIs already have a track record of releasing sophisticated software, a key outcome of data science research._x000D_
+ The idea of starting with a WebEx course for alumni, followed by a short course, followed by an executive course is credible and ingenious. _x000D_
+ New courses will be developed for data science based on the research in this proposal _x000D_
+ The collaboration plans with industrial partners are clear and strong._x000D_
Weaknesses _x000D_
- The Ph.D curricular development plans are relatively weak._x000D_
_x000D_
TRIPODS-specific criteria: _x000D_
Strengths _x000D_
+ The proposal is spot on the broad themes of the Tripods program, while focused on two very important pieces: deep neural nets and optimization._x000D_
+ The expertise of the PIs is complementary and well-suited to the research and training programs developed in this project._x000D_
Weaknesses _x000D_
- Plans of operations and how to move to Phase 2 are quite generic in terms of how the institute would work. Some panelists would have liked to see more discussion of Phase 2 plans, while others felt that the implied plan was to merge with another successful Phase 1 program for Phase 2. _x000D_
_x000D_
Postdoctoral Mentoring Plan:_x000D_
Adequate, but could use improvement/detail. _x000D_
_x000D_
Collaboration and Evaluation Plan: _x000D_
The collaboration plan is nicely detailed, reflecting the existence of an already good collaboration. The evaluation plan is rather generic and does not much address daily activities of the center._x000D_
_x000D_
Data Management Plan: _x000D_
Could be better. Having to contact the PIs to secure access to data/code is cumbersome and somewhat disappointing. The panel would have preferred to see a more open-access oriented policy._x000D_
_x000D_
Suggestions to PI: _x000D_
Strengthen the statistical part of the proposal, perhaps by moving this part away from Deep Nets, focusing on simpler models. _x000D_
_x000D_
Justification for Panel Rating: _x000D_
The focus of the proposed research on fundamental issues, e.g., the effect of optimization algorithms in generalization, combined with the great strength of the PIs on optimization and their thoughtfulness on Deep Nets, makes this an excellent proposal. The statistical part is not as convincing and could be integrated better. _x000D_
_x000D_
Panel Rating: _x000D_
_ Highly Recommended _x000D_
X Recommended _x000D_
_ Not Recommended _x000D_
_x000D_
The summary was read by/to the panel and the panel concurred that the summary accurately reflects the panel discussion. 
</t>
  </si>
  <si>
    <t>This Phase I project forms an NSF TRIPODS Institute, based at Lehigh University and in collaboration with Stony Brook and Northwestern Universities, with a focus on new advances in tools for machine learning applications.  A critical component for machine learning is mathematical optimization, where one uses historical data to train tools for making future predictions and decisions.  Traditionally, optimization techniques for machine learning have focused on simplified models and algorithms.  However, recent revolutionary leaps in the successes of machine learning tools---e.g., for image and speech recognition---have in many cases been made possible by a shift toward using more complicated techniques, often involving deep neural networks.  Continued advances in the use of such techniques require combined efforts between statisticians, computer scientists, and applied mathematicians to develop more sophisticated models and algorithms along with more comprehensive theoretical guarantees that support their use. In addition to its research goals, the institute trains Ph.D. students and postdoctoral fellows in statistics, computer science, and applied mathematics,  and hosts interdisciplinary workshops and Winter/Summer schools.  _x000D_
_x000D_
The research efforts in Phase I are on the analysis of nonconvex machine learning models, the design of optimization algorithms for training them, and on the development of nonparametric models and associated algorithms.  The focus is on deep neural networks (DNNs), mostly in general, but also with respect to specific architectures of interest.  The institute's research efforts emphasize the need to develop connections between state-of-the-art approaches for training DNNs and statistical performance guarantees (e.g., on generalization errors), which are currently not well understood. Optimization algorithms development centers on second-order-derivative-type techniques, including (Hessian-free) Newton, quasi-Newton, Gauss-Newton, and their limited memory variants.  Recent advances have been made in the design of such methods; the PIs' work builds upon these efforts with their broad expertise in the design and implementation (including in parallel and distributed computing environments) of such methods.  The development of nonparametric models promises to free machine learning approaches from restrictions imposed by large numbers of user-defined parameters (e.g., defining a network structure or learning rate of an optimization algorithm).  Such models could lead to great advances in machine learning, and the institute's work in this area also draws on the PIs expertise in derivative-free optimization methods, which are needed for training in nonparametric settings._x000D_
_x000D_
In this TRIPODS institute, the PIs approach all of these research directions with a unified perspective in the three disciplines of statistics, computer science, and applied mathematics.  Indeed, as machine learning draws so heavily from these areas, future progress requires close collaborations between optimization experts, learning theorists, and statisticians---communities of researchers that, as yet, have tended to operate separately with differing terminology and publication venues.  With an emphasis on deep learning, this institute aims to foster intercollegiate and interdisciplinary collaborations that overcome these hindrances._x000D_
_x000D_
This award reflects NSF's statutory mission and has been deemed worthy of support through evaluation using the Foundation's intellectual merit and broader impacts review criteria.</t>
  </si>
  <si>
    <t xml:space="preserve">L: 1740796 Scheinberg, Katya   Lehigh University _x000D_
N: 1740735 Liu, Han   Northwestern University _x000D_
N: 1740762 Orabona, Francesco    SUNY Stony Brook _x000D_
_x000D_
Congratulations! I am delighted that your proposal submitted to the Transdisciplinary Research in Principles of Data Science Phase I solicitation has received an award. This will be a three-year standard award in the total amount of $1,484,152. Selections from the review analysis on which the recommendation for this award is based are enclosed at the end of this note.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 _x000D_
_x000D_
I would like to extend my best wishes for continued success with your research. _x000D_
_x000D_
Sincerely _x000D_
_x000D_
Jack Snoeyink, Program Officer _x000D_
NSF CISE CCF_x000D_
July 12, 2017 _x000D_
_x000D_
On behalf of the TRIPODS Management Team _x000D_
Nandini Kannan _x000D_
Tracy Kimbrel _x000D_
Jack Snoeyink _x000D_
Christopher Stark _x000D_
----------_x000D_
L: 1740796 Scheinberg, Katya Lehigh University $  895,670_x000D_
N: 1740735 Liu, Han Princeton University $  300,000_x000D_
N: 1740762 Orabona, Francesco SUNY Stony Brook $  288,482_x000D_
P172027 R TRIPODS Panel 1, Recommended (V,V,V/G)_x000D_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To these I would add that it is good to have a center at a smaller institution like Lehigh,_x000D_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budgeted._x000D_
_x000D_
CONTINUING GRANT, _x000D_
Requested duration: 36 months, starting 01/01/2018_x000D_
L: 1740796 Scheinberg, Katya Lehigh University,  total  $895,670_x000D_
N: 1740735 Liu, Han Northwestern,  total  $300,000_x000D_
N: 1740762 Orabona, Francesco SUNY Stony Brook, total  $288,482_x000D_
_x000D_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</si>
  <si>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Award_x000D_
_x000D_
Collaborative Research:  TRIPODS Institute for Optimization and Learning_x000D_
_x000D_
L: 1740796 Scheinberg, Katya    Lehigh University $  895,670_x000D_
N: 1740735 Liu, Han    Northwestern University $  300,000_x000D_
N: 1740762 Orabona, Francesco    SUNY Stony Brook $  288,482_x000D_
_x000D_
_x000D_
P172027 R TRIPODS Panel 1, Recommended (V,V,V/G)_x000D_
Std competition rank 3 of 30 rated projects: 2 HR, 8 R, 11 NR, 9 NDP, on 5/17/2017_x000D_
_x000D_
_x000D_
PROJECT OVERVIEW_x000D_
Quoting a reviewer's characterization,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call."_x000D_
_x000D_
The three main problems the PIs propose to investigate are:_x000D_
(i) Understanding the effect of the optimization methods used for training to the generalization capacity of the trained model (optimum found) in the general setting of non-convex optimization._x000D_
(ii) Going beyond first-order methods, such as [S]GD, and utilizing curvature information in the training of deep neural networks._x000D_
(iii) Turning the choice of activation function from a hyper parameter to something that is [also] learned from the data (non-parametric)._x000D_
_x000D_
This is a research heavy proposal (as opposed to an institute-building proposal), but the summary shows that it has institute-building activity: "This proposal will create an institute for optimization and learning housed at Lehigh university with collaborations from two co-PIs, one each from Stony Brook and Princeton university. It will leverage the existing group OptML at Lehigh for educating and training graduate students. It will also develop new interdisciplinary courses at Lehigh, Stony Brook and Princeton for training undergraduate, master's, and doctoral students. In addition, the PIs propose to develop an executive course on foundations of Data Science, targeting audiences with technical background but without formal training in the field. While the proposal is collaborative across three institutions, most of the activities are described as centering at Lehigh University, where the proposed TRIPODS institute will be housed."  _x000D_
_x000D_
INTELLECTUAL MERIT This is a relatively small team (for TRIPODS), but is well chosen - they have together crafted a well-written proposal. _x000D_
The research problems and directions are deemed excellent, and contribute to the theoretical foundations of data science.  One of the V reviewers is eloquent in praise: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effect."_x000D_
_x000D_
BROADER IMPACTS Although curriculum development was deemed weak, the project had many notable strengths that the panelist saw:_x000D_
+ The PIs already have a track record of releasing sophisticated software, a key outcome of data science research._x000D_
+ The idea of starting with a WebEx course for alumni, followed by a short course, followed by an executive course is credible and ingenious._x000D_
+ New courses will be developed for data science based on the research in this proposal_x000D_
+ The collaboration plans with industrial partners are clear and strong._x000D_
_x000D_
To these I would add that it is good to have a center at a smaller institution like Lehigh,_x000D_
_x000D_
_x000D_
REVIEW SUMMARY The reviews are very consistent; strong on research, good on institute activities, generic on phase 2 plans.  This lead to scores of V or V/G in one case.  The TRIPODS team agrees, and thinks this will be a good team to include in the mix that is phase I._x000D_
_x000D_
AWARD CONSIDERATIONS Non-lead PI Han Liu is moving from Princeton to Northwestern.  Please see diary notes under 1740735 for a signed cover sheet, budget, and justification from Northwestern, and acceptance of the pre-award transfer from Princeton as the original submitting organization. _x000D_
We recommend this award be split between DMS and CISE, and be funded as a Continuing grant by year. _x000D_
_x000D_
RECOMMENDATION _x000D_
As Program Directors, we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funded as a Continuing Grant, as below._x000D_
_x000D_
Snoeyink, Jack S._x000D_
Cognizant Program Director  _x000D_
For the TRIPODS Team: N. Kannan, T. Kimbrel, J. Snoeyink, C. Stark_x000D_
Friday, July 7, 2017_x000D_
_x000D_
 _x000D_
_x000D_
CONTINUING GRANT, _x000B_Requested duration: 36 months, starting 01/01/2018_x000D_
_x000D_
L: 1740796 Scheinberg, Katya Lehigh University,  total  $895,670_x000D_
FY 17	$150,257    CCF:  05010000   PEC: 041Y    PRC: 062Z 9102  PD: Snoeyink_x000D_
FY 17	$150,258    DMS: 03040000   PEC: 041Y    PRC: 062Z 9102  PD: Stark_x000D_
_x000D_
FY 18	$148,648    CCF:  05010000   PEC: 041Y    PRC: 062Z 9102_x000D_
FY 18	$148,648    DMS: 03040000   PEC: 041Y    PRC: 062Z 9102_x000D_
_x000D_
FY 19	$148,930    CCF:  05010000   PEC: 041Y    PRC: 062Z 9102_x000D_
FY 19	$148,929    DMS: 03040000   PEC: 041Y    PRC: 062Z 9102_x000D_
_x000D_
_x000D_
N: 1740735 Liu, Han Northwestern University,  total  $300,000_x000B__x000D_
FY 17	$45,539 	CCF:  05010000   PEC: 041Y    PRC: 062Z   PD: Snoeyink_x000D_
FY 17	$45,538 	DMS: 03040000   PEC: 041Y    PRC: 062Z   PD: Stark_x000D_
		_x000D_
FY 18	$52,819	CCF:  05010000   PEC: 041Y    PRC: 062Z_x000D_
FY 18	$52,819	DMS: 03040000   PEC: 041Y    PRC: 062Z_x000D_
		_x000D_
FY 19	$51,643 	CCF:  05010000   PEC: 041Y    PRC: 062Z_x000D_
FY 19	$51,642 	DMS: 03040000   PEC: 041Y    PRC: 062Z_x000D_
_x000D_
_x000D_
N: 1740762 Orabona, Francesco SUNY Stony Brook, total  $288,482_x000B__x000D_
FY 17	$46,821    CCF:  05010000   PEC: 041Y    PRC: 062Z   PD: Snoeyink_x000D_
FY 17	$46,820    DMS: 03040000   PEC: 041Y    PRC: 062Z   PD: Stark_x000D_
_x000D_
FY 18	$48,115    CCF:  05010000   PEC: 041Y    PRC: 062Z_x000D_
FY 18	$48,116    DMS: 03040000   PEC: 041Y    PRC: 062Z_x000D_
_x000D_
FY 19	$49,305    CCF:  05010000   PEC: 041Y    PRC: 062Z_x000D_
FY 19	$49,305    DMS: 03040000   PEC: 041Y    PRC: 062Z</t>
  </si>
  <si>
    <t xml:space="preserve">In the context of the five review elements, please _x000D_
evaluate the strengths and weaknesses of the proposal with respect to intellectual merit._x000D_
_x000D_
The proposal focuses on (Deep) Neural Networks. This is an area in which the gap between theoretical understanding and practical performance is already huge and growing by the day. Basically, we have no idea why DNNs work nearly as well as they do, even though they have taken large parts of Data Science by storm. As a result, a proposal aiming at enhancing our theoretical understanding for DNNs is very closely aligned with the TRIPODS call. _x000D_
_x000D_
The research problems proposed by the PIs are excellent and demonstrate a serious engagement with the subject matter, i.e., this is not a 'me too' proposal. I found Topic 1 of the proposal most interesting. Roughly speaking, even though training a model is typically cast as an optimization problem (find the "regularized-best" [model] parameters that best fit the training data), there is mounting evidence that solving the optimization problem by a naive algorithm (yielding farther from optimum solutions), is better, i.e., yields solutions with better generalization. In other words, algorithmic "naivete" is an effective form of regularization. Except we have no idea why this is and, worst, this seems like a complete hack: we should be able to explicitly model regularization in the function to be optimized, not rely on an algorithm doing a bad job to achieve the same effect. The proposed work on non-parametric extensions of deep discriminative models is also interesting but less fundamental._x000D_
_x000D_
In the context of the five review elements, please _x000D_
evaluate the strengths and weaknesses of the proposal with respect to broader impacts._x000D_
_x000D_
I subscribe to the PIs point of view that better understanding of and improved approaches for training DNNs is a vital area that will have interesting questions and important ramifications for years to come. In that sense, the broader impacts are rather self-evident. I also liked the proposal to release code that will make it easier for researchers to experiment with different training algorithms for neural nets, since existing frameworks focus on 'getting results fast', as opposed to offering flexibility._x000D_
_x000D_
Please evaluate the strengths and _x000D_
weaknesses of the proposal with respect to any additional solicitation-specific review criteria, if _x000D_
applicable_x000D_
_x000D_
A weakness of the proposal is that there is not much statistical content in regard to the first two research topics. On the other hand, given how far removed DNNs are from classical statistics, this is not surprising._x000D_
_x000D_
Summary Statement_x000D_
_x000D_
This was the 2nd best proposal I reviewed._x000D_
_x000D_
</t>
  </si>
  <si>
    <t xml:space="preserve">In the context of the five review elements, please _x000D_
evaluate the strengths and weaknesses of the proposal with respect to intellectual merit._x000D_
_x000D_
+ the research topics are clearly and crisply articulated._x000D_
_x000D_
- perhaps I am nitpicking but the term "small deep neural network" appears to be an antinomy. (Figure 1)_x000D_
_x000D_
+ topic one: tuning of the learning rate is interesting in the case of non-though it would have been useful to mention a couple technical ways that the investigators see that possible_x000D_
_x000D_
- we are a bit unclear how to interpret figure 2._x000D_
_x000D_
+ Extensions of momentum SGD to non-convex and stochastic optimization is an interesting area building on interesting recent work of the investigators._x000D_
_x000D_
+ On the issue of "the time and effort spent tuning out algorithmic parameters should be counted as the part of the computational time" the investigator hit on a very interesting practical issue; while it would have been good to be more explicit about the model of stochastic behavior of the algorithm achieving good metrics of performance is clearly a very important issue. _x000D_
_x000D_
+ several of the ideas proposed in the quasi-Newton section are very interesting such as understanding the interplay between batch size and non-convexity., Or combining self-correcting approaches with multi-batched approaches._x000D_
_x000D_
- at the first read however the batch sizes appear too large to be practical at least for some of the ranges discussed._x000D_
_x000D_
+ the need to escape saddle points or at least to accelerate around them is a very tangible reason for using Hessian free methods (which at a first read I found puzzling to consider)_x000D_
_x000D_
+ analyzing the "random subspace approximation of the Hessian" and understanding its effect on convergence is a very intriguing and original research direction._x000D_
_x000D_
+  Topic of "nonparametric extension for deep learning" is conceptually very intriguing._x000D_
_x000D_
- I'm a bit concerned about how to do nonparametric model fitting with derivative free optimization. It is known that the latter can take a large number of function evaluations for large dimensional spaces; so the question is how many parameters one ends up using. For example, if one chooses a nearest neighbor model and only the neighborhood size is a parameter this is very suitable, but it is unclear whether data would work for representing what the author's intent for deep network. We are lacking here but a discussion of the number of parameters remaining  In the representations that need to be tuned -- the dimension of the optimization problem. _x000D_
_x000D_
+ Otherwise, indeed, black box optimization if it works would be a really major advance in the area. _x000D_
_x000D_
+ excellent and enthusiastic PIs. _x000D_
_x000D_
_x000D_
In the context of the five review elements, please _x000D_
evaluate the strengths and weaknesses of the proposal with respect to broader impacts._x000D_
_x000D_
+ new courses will be developed for data science based on the research in this proposal_x000D_
_x000D_
+ there are collaboration plans with major industrial partners therefore it is very likely that the research will make it into very tangible products_x000D_
_x000D_
- the plans on how to do that though are quite generic_x000D_
_x000D_
_x000D_
Please evaluate the strengths and _x000D_
weaknesses of the proposal with respect to any additional solicitation-specific review criteria, if _x000D_
applicable_x000D_
_x000D_
+ the proposed work shows credible connections to industry partners; importantly the principal investigators has existing relationships with some of them._x000D_
_x000D_
+ the proposed pathway of starting with a WebEx course to alumni, followed by a short course, followed by an executive course as a way to raise additional funds is credible,  tangible, and ingenious._x000D_
_x000D_
+ the specific plans to release open source code in addition to the investigator prior experience in doing so is an important fulfillment of the aims of the TRIPODS program_x000D_
_x000D_
- plans of operations and how to move to phase 2 are quite generic in terms of how the Institute would work._x000D_
_x000D_
- We do not get a philosophy about how information would be generated or how brainstorming would occur._x000D_
_x000D_
+ the metrics of progress are perhaps standard but also well thought out and tangible (even if a bit too summary)_x000D_
_x000D_
_x000D_
Summary Statement_x000D_
_x000D_
this is a solid proposal, with some great research ideas, and tangible connections to industrial partners. On the other hand, the operation plans are sketchy, and the broader impacts a bit generic other than the software distribution side which is very strong (and in which the authors have a strong history too). Some of the technical directions are unclear or underwhelming, but some of the initial results appeared to be very promising. The computer science angle is a bit subdued, except for the complexity of machine learning and perhaps optimization algorithms (the latter of which is arguably an applied math activity). _x000D_
_x000D_
_x000D_
</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</si>
  <si>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The PIs of this proposal plan to constitute an institute for optimization and learning. The institute will be housed at the Lehigh university with collaborations from two co-PIs one each from Stony Brook and Princeton university._x000D_
_x000D_
The PIs propose to address three main problems in machine learning and deep learning while exploring their interplay with optimizations. The three problems, they want to investigate are: (i) Understanding the connection between optimization (during training) and the generalization (performance of the model with test data) under nonconvex optimizations (ii) Utilizing the curvature information for training deep neural networks, and (iii) non-parametric extensions of the deep learning. These problems, if addressed properly, will make transformative changes in the current state-of-the-art for machine learning, and data science in general._x000D_
_x000D_
The proposal has been written very well. Each problem has been explained with proper background, existing techniques, and the proposed work. It shows that the PIs have thought through the issues, have consulted current methodologies and their shortcomings. In some cases, they also have some preliminary approaches with some experimental evidence. They have the necessary background in optimizations and statistical theories. It is almost a perfect proposal for a TRIPODS institute except the fact that the team does not involve any theoretical computer scientist. To address the fundamental questions that the PIs raise, one needs someone who is an expert in algorithm design and analysis. I would have given it higher ranking if this deficiency were not there._x000D_
_x000D_
_x000D_
_x000D_
_x000D_
_x000D_
In the context of the five review elements, please _x000D_
evaluate the strengths and weaknesses of the proposal with respect to broader impacts._x000D_
_x000D_
The broader impact mentioned are:_x000D_
(i) Collaborations among the PIs and students supported by the institute will fertilize cross-disciplinary activities._x000D_
(ii) The research mainly aims to enhance the current capability of deep learning network and thus enhances the data science in general._x000D_
(iii) The existing optimization and machine learning group activities in terms of training and research will be enhanced by the institute_x000D_
(iv) Open source codes will be maintained for software developed as a part of the project.The results will be disseminated by publications at standard venues for optimization and machine learning._x000D_
_x000D_
_x000D_
Please evaluate the strengths and _x000D_
weaknesses of the proposal with respect to any additional solicitation-specific review criteria, if _x000D_
applicable_x000D_
_x000D_
This proposal is collaborative across three institutions. Most of the activities are described centering around Lehigh University where the proposed TRIPODS institute will be housed. The proposal mentions necessary activities for creating an institute on optimization and learning._x000D_
(i) It will leverage the existing group OptML at Lehigh for educating and training graduate students. _x000D_
(ii) The collaboration among the PIs for both research and training has been detailed nicely. _x000D_
(iii) The open source code that the PIs plan to disseminate is a worthy goal. The connections to industries will be helpful in this regard for data acquisition and validation._x000D_
(iv) There is a plan for supporting post-doctoral fellows_x000D_
(v) There are letters of collaborations from industries_x000D_
(vi) The PIs have already started collaborations through the activities of the OptML group._x000D_
(vii) Workshops,seminar series,summer/winter schools are proposed._x000D_
(viii) There is some evaluation plan though not anything extraordinary. A short paragraph mentions about the scaling up to the Phase II institute._x000D_
_x000D_
If successful, this project has the potential to influence the current data science state-of-the-art in a big way._x000D_
_x000D_
_x000D_
Summary Statement_x000D_
_x000D_
This is a well thought-through, focused, nicely written proposal. The PIs have the background to carry out the research though an addition of a theoretical computer scientist in the team would make it more appropriate for the task._x000D_
_x000D_
</t>
  </si>
  <si>
    <t>We propose to form a TRIPODS institute, based at Lehigh University, in collaboration with Princeton University and Stony Brook University with initial research focus on new techniques and theoretical foundations for complex machine learning models, such as deep neural networks. Deep neural networks have advanced the state of the art in many important applications, such as speech recognition, machine translation and image classification and are currently in the center of much theoretical and practical research in the fields of  mathematics, statistics and computer science. Nevertheless, theoretical foundations of deep learning are largely underdeveloped. In particular, the connection between the best algorithmic approaches to train deep learning models and their performance guarantees are not well understood. While effort has been made to improve performance of current algorithms, these models are still sometime extremely difficult to train and it is unclear when the best solutions is reached. In addition, the predictive performance resulting from the current neural network models and the training algorithms is strongly dependent on many user specified parameters which are difficult to choose. _x000D_
At our proposed institute we plan to approach these issues with a unified perspective of three disciplines. _x000D_
Specifically, one of the obstacles to further progress in the field is that such progress requires close collaborations between optimization experts, learning experts and statisticians, yet these three communities tend to have different terminology and publication venues. Hence, our proposed collaborative institute will focus to foster exactly such type of collaboration with focus on deep learning. _x000D_
_x000D_
This proposal brings together three PIs from Lehigh, who have been working in the area of optimization and machine learning for years and established a research group at Lehigh and well as PI Liu from Princeton university, who is an expert in statistical learning and PI Orabona from Stony Brook University, who is a theoretical computer scientist working in learning theory. Aside from the research goals, the institute will serve as a center for training of  PhD students and postdoctoral fellows in all three disciplines, as well as for holding interdisciplinary workshops and summer/winter schools.The methods and theory that will be developed at the institute will  advance the state-of-the-art of deep learning models, _x000D_
however, the results are likely to be sufficiently broad to be applicable to many other complex learning models, and other complex problems with uncertainly in the data. We expect advances in 1) generalization properties of deep neural networks, 2) efficient and reliable optimization methods for training such networks and 3) novel nonparametric deep learning models. Specifically, we will build on the expertise of PI Orabona in learning guarantees for online and other optimization methods, and PIs Curtis and Scheinberg in stochastic optimization and second order methods for nonconvex problems, PI Takac's expertise in algorithms for large scale optimization and distributed computations as well as PI Liu's expertise in nonparametric machine learning models. This collaboration will produce new algorithms, models and theory, which will combine the latest methodologies from three different fields, hence are bound to have better properties than the stat-of-the-art algorithms, models and theory.The broader impacts of the proposed work will be novel theoretical contributions at the intersection between learning, optimization and statistics, which will aid in promoting cross-fertilization between these research communities. In particular we will train PhD students to become experts in all these disciplines  be able to communicate effectively across the communities. We will also disseminate our interdisciplinary research_x000D_
in traditional machine learning, optimization and statistics venues.   In addition we intend to develop an executive course on foundations of Data Sciences, targeting audience with technical background but without formal training in this new field.</t>
  </si>
  <si>
    <t xml:space="preserve"> Panel Summary       
  _x000D_
Description: _x000D_
The proposal will create an institute for Data Science at Virginia Tech. The unifying research theme for this proposal is scalability, with attention to theory, algorithms, and simulation. The plans for outreach, education and assessment are strong. _x000D_
_x000D_
Intellectual Merit: _x000D_
_x000D_
Strengths _x000D_
+ The proposed research addresses applications, dynamic aspects of data and fairness/privacy._x000D_
+ The team of PIs is strong and qualified to perform the proposed research. _x000D_
_x000D_
Weaknesses _x000D_
- The proposal lacks a particularly novel and compelling research problem or direction._x000D_
- The proposal devotes very little space for each proposed topic, and does not specify a clear and meaningful methodological approach for any of the proposed problems. _x000D_
- There is no concrete example explaining or illustrating the synergy among the three communities. _x000D_
_x000D_
Broader Impact: _x000D_
_x000D_
Strengths _x000D_
+ The proposal is strong in education activities that build upon Virginia Tech's existing undergraduate major in computational modeling and data analytics and other local activities. _x000D_
+ The plans for curated multi-scale data sets, software and tutorials can have a broader impact. _x000D_
+ Part of the proposed research has an applied focus. _x000D_
_x000D_
Weaknesses _x000D_
- Relatively weak plans for industry engagement. _x000D_
_x000D_
TRIPODS-specific criteria: _x000D_
_x000D_
Strengths_x000D_
+ The organization of the institute is well thought-out and carefully planned. _x000D_
+ Very good center-like activities._x000D_
+ Adequate assessment activities. _x000D_
+ Interaction with domain sciences is good. _x000D_
_x000D_
_x000D_
Weaknesses _x000D_
- Lack of a vision for data science and a broader mission for the institute. _x000D_
- Interaction with industry is limited._x000D_
- The plan for interaction and collaboration does not contain a concrete example of synergy among the communities. _x000D_
_x000D_
Collaboration and Evaluation Plan: The proposal contains a clear and adequate collaboration plan. The evaluation plan is strong. _x000D_
_x000D_
Data Management Plan: _x000D_
The data management plan, including plans for public dissemination, is satisfactory.  _x000D_
_x000D_
What is bold, exciting, high risk/reward, or potentially transformative? _x000D_
The panel did not identify a research direction which was particularly bold and exciting, or potentially transformative.  _x000D_
_x000D_
Suggestions to PI: _x000D_
The proposal would have been stronger if you had discussed some of your research topics in more detail: explain why they are significant or transformative, put them in context with other research and propose concrete and synergistic approaches. _x000D_
_x000D_
Justification for Panel Rating:_x000D_
_x000D_
The project description does not provide a clearly described methodological approach for any of the research topics, thus casting doubts on the intellectual merit of the proposal. The panel did not identify a proposed research direction which was particularly bold and exciting, or potentially transformative._x000D_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</si>
  <si>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TRIPODS: Institute for Data, Models, and Algorithms Across Scales_x000D_
_x000D_
L: 1740797 Embree, Mark VA Polytechnic Inst &amp; St U $ 1,498,424_x000D_
_x000D_
_x000D_
P172027 NR TRIPODS Panel 1, Not Recommended (V,V/G,P)_x000D_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</si>
  <si>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I could not see how this proposal promotes fundamental research and training in the theoretical foundations of data science. It reads like a laundry list of problems in Data Science, old and new, with no vision connecting them. (Scalability is certainly not a suitable ævision' idea as it does not offer something actionable/substantive. Imagine if someone proposed it in biology: life exists at all scales, from viruses to whales. OK. Then what? In contrast, the fact that the recipes for life at all these scales is written in exactly the same way, i.e., in DNA, is truly amazing.) Another thing about the proposal is that the research is divided by year, i.e., in year 1 we will deal with these problems, in year 2 with these (very different) problems, etc. Given that many of the problems discussed are old chestnuts, there is no reason to believe that significant progress will be made in any of them within one year. I completely failed to see the motivation for this. In any case, even though the authors list over 10 different research problems/areas and give motivating examples for each, I did not find a single new idea in the proposal, or even a suggestion of methodological approach. This is the main problem._x000D_
_x000D_
In the context of the five review elements, please _x000D_
evaluate the strengths and weaknesses of the proposal with respect to broader impacts._x000D_
_x000D_
Many of the problems listed have immediate, significant broader impact. The proposal, though, offers no evidence that the PIs are in a position to make progress on them. This is much less an issue of track record and more of the proposal's lack of concreteness._x000D_
_x000D_
Please evaluate the strengths and _x000D_
weaknesses of the proposal with respect to any additional solicitation-specific review criteria, if _x000D_
applicable_x000D_
_x000D_
While the proposal does a very good job at following the æletter' of the call, it does not offer any ideas on the æspirit', i.e., integrating mathematics, statistics, and theoretical computer science._x000D_
_x000D_
Summary Statement_x000D_
_x000D_
This was the weakest proposal I evaluated out of seven._x000D_
_x000D_
</t>
  </si>
  <si>
    <t xml:space="preserve">In the context of the five review elements, please _x000D_
evaluate the strengths and weaknesses of the proposal with respect to intellectual merit._x000D_
_x000D_
The unifying research theme for this proposal is scalability, with attention to theory, algorithms, and simulation.  This is an important and timely perspective for a research institute in data science.  The three year schedule includes a progression of yearly themes based on three important data types: matrix and tensor, network, and metric space.  The main application focus areas are epidemiology and public-health policy planning, accelerometers in a smart building, and remote sensing and build on existing collaborations with data providers and industry partners.  Va Tech has well-established structures for research and training collaborations amongst Mathematics, Computer Science, and Statistics and seeks to build on these._x000D_
_x000D_
_x000D_
In the context of the five review elements, please _x000D_
evaluate the strengths and weaknesses of the proposal with respect to broader impacts._x000D_
_x000D_
The proposal outlines a set of broader reach components that build on Va Tech's ongoing success with their transdisciplinary undergraduate major in Computional Modeling and Data Analytics, the Urban Computing NSF NRT program, and the university-wide Data Analytics and Decision Sciences destination area.  Beyond the usual workshops, visitors, and lecture series, strengths of this proposal include the design of the Summer Institute, the plans to make curated multiscale data sets, software/algorithms, and tutorials available to the public, the development of a graduate curriculum in data science, and K-12 outreach.  The mentorship plans for graduate and undergraduate research students are also particularly strong._x000D_
_x000D_
_x000D_
Please evaluate the strengths and _x000D_
weaknesses of the proposal with respect to any additional solicitation-specific review criteria, if _x000D_
applicable_x000D_
_x000D_
This proposal combines the broad themes of common terminologies and concepts, application-aware foundational research, industry engagement, unifying curricula, reproducibility, and dynamic aspects of data in a cohesive and well-structured program.  Building on existing data science initiatives at Va Tech, this proposal lays out a strong case for their ability to form a high-functioning (TRIPODS) data science institute.  The plans for public outreach, foundational and practical graduate education, and assessment are particularly strong._x000D_
_x000D_
_x000D_
Summary Statement_x000D_
_x000D_
This is strong proposal with a thoughtful and far-reaching design.  Va Tech has an established data science infrastructure and a history of success in this area.  They are well-positioned to establish an efficient and high-functioning (TRIPODS) institute.  I place this proposal in the top third of those I've reviewed._x000D_
_x000D_
_x000D_
</t>
  </si>
  <si>
    <t xml:space="preserve">In the context of the five review elements, please _x000D_
evaluate the strengths and weaknesses of the proposal with respect to intellectual merit._x000D_
_x000D_
Strength: +_x000D_
Weakness: - _x000D_
_x000D_
The proposal specifies three general research directions, one per year of the institute. Several more specific topics are identified under each direction.  _x000D_
_x000D_
+ The proposed research includes several foundational topics. _x000D_
+ They collectively address application-aware research, dynamic aspects of data and end-to-end provenance, fairness, privacy. _x000D_
_x000D_
- The list of topics is very long. In most cases the description of a topic reads like a standard first few introductory paragraphs from a research paper, thus conveying very little information. Moreover,  the description is often too vague and general (e.g. one of the several examples across the proposal): _x000D_
_x000D_
"We will exploit the interplay of distances, probability distributions, statistical models, and algorithms to design scalable solutions to data storage, retrieval, and analysis problems"_x000D_
_x000D_
- The proposed research contains passing references to potential for synergy, but a concrete example of a synergy is missing. _x000D_
_x000D_
- While common concepts and terminologies will emerge from the proposed activities, a few more targeted ideas concerning this 'barrier' would have been good. _x000D_
_x000D_
+ The PIs are well-qualified to perform the proposed work. _x000D_
_x000D_
+ The proposal is very strong in center-like activities._x000D_
_x000D_
In the context of the five review elements, please _x000D_
evaluate the strengths and weaknesses of the proposal with respect to broader impacts._x000D_
_x000D_
+ Besides the standard broader impact expected from an NSF proposal of this size, the Institute's clear organizational's plan and the very well-planned activities will likely have a significant broader impact. _x000D_
_x000D_
- Plans for industry engagement are not very strong._x000D_
_x000D_
Please evaluate the strengths and _x000D_
weaknesses of the proposal with respect to any additional solicitation-specific review criteria, if _x000D_
applicable_x000D_
_x000D_
+ The proposal includes very concrete and interesting plans for the Institute's organization, schedule and types of activities, and assessment. Such level of preparation indicates that the Institute will be a serious contender for Phase II. In this respect the proposal was the strongest among those I reviewed._x000D_
_x000D_
- I would have expected the articulation of a clear vision about data science, which I think is missing from this proposal (unlike other proposals I read). If the proposal is funded, the leadership of the institute should craft such a vision, as a 'cornerstone' of the institute. _x000D_
_x000D_
- The mission "of transdisciplinary research and education for the integration of data, models, and algorithms both at scale and across scales" is adequate, but one could imagine a somewhat broader view of the mission and place of the institute in the local economy and the data science enterprise. _x000D_
_x000D_
_x000D_
_x000D_
_x000D_
_x000D_
Summary Statement_x000D_
_x000D_
The proposal is strong, in most respects. _x000D_
_x000D_
The intellectual merit is strong but not excellent, due to the lack of focus in concrete topics exemplifying the synergy among the communities. _x000D_
_x000D_
The preparation for center-like activities is very good, but the description of a vision about data science, and of a broader mission for the institute would have been desirable._x000D_
_x000D_
</t>
  </si>
  <si>
    <t>In scientific and engineering applications such as epidemiology, social network modeling, satellite navigation, intelligent infrastructure, and genome science, the recent explosion of data has exceeded the capabilities of current models and algorithms, thereby making scalability one of the most pressing challenges facing modern data science. To tackle this challenge, a collaborative team of faculty from theoretical computer science, mathematics, and statistics proposes to create the Institute for Data, Models, and Algorithms Across Scales, with the core mission of transdisciplinary research and education for the integration of data, models, and algorithms both at scale and across scales. The research, education, and outreach activities will focus on building infrastructure that can be expanded for a Phase II TRIPODS institute proposal.The core research program will focus on three main challenges: (1) the theoretical characterization and understanding of scalability; (2) the development of scalable algorithms that incorporate accuracy, efficiency, data volume, velocity, and veracity; (3) the development of a theory of, and tools for, simulation analytics with dynamical data (multiscale in space and time) that can identify rare/important events, facilitate visualization, and inform decision making. The Institute draws together a diverse and collegial group of faculty (including nine computer scientists, six mathematicians, and five statisticians) to address these challenges and connect them to data intensive applications available from Virginia Tech partners. Examples include epidemiology and public-health policy planning, accelerometers in a smart building, and remote sensing.The Institute will serve the community through carefully curated multiscale data sets, algorithms and software, and measures for evaluation. Annual activities will include thematic Summer Institute workshops, short term visitors, a lecture series, and combined research and educational activities for regular Institute participants, especially graduate students. The three thematic years will be built around three types of scalable data: matrix and tensor; network; and metric space. The Institute will prioritize efforts to recruit a diverse cohort of participants to these activities. The Institute will develop a broad graduate curriculum in the theoretical foundations of data science that builds upon successful, ongoing pedagogical collaborations among Computer Science, Mathematics, and Statistics at Virginia Tech, including the undergraduate Computational Modeling and Data Analytics major, the Urban Computing NSF NRT program, and the university-wide Data Analytics and Decision Sciences destination area. This program will incorporate practical skills, including transdisciplinary communication, data wrangling, algorithm design, and implementation at scale, as well as data visualization. The fruits of this curriculum development will be shared with the broader data science community. To help develop the next generation of data scientists, the Institute will also reach out to the K-12 population through two outreach activities.</t>
  </si>
  <si>
    <t xml:space="preserve"> Panel Summary       
 _x000D_
Description:_x000D_
This proposal would create the MINDS institute at Johns Hopkins._x000D_
Activities would include a seminar series and annual symposium_x000D_
and summer school.  Curricular efforts include the creation_x000D_
of an undergraduate minor and a Masters program.  Phase II would_x000D_
expand to include a PhD program.  Several research projects are_x000D_
described._x000D_
Intellectual Merit:_x000D_
Strengths_x000D_
+ The proposers have access to biomedical data and connections to_x000D_
medical researchers/practitioners._x000D_
+ The educational aspects of the proposal are well thought-out and_x000D_
well described: a data science undergraduate minor and a Masters_x000D_
data science degree would be created.  Such programs are admirable,_x000D_
but not quite potentially transformative._x000D_
+ The PIs appear to be qualified to direct and participate in the_x000D_
research program and to develop the educational aspects._x000D_
Weaknesses_x000D_
- The research topics are described superficially, with few details_x000D_
or any clear indication of what is innovative._x000D_
- The relationship between topics was not well described._x000D_
- The theoretical CS component was weaker than the math and stat_x000D_
contributions._x000D_
_x000D_
Broader Impact:_x000D_
Strengths_x000D_
+ The infrastructure of education would be significantly enhanced, with_x000D_
the creation of new degrees, and the potential to export the undergraduate_x000D_
data minor to other institutions, provided that the developed material_x000D_
was made widely available._x000D_
+ The potential biomedical applications could have significant benefits._x000D_
Weaknesses_x000D_
- See below_x000D_
_x000D_
TRIPODS-specific criteria:_x000D_
Strengths_x000D_
+ The proposal described an integrated research and training program,_x000D_
involving a variety of activities such as seminars, symposia, and workshops._x000D_
+ The proposers collectively cover the TRIPODS areas, and have described_x000D_
a viable approach to collaboration._x000D_
Weaknesses_x000D_
- The Phase II expansion would be confined to JHU, limiting the benefits_x000D_
for the wider community._x000D_
- The evaluation plan is inadequate, failing to address the process of_x000D_
running an institute.  The measures of success are generic and do not_x000D_
appear reflective of the TRIPODS requirements._x000D_
_x000D_
Collaboration and Evaluation Plan:_x000D_
The annual symposium will provide collaboration opportunities_x000D_
with other projects.  The evaluation plan is inadequate,_x000D_
failing to address the process of running an institute, and_x000D_
only providing a general description of items to be measured,_x000D_
with few specifics about how such measurements would be accomplished._x000D_
_x000D_
Data Management Plan:_x000D_
Adequate, but would be better if documents (such as material for_x000D_
the data science minor) were made available in source format_x000D_
instead of just PDF._x000D_
_x000D_
Suggestions to PI:_x000D_
The proposal might have been stronger if the research component_x000D_
considered fewer topics, but covered each in more depth._x000D_
_x000D_
Justification for Panel Rating:_x000D_
The lack of detail and cohesion of the proposed research projects,_x000D_
and the confinement of the activity to JHU, were significant factors_x000D_
in determining the panel rating._x000D_
_x000D_
Panel Rating:_x000D_
_ Highly Recommended_x000D_
_ Recommended_x000D_
X Not Recommended_x000D_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</si>
  <si>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would create the MINDS institute at Johns Hopkins._x000D_
Activities of the institute would include a monthly seminar series,_x000D_
an annual symposium, and an annual summer school and workshop._x000D_
Curriculum enhancements would include the creation of an undergraduate_x000D_
minor and a masters program in data science.  The theme of the_x000D_
institute would be topics solidly within the TRIPODS regime,_x000D_
combining math, stat, and CS._x000D_
_x000D_
A half-dozen different projects are envisioned.  A weakness of the_x000D_
proposal is that lack of a clear description of the order in which_x000D_
these would be undertaken.  Clearly, if is not feasible to undertake_x000D_
them all immediately, so how would a plan be determined?  A timeline_x000D_
would be helpful (not necessarily in the simplistic form of a table,_x000D_
but perhaps some indication in the narrative for why it makes sense_x000D_
to work on topic A before topic B)._x000D_
_x000D_
The proposal contains contributions from a the three areas of math,_x000D_
stat, and CS, but the proposal was not particularly convincing that_x000D_
the people in those areas would genuinely be working together and_x000D_
learning from each other, as opposed to handling complementary_x000D_
parts of a larger project._x000D_
_x000D_
In the context of the five review elements, please _x000D_
evaluate the strengths and weaknesses of the proposal with respect to broader impacts._x000D_
_x000D_
The project will train students, and in particular will lead to the_x000D_
development of a Data Science undergraduate math minor.  This could_x000D_
be of significant benefit to society, particularly if the resources_x000D_
for teaching those courses became widely available._x000D_
_x000D_
Note that the current plan of distributing those resources as PDF_x000D_
will limit their usefulness, and it is difficult to adapt/modify_x000D_
such material.  Also, having those resources spread across several_x000D_
departmental servers dilutes the impact.  If the proposers develop_x000D_
material for a useful minor in data science, then they should go_x000D_
to the small additional effort of packaging it as a unit, available_x000D_
on a website devoted to the project (as well as other places) and_x000D_
available in the most useful formats, which includes the transparent_x000D_
document source, available with a license that allows instructors_x000D_
to adapt it to their needs._x000D_
_x000D_
_x000D_
Please evaluate the strengths and _x000D_
weaknesses of the proposal with respect to any additional solicitation-specific review criteria, if _x000D_
applicable_x000D_
_x000D_
_x000D_
The Phase II plan could be improved by modification that involve more_x000D_
activities that involve people outside of Johns Hopkins.  While it_x000D_
is beneficial to JHU, and students at JHU, to expand to include a PhD_x000D_
program and more faculty, this may not be the best use of funding_x000D_
intended to create an Institute.  Also, the number and variety of_x000D_
areas to be covered would be much larger if Phase II involved a_x000D_
significant number of visitors, with a separate focus program each_x000D_
semester.  This may be compatible with adding a PhD program, but_x000D_
it is more likely that the connection with PhD students would be_x000D_
through those which were working on projects related to the current focus._x000D_
_x000D_
The main shortcoming in this proposal is a lack of awareness of how_x000D_
to organize a variety of topics and how to foster collaboration_x000D_
among a diverse group working on each topic.  If MINDS is to become_x000D_
an Institute in the TRIPODS sense, then the administrators will_x000D_
need a procedure for deciding what problems to focus on and where_x000D_
to apply their limited resources (because resources are aleays_x000D_
limited, even with a Phase II TRIPODS grant).  The proposers missed_x000D_
an opportunity for applying these principles to their planned_x000D_
projects._x000D_
_x000D_
Additionally, the proposers need to think more about how work will_x000D_
occur on each specific project.  What is the right way to get the_x000D_
group started?  How will outside people be involved?  How will you_x000D_
determine if things are going well after one month?  Those are_x000D_
the questions which determine if an institute is doing well._x000D_
_x000D_
From the above discussion we see that the proposed evaluation plan is_x000D_
inadequate.  The current plan primarily concerns end-of-project_x000D_
measures of success.  Of course such things are important, but what_x000D_
is equally important, and more difficult, is ongoing formative_x000D_
evaluation which examines whether the *policies and procedures*_x000D_
are performing as hoped.  It is not trivial to have people in_x000D_
diverse areas to collaborate closely, and creative methods will be_x000D_
needed to ensure success.  (Note that the summative evaluations in_x000D_
the proposal also are inadequate.  The current version mentions_x000D_
what they might want to measure, but not how they will do that_x000D_
measurement, nor what values would be considered a success.)_x000D_
_x000D_
The Advisory Board would be improved by adding members outside of JHU._x000D_
_x000D_
_x000D_
Summary Statement_x000D_
_x000D_
The proposal describes a variety of activities in the TRIPODS areas,_x000D_
involving researchers from math, stat, and CS.  Connections with_x000D_
discipline scientists (primarily medicine and social sciences) make_x000D_
this a strong TRIPODS proposal.  The main weakness is a Phase II_x000D_
vision that mostly limits the impact to JHU._x000D_
_x000D_
The data management plan is adequate, but could be improved if_x000D_
curricular material was available in source format and made available_x000D_
in a more prominent place that separate departmental servers._x000D_
_x000D_
</t>
  </si>
  <si>
    <t xml:space="preserve">In the context of the five review elements, please _x000D_
evaluate the strengths and weaknesses of the proposal with respect to intellectual merit._x000D_
_x000D_
+ The proposal will fund collaborative research agenda of the main PIs, along with an annual research symposium, monthly seminar series. _x000D_
_x000D_
+ The PIs propose some concrete directions related to the analysis and interpretation of complex high-dimensional data. The plans and initiatives involving different departments are concrete. _x000D_
_x000D_
+ The strengths of the PIs are complementary. For example, PI Braverman's expertise in theory of sublinear algorithms (for clustering) is complementary to PI Vidal's expertise in subspace clustering and PI Arora's interests in signal processing. Some of the directions in this overlap seem promising. _x000D_
_x000D_
- While many of the PIs have strong track record in more applied aspects of ML, they seem less theoretical w.r.t. their primary research interests. For instance, among the three TCS PIs mentioned in the proposal, PI Vidal and PI Arora are more identified with their works in the computer vision community, and applied signal processing/ ML communities. _x000D_
_x000D_
- Going by the track-record of the PIs, they are more likely to produce transformative work in the more applied aspects of the proposal. _x000D_
_x000D_
- The proposal seems like it will mainly fund the research agenda of the PIs. It would have helped with more participation from people outside JHU. This would have helped to cover many areas in foundations of data science, that are not covered by the PIs' expertise._x000D_
_x000D_
In the context of the five review elements, please _x000D_
evaluate the strengths and weaknesses of the proposal with respect to broader impacts._x000D_
_x000D_
+ The proposal plans to develop curriculum on theory of data science at both the undergrad and graduate level._x000D_
+ There are very concrete plans for the PhD and Masters programs in Data Science. _x000D_
+ Involvement of high school students from Baltimore area._x000D_
_x000D_
Please evaluate the strengths and _x000D_
weaknesses of the proposal with respect to any additional solicitation-specific review criteria, if _x000D_
applicable_x000D_
_x000D_
+ The PIs have strong connections to applied data science research groups in biomedical research, and in image and speech processing through the PIs (in particular PIs Vidal, Arora, Geman and Priebe).  _x000D_
_x000D_
+ The connections between statistics, applied math and more applied data science described in the proposal seems strong. _x000D_
_x000D_
- The connection between TCS and Statistics in the directions described here is weak. While there is a lot of natural overlap between the two areas, the expertise of the PIs is along slightly different directions. They propose directions like "sketching in community detection" which seems very vague and not well developed (for instance, community detection typically focuses on sparse random graphs, which seem bad for compression/ standard sketching techniques)._x000D_
_x000D_
Summary Statement_x000D_
_x000D_
The PIs from Johns Hopkins propose a small collaborative institute led by researchers from mathematics, statisticians, and CS. The PIs have strong ties to applied data science groups in biomedical research, image and speech processing. However, the track-record of the PIs suggests they are less likely to produce transformative work in the more theoretical foundations, compared to the other proposals. Further, it may have been better if there was more participation from theorists outside JHU, to take advantage of their strong expertise in more applied aspects of ML. 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</si>
  <si>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create an data science institute at the Johns Hopkins University.  The proposed research includes topics (learning maps for complex heterogeneous data,statistical inference on attributed graphs, streaming and sketching algorithms for clustering and learning) in  each of the three TRIPODS disciplines, as well as at their intersections (e.g., high-dimensional learning in the small-sample regime, computational and statistical tradeoffs in learning theory, analysis of non-convex optimization algorithms, and mathematics of deep learning). The institute will provide opportunities to facilitate interactions among data scientists through seminars, symposium, a summer research school and workshop. It will also create  new undergraduate and graduate curricula on the theoretical foundations of data science (TFoDS). _x000D_
_x000D_
_x000D_
_x000D_
b)	Did the proposal identify specific research topics and clearly describe the roles of the mathematics, theoretical computer science, and statistics communities in addressing these foundational challenges?_x000D_
_x000D_
The proposal has identified quite a few research topics in each of the three TRIPODS disciplines, as well as at their intersections. The 3 communities have clear roles in these identified topics. _x000D_
_x000D_
c)	Did the proposal describe novel center-like activities? _x000D_
_x000D_
The proposed institute has standard center-like activities. _x000D_
_x000D_
_x000D_
d)	Please comment on the Interaction and Synergy among the 3 communities._x000D_
_x000D_
The proposed institute has solid  plan for the interaction and Synergy among the 3 communities.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quite a few listed  broad themes._x000D_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proposed institute will fund Seminar Series and an Annual Symposium on the TFoDS. _x000D_
_x000D_
It will also support multiple Data Science Fellows jointly supervised by the PIs. _x000D_
_x000D_
The institute will  create a new Minor in Data Science and a Master on the TFoDS, which will be jointly offered by the departments of Computer Science and Applied Mathematics and Statistics._x000D_
_x000D_
The institute will also impact elementary/middle/high school students, women and underrepresented minorities, and the community at large through outreach activities._x000D_
_x000D_
Datasets and code will be made publicly accessible for research and educational purposes._x000D_
_x000D_
_x000D_
b)	Did the proposal identify specific broader impact activities and clearly describe the roles of project personnel in addressing these challenges?_x000D_
_x000D_
The project personnel has clear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This proposal has a well-integrated research and training program. The proposed research problems are all foundational challenges in data science, and require coordinated efforts from the 3 TRIPODS disciplines. _x000D_
_x000D_
_x000D_
b.	Does the proposal address the 'broad themes of the program' listed in the Program Description?_x000D_
_x000D_
The proposal addressed some of the broad themes. _x000D_
_x000D_
c.	Does the proposal address strategies for workforce development, including novel educational and training activities?_x000D_
_x000D_
The proposal has adequately addressed the issue of workforce development.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all three disciplines. _x000D_
_x000D_
e.	Vision: Is there a strong case for the ability to identify and articulate a vision for the foundations of data science? _x000D_
_x000D_
The proposal listed a number of research topics. The cohesion of these topics is somewhat lacking. There is no clear vision for the foundations of data science.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All PIs have strong track records and complementary expertise from the 3 TRIPODS disciplines. Each of them has a well defined role in the project. _x000D_
_x000D_
g.	Is there a well-developed plan for communication and interaction with the domain sciences and industry?_x000D_
_x000D_
It is not clear from the proposal what is the plan for  communication and interaction with the domain sciences and industry._x000D_
_x000D_
h.	Does the proposal provide a clear plan and rationale for an investment of the size proposed, including clear plans to develop capacity for potential future Phase II operations?_x000D_
_x000D_
_x000D_
The proposal has a clear plan to develop capacity for potential future phase II operations. _x000D_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 a clear plan for ongoing assessment of all institute activities._x000D_
_x000D_
Summary Statement_x000D_
_x000D_
This proposal aims to create an data science institute at the Johns Hopkins University. The proposal identified a number of topics/challenges in data science, which require coordinated effort from the 3 TRIPODS disciplines. Some of the topics seem to be isolated and need better cohesion._x000D_
_x000D_
</t>
  </si>
  <si>
    <t>We propose to create The Johns Hopkins Mathematical Institute for Data Science (MINDS), a small collaborative institute led by a multidisciplinary team of mathematicians (Maggioni, Robinson), statisticians (Geman, Priebe) and theoretical computer scientists (Arora, Braverman, Vidal). The goals of the institute will be to (1) lead the establishment of the fundamental principles behind the analysis and interpretation of massive amounts of complex high-dimensional data, (2) facilitate interactions among data scientists through a monthly seminar series, an annual research symposium, and a summer research school and workshop; and (3) lead the creation of new undergraduate and graduate curricula on the theoretical foundations of data science (TFoDS). Existing partnerships and affiliations of our team members with data-intensive centers and institutes at Hopkins, such as the Institute for Data Intensive Engineering and Science, the Center for Imaging Science, the Center for Speech and Language Processing, and the Institute for Computational Medicine, will provide us with exquisite computational resources as well as numerous applications in image analysis, language processing and medicine.The institute will develop a novel research agenda on the TFoDS that will include topics in mathematics (e.g., learning maps for complex heterogeneous data), statistics (e.g., statistical inference on attributed graphs), and theoretical computer science (e.g., streaming and sketching algorithms), as well as topics at the intersection of these disciplines (e.g., high-dimensional learning in the small-sample regime, computational and statistical tradeoffs in learning theory, mathematical analysis of non-convex optimization algorithms, mathematics of deep learning). The institute will also fund an Annual Summer Research School and Workshop on the TFoDS, where a team of 3-4 faculty, 2-3 graduate students and 2-3 undergraduates work on their dream research topic for a period of 8 weeks. The faculty team will be chosen in the Fall through a call for proposals, while graduate and undergradutae students will be chosen in the Spring, the latter through an REU application process. A 2-week summer school consisting of lectures by invited speakers as well as hands-on lab experience on the TFoDS will precede the workshop. The institute will leverage 20+ years of Hopkins experience at organizing workshops of this kind and seek additional support from industrial partners who have funded these kinds of workshops at Hopkins in the past (e.g., Amazon, Facebook, Google and Microsoft).The proposed institute will fund a Seminar Series and an Annual Symposium on the TFoDS. The institute will also fund multiple Data Science Fellows, who will be jointly supervised by faculty from mathematics, statistics and computer science. The institute will also create a new Minor in Data Science and a Master on the TFoDS, which will be jointly offered by the departments of Computer Science and Applied Mathematics and Statistics. At present, Hopkins has absolutely outstanding senior- and graduate-level courses in statistics and machine learning, which will form the basis for the proposed master program. However, introductory courses (calculus, linear algebra, probability and statistics) are not well coordinated, and lack computational perspective and motivation from a data science point of view. The proposed minor will bridge this gap by creating new sophomore- and junior-level courses. The institute will also impact elementary/middle/high school students, women and underrepresented minorities, and the community at large. Datasets and code will be made publicly accessible for research and educational purposes.</t>
  </si>
  <si>
    <t xml:space="preserve"> Panel Summary       
 _x000D_
_x000D_
Description: _x000D_
_x000D_
The investigators propose a framework for geometric data analysis (GDA); methods that take into account intricate_x000D_
geometric/topological structure in the data, in order to address the challenges facing data science. Topics include: _x000D_
-Representation of complex objects and their distributions_x000D_
-Maps between data sets_x000D_
-Optimization and sampling_x000D_
-Learning and inference_x000D_
The work will be applied to :_x000D_
- Computational journalism , _x000D_
- Computational criminology, _x000D_
- Morphometrics in evolutionary and molecular biology, _x000D_
- Brain imaging:_x000D_
It proposes to ramp up institute activities by: _x000D_
-Workshops and seminars._x000D_
-Digital products for dissemination._x000D_
-Engaging local institutions_x000D_
-Training high-school and middle-school STEM teacher_x000D_
_x000D_
Intellectual Merit: _x000D_
_x000D_
Strengths_x000D_
_x000D_
+ Research looks at complete data pipelines, they look at every face of the data analysis_x000D_
+ The nonconvex optimization part is very good._x000D_
+ The ideas concerning representation of shapes without requiring landmarks appears to have significant originality. _x000D_
+ Excellent research team. _x000D_
Weaknesses_x000D_
-The application side maybe is too narrow. There are not clear connections in geometry of the application, they are believable but not expressed. _x000D_
- The proposal does not talk about the impact of recent dramatic progress in machine learning on several of the application domains considered. The panel would have liked to see contrast between the proposed work, and these techniques. _x000D_
- The proposal would have benefited by connecting 'Information geometry' with more modern concepts emerging from statistics and theoretical computer science. _x000D_
- The proposal does not look very cohesive. The panel is concerned about the work evolving in independent non-related research threads. _x000D_
- The sections "connection to data analysis" and "validation in application domains" seem disconnected in aim. _x000D_
_x000D_
Broader Impact:_x000D_
Strengths_x000D_
+ Several topics are at the intersection of the 3 foundational areas: Learning has stats and CS, and several topics are mixed to work between them. _x000D_
+ The proposal described a well-integrated research and training program. _x000D_
+ The proposed research problems are all foundational challenges in geometric data science, and require the collaboration and interaction among the 3 communities of TRIPODS._x000D_
Weaknesses_x000D_
- The proposal would be stronger if it connected the geometry-focused concepts to the broader existing statistical ideas._x000D_
_x000D_
TRIPODS-specific criteria: _x000D_
Strengths_x000D_
+ the activity of the internal advisory board in order to assess the metrics of progress and the evolution along those metrics appears to be thought out in detail and has a great representation of the disciplines required. _x000D_
+ the collaboration, evaluation and preparation for phase 2 plan appeared to be well thought out. _x000D_
Weakness_x000D_
- while it is clear from the description where the ideas will go in phase 2 in terms of applications and possible other institutions, it is not clear how the topics would or could evolve. _x000D_
_x000D_
Collaboration and Evaluation Plan: _x000D_
The PIs have specific assignments. They will have formal all-hands PI meetings every month. They have a dedicated professional for evaluation, and budgeted as such. Criteria are listed, and classical. They have an internal advisory board. _x000D_
_x000D_
Data Management Plan: _x000D_
There do not appear to be plans to make the software publicly available, but the data will be. They have access to a protected research data network for sensitive and protected data sets. _x000D_
_x000D_
_x000D_
Post-doctoral Mentoring Plan: _x000D_
Postdocs will be co-advised, will have an opportunity to teach a course in data science and mentor graduate and undergraduate students. _x000D_
_x000D_
Justification for Panel Rating: There are some interesting research topics, though too narrowly tied around geometry. The proposal would have been much stronger if it connected the geometry-focused concepts to the broader existing statistical and theoretical computer science ideas. The proposal has good investigators, but their cohesiveness was not fully convincing. _x000D_
_x000D_
Panel Rating:_x000D_
_ Highly Recommended_x000D_
_X Recommended_x000D_
_ Not Recommended_x000D_
_x000D_
The summary was read by/to the panel and the panel concurred that the summary accurately reflects the panel discussion._x000D_
 _x000D_
</t>
  </si>
  <si>
    <t>TRIPODS Review Analysis_x000D_
_x000D_
Panel Recommendation: Recommended_x000D_
_x000D_
PEC: 	041Y TRIPODS_x000D_
PRCs:	047Z TRIPODS Phase 1 _x000D_
062Z Harnessing the Data Revolution _x000D_
_x000D_
Context: 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 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 _x000D_
_x000D_
The panel placed proposals into the previously described categories as follows: _x000D_
_x000D_
Highly Recommended: 2 proposals _x000D_
Recommended: 8 proposals _x000D_
Not Recommended: 11 proposals _x000D_
Not Discussed in Panel: 9 proposals _x000D_
_x000D_
Reviews and Panel Ranking: _x000D_
_x000D_
Review ratings: E/V, V/G, F_x000D_
_x000D_
This proposal was among the 8 rated R and was ranked 10th overall._x000D_
_x000D_
Intellectual Merit:_x000D_
_x000D_
The investigators propose a framework for geometric data analysis (GDA): methods that take into account intricate geometric and topological structure in the data, in order to address the challenges facing data science.  The panel agreed that the team was excellent and expressed a comprehensive view of the end to end data pipeline.  However, essential connections to machine learning were considered missing, and statistics and theoretical computer science were not as well represented as they should have been.  One reviewer was quite critical of the lack of current state-of-the-art theoretical computer science and machine learning content._x000D_
_x000D_
Broader Impact:_x000D_
_x000D_
The panel appreciated the outreach and application components of the proposal, but felt that these should have been better connected to the research proposed._x000D_
_x000D_
TRIPODS-specific criteria: _x000D_
_x000D_
The panel felt the institution-building aspects were good, but as mentioned, one panelist was quite disappointed in the theoretical computer science aspects._x000D_
_x000D_
Response to E/V review:_x000D_
_x000D_
The reviewer used a checklist format, and "checked most of the boxes," indicating that the proposal managed to include most of the required elements.  However, little or no support is given to substantiate some of these claims.  Other reviewers pointed out several weaknesses in the proposal._x000D_
_x000D_
Recommendation:_x000D_
_x000D_
As Program Director, I evaluated each proposal for funding in light of its intellectual merit and broader impacts relative to the goals of the TRIPODS program, taking into account the reviews and ratings, the panel discussions and panel summary.  I also considered this proposal in relation to other proposals reviewed in this and other panels, the need to maintain appropriate balance among subfields, the total amount of funds available to the program for new proposals, and general Foundation policies._x000D_
_x000D_
For this proposal, I concur with the overall assessment of the panel.  This is a quality proposal and would be worthy of support if there were fewer proposals or more funds available, but the available funds are not enough to reach this far into the list of recommended proposals, and my recommendation is that this proposal be declined.  _x000D_
_x000D_
_x000D_
Tracy Kimbrel, Program Officer _x000D_
Division of Computing and Communication Foundations _x000D_
Aug 10, 2017 _x000D_
_x000D_
On behalf of the TRIPODS Management Team _x000D_
Nandini Kannan _x000D_
Tracy Kimbrel _x000D_
Jack Snoeyink _x000D_
Christopher Stark</t>
  </si>
  <si>
    <t xml:space="preserve">In the context of the five review elements, please _x000D_
evaluate the strengths and weaknesses of the proposal with respect to intellectual merit._x000D_
_x000D_
I do not see how this proposal promotes fundamental research and training in the theoretical foundations of data science. There is no mention of statistics in language that an undergraduate student in statistics would recognize and there is very little theoretical computer science. This is an applied math proposal in which the word "geometry [of data]" is stretched enough that even "computational journalism" can be brought into the fold of "geometric data science." _x000D_
_x000D_
By and large this is a proposal by people who want to continue doing what they have been doing, cast as data science. Frankly, given how thoroughly the geometric (and mathematically super-sophisticated) methods in this proposal have been trounced in recent years by Deep Neural Nets in nearly every problem they set out to solve, I would have expected much more soul-searching in this community, even some intellectual humility. Yes, topology and group structure are nice, but so far they can only be made useful in domains where we also control the data acquisition process, e.g., controlled imaging._x000D_
_x000D_
At any rate, even though the underlying ideas are very sophisticated and mathematical, this proposal does not propose much in the way of building theoretical foundations for data science, other than through notions that for more than two decades have largely failed to deliver. In that sense, referring to "information geometry" as an "emerging field" while citing Amari's text from 1993 is dissonant._x000D_
_x000D_
In the context of the five review elements, please _x000D_
evaluate the strengths and weaknesses of the proposal with respect to broader impacts._x000D_
_x000D_
The proposal is rather strong on the training aspects, especially the project-based learning._x000D_
_x000D_
_x000D_
Please evaluate the strengths and _x000D_
weaknesses of the proposal with respect to any additional solicitation-specific review criteria, if _x000D_
applicable_x000D_
_x000D_
_x000D_
_x000D_
Summary Statement_x000D_
_x000D_
This proposal was in the bottom half of the proposals I reviewed._x000D_
_x000D_
_x000D_
</t>
  </si>
  <si>
    <t xml:space="preserve">In the context of the five review elements, please _x000D_
evaluate the strengths and weaknesses of the proposal with respect to intellectual merit._x000D_
_x000D_
Strengths: _x000D_
_x000D_
+ The proposal identifies geometry as a connecting linchpin for putting together information and creating context out of disparate, heterogeneous species of information._x000D_
_x000D_
+ The ideas concerning representation of shapes without requiring landmarks appears to have significant originality._x000D_
_x000D_
+ Some of the ideas in "high dimensional optimization" are quite intriguing such as the logarithmic number of steps. I suspect that one would have to have very special optimization problems but it is a really interesting way to go._x000D_
_x000D_
+ the ideas of using locally curved components to capture low dimensional genetic structure is an intriguing one and appears to be quite original._x000D_
_x000D_
+ The investigators are absolutely top-notch in their areas._x000D_
_x000D_
Weaknesses: _x000D_
_x000D_
- in the choice of the "connection to data analysis" and "validation in application domains" It is unclear how these two connect._x000D_
_x000D_
_x000D_
- I appreciate that there is no page space to develop the ideas in this proposal, but some of the activities are not even hinting as to how they would be useful rather than what they would do. For example "topology and algebra"; I have no doubt that these connections exist and that the people who propose it are very competent but I just do not see how they envision using it in the sense of it being explained in some way._x000D_
_x000D_
- Similar concern about "representations of parameter spaces" fairly vague description._x000D_
_x000D_
- The topic "geometry of the energy landscape", again we have very little idea as to what is proposed to be done though the challenges and past issues are described very well and convincingly._x000D_
_x000D_
_x000D_
In the context of the five review elements, please _x000D_
evaluate the strengths and weaknesses of the proposal with respect to broader impacts._x000D_
_x000D_
+ the activities that the institution already has that and that it plans to enhance along the IID and data Fest activities are well thought out and appear provide a substantial vehicle for students to train in the nitty-gritty of data._x000D_
+ "the query response surface" idea in order to check the quality of a claim appears innovative._x000D_
_x000D_
+ the computational criminology direction is very intriguing._x000D_
_x000D_
+ The educational component appears to be very well thought out and benefits from thinking about all the levels of education and how they interact with each other._x000D_
_x000D_
-The proposal mentions activities 'training high school and middle school teachers;' these would be even stronger if the connection to the proposed research topics was made clear._x000D_
_x000D_
_x000D_
_x000D_
Please evaluate the strengths and _x000D_
weaknesses of the proposal with respect to any additional solicitation-specific review criteria, if _x000D_
applicable_x000D_
_x000D_
+ the activity of the internal advisory board in order to assess the metrics of progress and the evolution along those metrics appears to be thought out in detail and has a great representation of the disciplines required._x000D_
+ the collaboration, evaluation and preparation for phase 2 plan appeared to be well thought out._x000D_
- while it is clear from the description where the ideas will go in phase 2 in terms of applications and possible other institutions it is not clear how the topics would or could evolve._x000D_
- the computer science angle is very subdued unless one considers discrete mathematics and machine learning to be a core part of it. _x000D_
_x000D_
_x000D_
_x000D_
_x000D_
Summary Statement_x000D_
_x000D_
This is a strong proposal, with excellent investigators, with good ideas about how to reach a large number of individuals, and with an appealing connecting concept of geometry. Some of the research directions are not clearly described, the plans are well thought out but perhaps not fully satisfactory, and the computer science component is subdued._x000D_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</si>
  <si>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Duke Geometric Data Science Center that will strengthens existing and establishes new collaborations among researchers in computer science, mathematics, and statistical science. The goal of this institute is to develop transformative new frameworks for geometric data science and  use them to establish connections with application domains. It will engage and mentor students and young researchers across all three disciplines; rethink existing curriculum at both graduate and undergraduate to better prepare the next generation of data scientists; and engage in community-building activities._x000D_
_x000D_
_x000D_
_x000D_
b)	Did the proposal identify specific research topics and clearly describe the roles of the mathematics, theoretical computer science, and statistics communities in addressing these foundational challenges?_x000D_
_x000D_
The proposal has identified four research topics in geometric data analysis, representation of complex objects and their distributions, maps between data sets, optimization and sampling, and learning and inference. These topics have clear roles for mathematics, theoretical computer science, and statistics communities._x000D_
_x000D_
_x000D_
c)	Did the proposal describe novel center-like activities? _x000D_
_x000D_
The proposal describes "standard" center-like activities. _x000D_
_x000D_
d)	Please comment on the Interaction and Synergy among the 3 communities._x000D_
_x000D_
The proposed activities provide plenty of interaction and synergy among the 3 communities._x000D_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almost all broad themes._x000D_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This project will strengthen existing collaborations and establishing new ones among researchers in computer science, mathematics, and statistical science at Duke. _x000D_
_x000D_
It will provide opportunities to engage and mentor students and young researchers._x000D_
_x000D_
It will enhance graduate and undergraduate curricula to better prepare the next generation of data scientists. _x000D_
_x000D_
The institute will also be engaged in community- building activities such as organizing workshops to disseminate recent results as well as to identify future research directions; hosting short- and medium-term visits by both young and senior researchers; and forging strategic partnerships with research labs and industry. _x000D_
_x000D_
_x000D_
_x000D_
b)	Did the proposal identify specific broader impact activities and clearly describe the roles of project personnel in addressing these challenges?_x000D_
_x000D_
The project personnel has clearly described roles in the broader impact activities. _x000D_
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proposal described a well-integrated research and training program. The proposed research problems are all foundational challenges in geometric data science, and require the collaboration and interaction among the 3 communities of TRIPODS. _x000D_
_x000D_
b.	Does the proposal address the 'broad themes of the program' listed in the Program Description?_x000D_
_x000D_
The proposal adequately addressed almost all the listed broad themes. _x000D_
_x000D_
c.	Does the proposal address strategies for workforce development, including novel educational and training activities?_x000D_
_x000D_
The proposal has good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needs theories and approaches from theoretical computer science, mathematics, and statistics._x000D_
_x000D_
e.	Vision: Is there a strong case for the ability to identify and articulate a vision for the foundations of data science? _x000D_
_x000D_
The proposal provides a nice vision for the foundations of geometric data science. _x000D_
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research team is very strong and all have outstanding track record. Their expertise complements each other, and spans over the 3 TRIPODS communities. _x000D_
_x000D_
g.	Is there a well-developed plan for communication and interaction with the domain sciences and industry?_x000D_
_x000D_
The proposal provides opportunities for communication and interaction with the domain sciences and industry through dissemination and validations. _x000D_
_x000D_
_x000D_
h.	Does the proposal provide a clear plan and rationale for an investment of the size proposed, including clear plans to develop capacity for potential future Phase II operations?_x000D_
_x000D_
The proposal has the potential for future phases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provides a clear plan for ongoing assessment of all institute activities._x000D_
_x000D_
Summary Statement_x000D_
_x000D_
This proposal aims to establish a geometric data science center at Duke. The proposal is very well written and carefully planned. The identified problems are all fundamental and if solved, could have profound impact to the field of data science. _x000D_
_x000D_
_x000D_
</t>
  </si>
  <si>
    <t>Geometry is ubiquitous at all scales. It is thus not surprising that much of the data being gathered has a geometric character, either directly or indirectly. Besides traditional geometric data - images, video, and 3D scans - even non-geometric phenomena, such as users in a social network or a corpus of text documents, are being mapped to geometric spaces, revealing underlying geometric and topological structures in data. Such data sets are high-dimensional, complex, heterogeneous, and often noisy and incomplete; collected in distributed, piecemeal manner; and updated rapidly. To take full advantage of opportunities provided by these data sets, fundamentally new methods have to be developed for modeling and analyzing such data, not to mention how best to collect the data for a specific task, as well as for presenting the useful information to a user in a meaningful way. Such development will impact a wide variety of scientific fields, industry, and society at large, but this will require expertise across disciplines. Duke proposes to develop a TRIPODS institute with a focus on geometric data science to develop transformative new frameworks for geometric data science; strengthen existing collaborations and establish new ones among researchers in computer science, mathematics, and statistical science; and engage and mentor students and young researchers across all three disciplines.The goal of the Duke Geometric Data Science Center will be to develop transformative new frameworks for geometric data science. Fundamental challenges include: (i) developing representations of complex objects and their distributions that are flexible and interpretable; (ii) learning maps between data sets or objects; (iii) developing provable optimization and sampling methods for complex data and complex representations; (iv) novel probability models for learning and inference that are provably flexible, interpretable, computable and quantify uncertainty.These challenges will be addressed by strengthening existing collaborations and establishing new ones among researchers in computer science, mathematics, and statistical science; by engaging and mentoring students and young researchers; and by rethinking existing curriculum - both graduate and undergraduate - to better prepare the next generation of data scientists. The institute will also be engaged in community-building activities such as organizing workshops to disseminate recent results as well as to identify future research directions; hosting short- and medium-term visits by both young and senior researchers; and forging strategic partnerships with research labs and industry. Duke is uniquely poised to address these challenges given its existing expertise in (i)-(iv), its existing cross-department data science collaborations, and its focus on interdisciplinary education.</t>
  </si>
  <si>
    <t xml:space="preserve"> Panel Summary       
 Description:_x000D_
_x000D_
This is a proposal on extracting meaningful structure from complex and noisy data.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The project will support 2 postdocs and 3 PhD students, and the center will interact with researchers other than the personnel listed here. The PIs will organize annual workshops, and research visits from outside researchers. They will also establish a relationship with statistical physics. The center will review the curriculum to streamline courses that relate to DS into a coherent track. _x000D_
_x000D_
Intellectual Merit:_x000D_
_x000D_
Strengths_x000D_
_x000D_
- Altogether it was felt that the depth of research component of this proposal was very strong with a good high level vision._x000D_
_x000D_
- The group is well qualified; it can be expected that the research results will be significant._x000D_
_x000D_
- The problems are important and interesting; taken together, they form a sum that is appropriate for bringing these groups together._x000D_
_x000D_
- There is a detailed discussion of the research problems that was appreciated._x000D_
_x000D_
Weaknesses_x000D_
_x000D_
- There was a general feeling that the group might have benefited from the addition of expertise from one or more groups (eg algorithms, classic statistical theory, statistical physics, applied math)._x000D_
_x000D_
- The research program is a bit lacking in breadth as presented; it is not clear how this would expand over the years. Also the proposed work would benefit from more "foundational" content._x000D_
_x000D_
Broader Impact:_x000D_
_x000D_
Strengths_x000D_
_x000D_
- Training program for graduate and undergraduate students/postdocs._x000D_
_x000D_
- Involvement of students/faculty outside those immediately involved in the work._x000D_
_x000D_
- Outreach for middle/high school students._x000D_
_x000D_
TRIPODS-specific criteria:_x000D_
_x000D_
Strengths_x000D_
_x000D_
- Natural synergy among participants, with a good technical vision. The roles of the participants in each part of the project make sense towards bringing a common language and interdisciplinarity to the work._x000D_
_x000D_
- The fact that Princeton does not at this time have a Stats department nor a DS center is a good argument for having a center like this that might fill those gaps._x000D_
_x000D_
- The existing industrial relationships as well as the interaction proposed to nurture those will be useful for the project, from a technical as well as training point of view._x000D_
_x000D_
- The workshops and visiting researcher programs will have good impact._x000D_
_x000D_
Weaknesses_x000D_
_x000D_
- Altogether, the panel felt that the strength of this proposal was in its research section and the vision/logistics issues related with establishing a center are less strong._x000D_
_x000D_
- Given the focused description of research, it is not clear that this would eventually form the basis of an entire Phase I or Phase II center._x000D_
_x000D_
- It is not made clear whether the industry contacts have an eye for applications, or they themselves are theoretical researchers in research labs. The two cases will have different outcomes._x000D_
_x000D_
- The education plan could be stronger and more concrete, possibly with plans to develop one or more new degree programs._x000D_
_x000D_
- Some concrete description of how this process might segue to a Phase II operation would be useful._x000D_
_x000D_
_x000D_
Collaboration and Evaluation Plan: _x000D_
_x000D_
Collaboration plan is strong. While goals for the project are explained, the measures of success could be stronger and some panelists suggested forming an (external) review board to evaluate strengths and weaknesses of the Phase I institute as well as progress towards Phase II._x000D_
_x000D_
_x000D_
Data Management Plan: _x000D_
_x000D_
Adequate_x000D_
_x000D_
Post-doctoral Mentoring Plan: _x000D_
_x000D_
Adequate_x000D_
_x000D_
Justification for Panel Rating: _x000D_
_x000D_
Overall, the panel felt that the proposal's strength was more in research. More thought on center-related issues (and possibly a broader base for the group) would improve this proposal significantly._x000D_
_x000D_
Panel Rating:_x000D_
_x000D_
_ Highly Recommended_x000D_
_x000D_
X Recommended_x000D_
_x000D_
_ Not Recommended_x000D_
_x000D_
_x000D_
The summary was read by/to the panel and the panel concurred that the summary accurately reflects the panel discussion._x000D_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</si>
  <si>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Structure, Randomness, and Information in Data Science_x000D_
_x000D_
L: 1740807 Abbe, Emmanuel Princeton University $ 1,500,000_x000D_
_x000D_
_x000D_
P172027 R TRIPODS Panel 1, Recommended (E/V,V,V/G)_x000D_
Std competition rank 6 of 30 rated projects: 2 HR, 8 R, 11 NR, 9 NDP, on 5/17/2017_x000D_
_x000D_
_x000D_
PROJECT OVERVIEW_x000D_
This is a proposal on extracting meaningful structure from complex and noisy data. The research themes of this_x000B_proposal consist of (1) studying phase transition algorithms for combinatorial objects such as networks/trees; (2)_x000B_studying properties of a general data learning and compression framework proposed recently; (3) using convex_x000B_optimization ideas for statistical learning. The project will support 2 postdocs and 3 PhD students, and the center_x000B_will interact with researchers other than the personnel listed here. The PIs will organize annual workshops, and_x000B_research visits from outside researchers. They will also establish a relationship with statistical physics. The center_x000B_will review the curriculum to streamline courses that relate to DS into a coherent track._x000D_
_x000D_
INTELLECTUAL MERIT  The research component of this proposal was universally liked, with the PIs having a track record in the areas of Machine Learning and inference from graphs, and clustering as well as good problems proposed.  Center formation was a weakness. _x000D_
_x000D_
BROADER IMPACTS Good training program for graduate and undergraduate students/postdocs, and outreach to middle &amp; high school.  Collaboration with industry Is mentioned, but details would have been appreciated (e.g., there are no letters of collaboration.) _x000D_
_x000D_
REVIEW SUMMARY All reviewers agreed that the research proposed was excellent, but that institute building was "uninspired" (the V/G reviewer)  or "weak" (the E/V reviewer).  And the V reviewer, calling it "one of my better" and acknowledging the importance of having a center at Princeton, still said, "Research too specialized for Foundations of data science." 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t>
  </si>
  <si>
    <t xml:space="preserve">In the context of the five review elements, please _x000D_
evaluate the strengths and weaknesses of the proposal with respect to intellectual merit._x000D_
_x000D_
This is a proposal by four PIs from Princeton on extracting meaningful structure from complex and noisy data. In particular, they list their areas of focus as phase transitions and algorithms in combinatorial statistics; unsupervised learning and compression; nonconvex learning and the geometry of random processes. In terms of research topics the proposal is broad and ambitious heavy on learning, naming combinatorial statistics: phase transitions and algorithms, unsupervised learning and compression,  and learning, optimization, and the geometry of random processes. Given the makeup of the PIs, the proposal is randomness/optimization/learning heavy. The rationale is explained as Princeton being in need of such a center; such a center (or even a statistics department, currently) does not exist in Princeton, and it would be a high return endeavor to establish one. The PIs are from CS, EE, and math(2). The CS member has expertise in optimization and ML, which would fit nicely into the narrative. _x000D_
_x000D_
The project will support 2 postdocs and 3 PhD students, and the center will interact with researchers other than those and the PIs. The PIs will organize annual workshops, and research visits from outside researchers. They will also establish a relationship with statistical physics (would have been nice to include someone from the area in this proposal). The center will review the curriculum to streamline courses that relate to DS into a coherent track. (There does not seem to be a concrete plan for a separate program.)_x000D_
_x000D_
The PIs have connections to industry (Bell Labs, Google, Microsoft -- is not made clear if those are true industry contacts or research scientist at those institutions--each would imply a different direction). In addition to benefiting the research community and the students, the PIs plan outreach DS activities promoting STEM (similar to the Julia Robinson mathematics festival)._x000D_
_x000D_
In terms of a long term vision and the roles of the individual PIs, this proposal works well. The roles and the rationale for including the PIs to for a synergistic whole are clearly explained. There is also a discussion on the need for developing a common terminology among the three disciplines. _x000D_
_x000D_
In terms of applications and industry involvement, companies are named, but their roles are not clearly explained. At this point it is not clear to me whether the intent is just to collaborate with people in research labs, or to work towards to needs of applications. The team is strong, with clear learning, optimization, statistics, and pure math strengths.  Also, they are fortunate to be located at the hub of tremendous activity in all three fields. There are other centers located nearby -- it would be good to think about interacting with them, especially when one positions oneself towards Phase II._x000D_
_x000D_
I did not see explicit plans for developing degree programs, or other concrete educational opportunities. Rather, the proposal focuses on streamlining the curriculum. However, there are activities explicitly mentioned that would benefit students of all levels, including middle and high school._x000D_
_x000D_
In the context of the five review elements, please _x000D_
evaluate the strengths and weaknesses of the proposal with respect to broader impacts._x000D_
_x000D_
This proposal has a section where the PIs talk about STEM and/or mathematical outreach to middle and high school students. Other than that, the broader impacts are related to the research and student community._x000D_
_x000D_
Please evaluate the strengths and _x000D_
weaknesses of the proposal with respect to any additional solicitation-specific review criteria, if _x000D_
applicable_x000D_
_x000D_
The proposal does present a well integrated plan; it is also pretty clearly explained. It does address the broad themes of this program, with a clear vision. The training component is not as explicit as it could be; to me it seems to be presented as an afterthought. While ML can be well within TCS, if one is talking about preparing DS courses within TCS, not having an algorithmic component leaves a hole behind. I'd like to suggest the PIs to consider this in their course development plans._x000D_
_x000D_
The collaboration within the group as described is natural and feasible; it is likely to produce valuable research. It is not clear to me what the extent of the collaboration will be between the group and domain sciences/industry though. The plan for evaluating success and the path towards Phase II are not very concrete; the thought seems to be that if the collaboration is productive and the hiring goes well Phase II will be reasonable. This is not in itself an unreasonable thought, but perhaps a more concrete plan of evaluation and action could be drawn._x000D_
_x000D_
Summary Statement_x000D_
_x000D_
This is a good proposal, it could benefit from some further thinking on the logistics and vision of a center._x000D_
_x000D_
</t>
  </si>
  <si>
    <t xml:space="preserve">In the context of the five review elements, please _x000D_
evaluate the strengths and weaknesses of the proposal with respect to intellectual merit._x000D_
_x000D_
Although it lacks a TCS member whose main home is FOCS and STOC, nearly all the PIs publish in these conferences.  Perhaps it lacks a true applied math person ... although the lines are very blurry here. The Pis make an interesting argument that the disbanding of the statistics department at Princeton makes it particularly valuable to locate a TRIPODS Institute there... but this won't be in a vacuum, given Princeton's strengths in theoretical areas._x000D_
_x000D_
The proposal has a very good top-level vision and then dives into specific problems - further work on stochastic block models, a relatively unstudied but interesting general approach to unsupervised learning, a cursorily-described extension of this to semi-supervised learning, and various formulations on non-convex optimization._x000D_
_x000D_
In this case, the specific problems seem important enough that they add up to the overall vision and the proposal lays out the roles of the 3 disciplines very well._x000D_
_x000D_
For Center building, the project will involve not only the post-docs and grad students supported by this project, but also grad students funded elsewhere and undergrads, whose research interests are aligned._x000D_
_x000D_
_x000D_
The synergy between the communities is very good. Even if the PIs haven't written papers together already, it is clear that each topic can draw on the expertise of more than one of the PIs._x000D_
_x000D_
There is some thought given to fostering industry collaborations by having talks by people from industry on problems of interest, and by using the methods the PIs develop to work on problems that practitioners care about._x000D_
_x000D_
There are a number of relevant courses that the PIs already teach in the area. The proposal seeks to harmonize these courses. Nevertheless the curricular plans are not as ambitious as they could have been and it is not clear how substantially the course offerings at Princeton would change if this project were funded._x000D_
_x000D_
_x000D_
_x000D_
_x000D_
_x000D_
In the context of the five review elements, please _x000D_
evaluate the strengths and weaknesses of the proposal with respect to broader impacts._x000D_
_x000D_
Broader impacts are a little pro forma... but the idea that this center will help coalesce Statistics at Princeton is an interesting one. There is some talk of connection with industry._x000D_
_x000D_
What is the potential for the proposed activity to benefit society or advance desired societal outcomes (Broader Impacts)?_x000D_
_x000D_
Nothing explicit here... only that unsupervised learning is an especially important problem that can advance desired societal outcomes._x000D_
_x000D_
Please evaluate the strengths and _x000D_
weaknesses of the proposal with respect to any additional solicitation-specific review criteria, if _x000D_
applicable_x000D_
_x000D_
Yes, the proposal does a good job of presenting a well-integrated program that will advance the foundations of data science. It addresses the broad themes of the call. By involving more undergrads and grad students than can be supported by this proposal, it will help with work force development.   _x000D_
_x000D_
The proposal is on a good path to Phase II. The vision is broad and the specific problems considered are also likely to be of broad interest. There is a plan to have workshops and to invite collaborators for short-term visits, but this kind of outreach is less extensive than in other proposals submitted to the program._x000D_
_x000D_
The expertise of the PIs is partly overlapping and partly complementary, which is probably a good situation. _x000D_
_x000D_
There is a decent collaboration plan, but no evaluation plan._x000D_
_x000D_
Summary Statement_x000D_
_x000D_
Very good team with some good specific questions to work on._x000D_
_x000D_
</t>
  </si>
  <si>
    <t xml:space="preserve">In the context of the five review elements, please _x000D_
evaluate the strengths and weaknesses of the proposal with respect to intellectual merit._x000D_
_x000D_
+quite technical research proposed _x000D_
+some of the research themes are important and interesting in corresponding field _x000D_
_x000D_
- not enough foundational theory proposed_x000D_
-lack of new contributions beyond their previous work_x000D_
_x000D_
In the context of the five review elements, please _x000D_
evaluate the strengths and weaknesses of the proposal with respect to broader impacts._x000D_
_x000D_
+the proposal has a very solid education plan including training for the postdocs and students (both graduate and undergraduate), and other reeducation activities such as seminars and workshops_x000D_
_x000D_
- there is concern for the lacking of  the broadness of the proposed research, thus might impede the impact of the proposal_x000D_
_x000D_
Please evaluate the strengths and _x000D_
weaknesses of the proposal with respect to any additional solicitation-specific review criteria, if _x000D_
applicable_x000D_
_x000D_
_x000D_
_x000D_
Summary Statement_x000D_
_x000D_
The research themes of this proposal consist of (1) studying phase transition algorithms for combinatorial objects such as networks/trees; (2) studying properties of a general data learning and compression framework proposed recently; (3) using convex optimization ideas for statistical learning. While I find the proposed research valuable, it seems that the research is too specialized for a (theoretical) foundational proposal.  Specifically, the PIs propose to study the phase transition phenomenon beyond the Erdos-renyi model, and then continue on studying the specific stochastic  block model (for which two of the PIs are experts). The second theme of the research is on studying properties of a general learning/compression framework for unsupervised learning proposed by one the PIs early work in Hazan and Ma (2015).  While the framework is very general which encompasses the traditional PCA, dictionary learning or even clustering, it does not solve the problem that it requires a representation or a class of 'encoding' algorithms for the data.  There do not seem to be any significantly new ideas here. The third theme proposes to employ the geometry of random processes (largely empirical processes) for statical learning which is closely related to some classical ideas such as memorizations. the research is apparently important, interesting and technical, but it just serves as some technical generalization of the original ideas by Talagrand. There do not seem to enough new foundational  advances here._x000D_
_x000D_
Another concern is that the team seems to be largely consisting of researchers from statistical learning, the synergistic activities across math, CS and stat are slightly in question. For example, can one involve some more classical stat theory person from ORFI?_x000D_
_x000D_
The strengths of the proposal:_x000D_
+qualified team_x000D_
+technical research plan _x000D_
+a very comprehensive education plan which proposes to involve at least 2 postdocs and three graduates at the core of the program _x000D_
+has a plan for Phase II by involving more researchers from Princeton_x000D_
_x000D_
</t>
  </si>
  <si>
    <t>The ultimate challenge of data science is to extract meaningful structure from complex and noisy data. The recent decade has seen unprecedented success in applying statistical techniques to extract information from large-scale data sets. At their core, however, many such techniques are still based on sophisticated variants of simple regression models. While such models have great appeal as they give rise to a rather general, unified theory, they can only provide a crude (albeit very useful) caricature to the structures that arise in many real-world problems. The PIs believe that major advances in our ability to extract structure from data will require a genuinely nonlinear perspective on many core problems of direct relevance to the practice of data science. For example, numerous complex inference problems involve random processes on combinatorial structures such as networks (graphs), communities (partitions), phylogenies (trees), or preferences (permutations). Likewise, in one of the major areas of learning theory, unsupervised learning, it is not clear in general how to represent structure in unlabeled data, and new structures must be identified to serve as the foundation for such problems. In addition, a genuinely nonlinear approach brings fundamental computational challenges whose resolution is crucial to the practical relevance of the theory._x000D_
One of the main barriers towards progress in these directions is that such statistical problems cannot be studied in isolation, but go hand in hand with the fundamental development of areas such as probability, statistical physics, information theory, combinatorics, high-dimensional analysis and geometry, and theoretical computer science, that deal with the investigation of the corresponding structures. Major progress in this direction will require a concerted effort to build bridges between different disciplines, and a rethinking of the manner in which graduate students and postdocs are trained in the foundations of data science._x000D_
The present proposal constitutes a significant investment in this direction through the collaborative effort of the four PIs with core expertise in different areas of computer science, statistics, and mathematics, all of whom have a long-standing track record of interest in and contributes to problems of data science. The proposed TRIPODS center will catalyze the creation of long-term research interactions by enabling integrated research and training activities transcend traditional disciplinary boundaries.The research focus in the Phase I center will center on a number of themes that exemplify the broader vision outlined above: phase transitions and algorithms in combinatorial statistics; unsupervised learning and compression, nonconvex learning and the geometry of random processes. In each of these topics, significant progress will require the combined expertise from different areas of mathematics, statistics, and computer science. Significant progress on these topics will push the boundaries of our understanding of statistical and computational issues in complex network models, and will provide new insights on the foundations of the theory of unsupervised learning. This broader research program will also provide the impetus for cross-disciplinary training and innovative curricular developments.The center will contribute to development of the scientific workforce by training graduate students and postdocs, by integrating undergraduate students in the centers research activities, and by developing a postmodern curriculum that will facilitate the interdisciplinary training of future generations of students in fundamental topics for contemporary data science. The center will engage in active outreach to middle and high school students to promote interest in and excitement for STEM fields and for data science in particular. The center will also foster collaborations with industry and other practitioners in order to maximize the impact of its research program. While the focus of the centers research is on foundations, problems of combinatorial statistics and machine learning that lie at the heart of this proposal have direct implications for many problems of interest to industry partners, such as clustering data from knowledge graphs, clustering users in cellular networks, and analyzing the folding structure of DNA. The implementation of our algorithms on real data will also provide new opportunities for the training of students.</t>
  </si>
  <si>
    <t xml:space="preserve"> Panel Summary       
  Description: The proposal focuses on two research areas - random matrix theory and dictionary learning. The proposal discusses the physical location of the center at Harvard at some length. It also talks about how they would scale to Phase II. The project description is surprisingly short, just 11 pages._x000D_
_x000D_
Intellectual Merit:_x000D_
Strengths _x000D_
+ Strong PIs and specific research questions involving all 3 disciplines_x000D_
Weaknesses _x000D_
- The proposal does not make clear how the work on random matrix theory will contribute to foundations of data science._x000D_
- Track record of PIs on proposed work unconvincing_x000D_
- Synergy and collaboration across disciplines unconvincing_x000D_
- Even though the 3 disciplines are represented by the PIs, there is not enough synergy between them_x000D_
_x000D_
_x000D_
Broader Impact: _x000D_
Strengths _x000D_
+ REU students_x000D_
+ Unspecified PhD level courses  to be developed_x000D_
Weaknesses _x000D_
- Minimal statement on broader impacts _x000D_
- No detailed curricular development plan_x000D_
- No specific application domain is driving the development of foundations, and the connection to industry is minimal_x000D_
_x000D_
_x000D_
TRIPODS-specific criteria:  _x000D_
Strengths _x000D_
+ Good description of Phase II Institute_x000D_
Weaknesses _x000D_
- The three disciplines do not seem to come together as one._x000D_
- No mention of workforce development _x000D_
- Not clear what benefits this project will confer to the broader community outside of Harvard_x000D_
_x000D_
Collaboration and Evaluation Plan: Very little here. Minimal description of the collaboration plan and unconvincing evaluation plan_x000D_
_x000D_
Data Management Plan: Adequate_x000D_
Post-doctoral Mentoring Plan: Adequate_x000D_
_x000D_
_x000D_
Justification for Panel Rating: Proposed research is on idiosyncratic topics that are too narrow to help lay the foundations of data science._x000D_
Panel Rating: _x000D_
_ Highly Recommended _x000D_
_ Recommended _x000D_
XNot Recommended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</si>
  <si>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aims to establish a Data Science (DS) Principles Center at Harvard. There are two institutes in Harvard that are already functional, or are being set up, and are related to this proposal: the Center of Mathematical Sciences and Applications (CMSA), and a DS Lab (in the works). The new center is supposed to be housed within the latter lab, and provide it with the foundational core that will support DS. The PIs will leverage the existing resources and organization, as well as the faculty strengths of the three departments at Harvard to set up a theoretical core for Phase I, and merge it with the plans already in place (awaiting funding) of a data Science Institute that will grow out of the CS lab, as well as the proposed Center, for Phase II. The PIs find themselves in a situation where such a center would fit nicely into what is already planned, and are looking or funding for it (which fits nicely into the TRIPODS initiative)._x000D_
_x000D_
The research program that the proposal lays out involves random matrix theory, applications of random matrices to statistical computing and multivariate statistics, and algorithms for large scale DS. The problems overlap with the expertise of the PIs as well as the other researchers who have written LoCs. The problems are presented very mathematically -- one can imagine applications for at least some of them involving, for instance, random graphs or dictionary learning, but they are not given here._x000D_
_x000D_
The PIs will be hiring 3 postdocs and 2 graduate students. There will be a seminar series, a conference, workshops, and a visitors program, which will be organized jointly with CMSA, and the DS Lab._x000D_
_x000D_
There were clearly articulated research topics related to big data, randomness, statistics. They do sit in the middle of the three disciplines, and would help build a bridge between them. The roles of each person in each is not explicitly stated, but one can imagine the need for each expertise for the questions. The problems are mathematical, industry/applications are not mentioned; one might expect the contributions to be foundational. There is a clear vision about bringing the three disciplines together under one roof and one language, but also about how this all fits into the larger whole of DS, in terms of research and training. The activities/vision is not novel, but at this stage of DS research, education, and knowledge, rigor and coherency is what one expects rather than novelty._x000D_
_x000D_
In the context of the five review elements, please _x000D_
evaluate the strengths and weaknesses of the proposal with respect to broader impacts._x000D_
_x000D_
The broader impacts will relate to students and researchers in the academic community. This proposal envisions their center as part of a bigger institute, through which they expect to segue into Phase II. This allows them to consider their impact in a more complete context, in the general framework of DS (rather than a foundational basis only). While the impacts are not very different from the other proposals I've read, the plans are articulated very clearly and precisely here (whether they can adhere to such a detailed timeline is unclear, but it shows that care went into the planning)._x000D_
_x000D_
_x000D_
Please evaluate the strengths and _x000D_
weaknesses of the proposal with respect to any additional solicitation-specific review criteria, if _x000D_
applicable_x000D_
_x000D_
I thought this was a carefully written proposal, with a strong team. They are in a position where the center they want to establish is already something that was desired and possibly somewhat planned, and what they need is the funding. This might be a timely flow of money which would be effectively used. There is a vision of how DS should benefit from the synergy of the individual groups, as well as how this project fits into general DS (that is not as theoretical). Perhaps the novelty or the surprise factor is missing since all or part of this seems to have been in the works, but I would not consider that a weakness. There is a clear and detailed plan, and a set of research topics that are mostly related to randomness that would bridge the multiple disciplines. I did not notice applications (perhaps school of public health?)/industry contacts. The collaboration/evaluation plan gives a detailed list of expectations from the PIs and the project, and outlines how the degree of adherence to those will be measured in order to assess progress._x000D_
_x000D_
Summary Statement_x000D_
_x000D_
Altogether a well written proposal, timely for Harvard. The research is not application-dependent, nor does it rely on special properties of big data (other than that it is big, mostly), but it is foundational work which is inherently suitable for collaboration among the areas. Synergy and future plans are outlined._x000D_
_x000D_
</t>
  </si>
  <si>
    <t xml:space="preserve">In the context of the five review elements, please _x000D_
evaluate the strengths and weaknesses of the proposal with respect to intellectual merit._x000D_
_x000D_
The project has three components:_x000D_
_x000D_
- research in random matrix theory (RMT)_x000D_
_x000D_
- potential applications of RMT_x000D_
_x000D_
- algorithms for big data_x000D_
_x000D_
The first project primarily concerns fundamental results in RMT.  As_x000D_
I interpret the described project, it deals with general questions_x000D_
about random matrices (typically, asymptotic results) which are in_x000D_
pure mathematics.  Thus, the project does not meet the TRIPODS_x000D_
criterion of advancing the theoretical foundations of data science._x000D_
More specifically, the problems being studied do not, to me, appear_x000D_
to be motivated by applications from industry or other sciences._x000D_
This is a serious shortcoming as it is a TRIPODS requirement._x000D_
_x000D_
Note that the random matrices under consideration are described_x000D_
as coming from random graphs, and covariance matrices.  This does not_x000D_
address the above shortcomings, because the types of objects being_x000D_
described (such as Erdos-Renyi random graphs) have been shown not_x000D_
to accurately model many large/random graphs which occur in applications._x000D_
_x000D_
Following from the above discussion, the 2nd research goal of_x000D_
"applications of random matrices..." is seen to be unlikely to_x000D_
advance TRIPODS goals._x000D_
_x000D_
The 3rd goal of "Algorithms for large scale DS" is obviously in_x000D_
the realm of TRIPODS, but beyond a description of some particular_x000D_
high-level views of such problems, the proposal is thin on details,_x000D_
leaving this reviewer with a lack of confidence that the ensuing work_x000D_
would meet TRIPODS expectations._x000D_
_x000D_
The project description does not give confidence to this reviewer_x000D_
that the work is a true synergy between researcher in math, stat,_x000D_
and CS.  While some projects are described as suitable for a postdoc_x000D_
working jointly with two of the PIs, a more telling phrase is_x000D_
"The PI intends to work on these problems,...", which suggests_x000D_
that the proposal itself was not a true collaborative work among_x000D_
the proposers, but perhaps merely an assemblage of separately_x000D_
generated text._x000D_
_x000D_
In the context of the five review elements, please _x000D_
evaluate the strengths and weaknesses of the proposal with respect to broader impacts._x000D_
_x000D_
Broader impacts include mentoring PhD students and postdocs, and_x000D_
REU students.  A claimed broader impact is "encourage the development_x000D_
of PhD level sequences in data science principles", but as the details_x000D_
of that development are minimal, it is not clear how such an impact_x000D_
would occur._x000D_
_x000D_
Please evaluate the strengths and _x000D_
weaknesses of the proposal with respect to any additional solicitation-specific review criteria, if _x000D_
applicable_x000D_
_x000D_
The description of the Phase II of this project does not closely_x000D_
follow what one would expect from an NSF-funded institute.  The proposed_x000D_
plan is to create a "DS Institute" at Harvard that "would be the_x000D_
physical center of gravity for research and teaching in DS at Harvard."_x000D_
It is understandable that Harvard would want such an institute because_x000D_
it would be of significant benefit to Harvard, the benefit to the_x000D_
wider community would be minimal, coming primarily from an annual_x000D_
conference._x000D_
_x000D_
The collaboration and evaluation plan is severely lacking.  The_x000D_
collaboration plan only describes the qualifications of the three PIs,_x000D_
and notes that other Harvard faculty would be involved.  The so-called_x000D_
"collaboration plan" does not even describe how the PIs would_x000D_
collaborate._x000D_
_x000D_
The Evaluation plan is similarly lacking, consisting of lists of_x000D_
goals described at a high level, and quantities to be measured,_x000D_
without any details about how those measures would be taken,_x000D_
or any indication of what values of those measures would be considered_x000D_
a success._x000D_
_x000D_
Summary Statement_x000D_
_x000D_
This proposal describes does not meet the TRIPODS goals because of_x000D_
inadequate collaboration between math, stat, and CS, because of a_x000D_
choice or problems which is not strongly influenced by the needs_x000D_
of applications, and because the planned Phase II work would not_x000D_
meet the expectations of a TRIPODS institute._x000D_
_x000D_
_x000D_
</t>
  </si>
  <si>
    <t xml:space="preserve">In the context of the five review elements, please _x000D_
evaluate the strengths and weaknesses of the proposal with respect to intellectual merit._x000D_
_x000D_
The proposal focuses on two problems - random matrix theory and dictionary learning. While these are clearly important problems in data science, the proposal did not convince me that work on these problems would help lay the theoretical foundations of data science as a field._x000D_
_x000D_
While the PIs are recognized, highly-regarded researchers, I was also surprised to find that only one paper by the lead PI, Mitzenmacher, was referenced in the project description._x000D_
_x000D_
Yes, the proposal identified specific topics of research and clearly described the roles of the 3 fields in these topics. _x000D_
_x000D_
There is a lot said about the physical location of the data science principles center at Harvard, but not much else about center-like activities. The PIs say each will have one post-doc. There would be a Working Group on education in data science._x000D_
_x000D_
I didn't get a strong sense of the synergy in this group and what problems the 3 main PIs would collaborate on._x000D_
_x000D_
I think the project will develop common terminologies and concepts. It won't be application-aware and it won't have connections to industry, based just on a reading of the proposal._x000D_
_x000D_
There is no mention of curricular development and no mention of questions such as privacy and fairness._x000D_
_x000D_
In the context of the five review elements, please _x000D_
evaluate the strengths and weaknesses of the proposal with respect to broader impacts._x000D_
_x000D_
The broader impacts paragraph was minimal and generic._x000D_
_x000D_
Please evaluate the strengths and _x000D_
weaknesses of the proposal with respect to any additional solicitation-specific review criteria, if _x000D_
applicable_x000D_
_x000D_
The proposal describes a well-integrated program. I do not think it_x000D_
addresses the broad themes of the program satisfactorily. There is almost nothing about educational and training activities and workforce development. The overall vision is missing, and the problems described seem to be rather specific. The description of how the project would scale up to Phase II was a strength of the proposal._x000D_
_x000D_
Summary Statement_x000D_
_x000D_
A decent proposal by an excellent team of PIs._x000D_
_x000D_
</t>
  </si>
  <si>
    <t>The proposal is to setup a "Data Science (DS) Principles Center" which would bring together two current efforts and contribute to a larger long term data science project currently being developed at Harvard. The focus of the DS Principles Center will initially be on: 1) the training of PhD students and mentoring of post-docs; 2) support of long term research visitors; and 3) amplify the existing work at Harvard of CS, Math and Statistics Departments, CMSA, IACS and the DS Initiative in generating gatherings for leading and early-career researchers in DS.In the recent years, there has been a fruitful interaction between the theory of computation, algorithms and large scale statistical inference. At Harvard University, there is a diverse group of data scientists working at this interface of computer science, mathematics and statistics with overlapping interests._x000D_
The proposal consists of three parts: 1) Random matrix theory, 2) Applications of random matrices to statistical computing and multivariate statistics, and 3) Algorithms for large scale DS. In the first part, it is proposed to study fundamental properties of random matrices and random graphs. The emphasis is on studying the statistics of eigenvalues and eigenvectors near the spectral edges, as these properties are the most relevant to applications in data science._x000D_
In the second part, it is proposed to study two statistical applications of random matrix theory. First, it is proposed to study the mixing time in the Kac's model, this being an important example of a high dimensional Gibbs sampler Markov chain that is amenable to theoretical analysis. There is a connection between this model and random matrix theory. An interesting feature of the method is to exploit this connection, allowing the application of the techniques and tools developed for the purposes of studying the spectral edges of random matrix theory to the Kac model. Next, is outlined a project in the context of multivariate datasets combining factor models and regression, where to obtain an unbiased estimator for the degrees of freedom, which will require precise information about the spectral edges of high dimensional random matrices. The third part of the proposal, concerning algorithms for large scale data analysis, two projects are proposed: the first concerns community detection and related questions, and the second concerns dictionary learning. Both projects are related to the structure of random graphs and random matrices.As well as research outputs at the heart of modern data science, the project will build human capital by: (i) training PhD students and mentoring post-docs, (ii) encourage the development of PhD level sequences in data science principles at Harvard, (iii) foster interaction in the scientific community and industry by having long-term visitors and co-organizing cutting edge events and working groups focusing on data science principles.</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</si>
  <si>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(NDP) for proposal with low review scores_x000D_
_x000D_
Collaborative Research: TRIPODS: Foundations of Data Science through the Lens of Creolization_x000D_
_x000D_
L: 1740811 Mishra, Bhubaneswar New York University $ 1,050,000_x000D_
N: 1740789 Mitter, Sanjoy MIT $  450,000_x000D_
_x000D_
_x000D_
P172027 NDP TRIPODS Panel 1, Not Discussed in Panel (F,F,F)_x000D_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</si>
  <si>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The proposal suggests bringing researchers from Mathematics, Statistics, Computer Science and Linguistics together in order to study creolization of the web, a phrase the authors use to mean the process by which a common language consisting of basic units such as images, hashtags, and other units of information found on the web may form.  While the proposal suggests that participants will study various aspects of data science ''through the lens of creolization'' it is not clear whether the main goal is the development of the foundations of data science or the construction of an ''agnostic infrastructure'' that helps to drive the creation of this common language.   The proposal suffers from the use of vague, unsupported statements.  One example from p. 6 of the Project Description is _x000D_
_x000D_
''We have extended TDA to work with evolution models in social learning simulation via interaction. This has proven to be a very effective method where we have shown that language converges to a stable model via the distance metric inherited on the Vineyards of the evolutionary process [14]. ''_x000D_
_x000D_
Here, the reference is to a 2006 paper on vineyards and not to work by the PI's on the extensions the authors claim to have made.	_x000D_
_x000D_
[14]  D. Cohen-Steiner, H. Edelsbrunner, and D. Morozov, 'Vines and vineyards by updating persistence in linear time,' in Proceedings of the twenty-second annual symposium on Computational geometry, pp. 119û126, ACM, 2006._x000D_
_x000D_
In the context of the five review elements, please _x000D_
evaluate the strengths and weaknesses of the proposal with respect to broader impacts._x000D_
_x000D_
The broader impacts in this proposal are minimal.  The Education and Outreach section of the proposal mentions new courses, outreach to K-12 programs, graduate and undergraduate education and research, and workshops and seminars.  However, the Project Description and Collaboration and Evaluation Plan lack further information to indicate that these activities are a serious part of the proposal.  The Broader Impacts statement in the proposal focuses primarily on the development of a ''new algorithmic sub-discipline'' that may be applied to linguistics and, perhaps indirectly, to healthcare, economy, security, social networks, and physical sciences._x000D_
_x000D_
_x000D_
Please evaluate the strengths and _x000D_
weaknesses of the proposal with respect to any additional solicitation-specific review criteria, if _x000D_
applicable_x000D_
_x000D_
As written, the PI (Mishra) is at the center of this program, with his collaborators and co-PIs working with him on statistical questions related to machine learning (Mitter) and algebraic topology and related efficient algorithms (Cappell).  This doesn't scale well to an institute level.  Many of the broad program themes are left unaddressed and the specificity of the research program may lead to the work produced under this project remaining somewhat isolated away from the larger data science community._x000D_
_x000D_
_x000D_
Summary Statement_x000D_
_x000D_
The postdoc mentoring plan was adequate.  The Data Management Plan includes the statement that ''Our policy for access and sharing of data with other researchers will be to provide it at no more than incremental cost à' What does 'incremental cost' mean in this context?  _x000D_
_x000D_
While the inclusion of linguistics as a focus is interesting, my concerns for scalability of the program structure and the lack of concrete and detailed information in the proposal, particularly in regards to planned institute activities and measures of success beyond peer reviewed publications, leads me to place this proposal in the bottom third of those I've reviewed._x000D_
_x000D_
_x000D_
</t>
  </si>
  <si>
    <t xml:space="preserve">In the context of the five review elements, please _x000D_
evaluate the strengths and weaknesses of the proposal with respect to intellectual merit._x000D_
_x000D_
This project primarily concerns topological and geometric approaches to the analysis of big data.  The specific target application is the_x000D_
"creolization process" of language, particularly on the Web, with a_x000D_
goal of understanding /identifying atomic word-like objects, called_x000D_
intuits. They hope to scale this to involve the entire population of_x000D_
the Earth._x000D_
_x000D_
This is an ambitious and admirable goal, but it does not meet the_x000D_
expectations of TRIPODS.  There are two primary failures.  First,_x000D_
the proposed project is a research project of the PIs and their_x000D_
students and collaborators.  There is no sense in which they are_x000D_
developing a new type of institute using their project as a text case._x000D_
_x000D_
Second, they are not using existing problems from industry and other_x000D_
disciplines to inform their project.  Instead, they have invented_x000D_
their own specific application problem, and with the hopes that_x000D_
the theoretical progress which will help in that problem will_x000D_
also have wider applications.  That many in fact be the case, but_x000D_
their approach gives no confidence that they are establishing an_x000D_
infrastructure that is conducive to fostering ongoing communication_x000D_
between math, stat, CS, industry, and other disciplines._x000D_
_x000D_
The proposal does not indicate a strong synergy among the three_x000D_
communities of math, stat, and CS. To the extent that there is_x000D_
interaction at all, the impression is that the work will be done_x000D_
serially, as opposed to an ongoing interaction.  While they state_x000D_
that they will "seek out other multi-disciplinary scientists", the_x000D_
lack of details suggests that such interaction will not be an_x000D_
ongoing part of the project._x000D_
_x000D_
In the context of the five review elements, please _x000D_
evaluate the strengths and weaknesses of the proposal with respect to broader impacts._x000D_
_x000D_
The project would contribute to the training of graduate students_x000D_
and postdocs.  Results could have application to analyzing big data._x000D_
_x000D_
Please evaluate the strengths and _x000D_
weaknesses of the proposal with respect to any additional solicitation-specific review criteria, if _x000D_
applicable_x000D_
_x000D_
The proposal is weak on the TRIPODS criterion of developing_x000D_
communication and interaction with domain sciences and industry,_x000D_
as can be seen from the fact that the model problem they wish_x000D_
to acttack, and the proposed methods, were not developed with such_x000D_
interaction._x000D_
_x000D_
There is little indication that the proposers understand the term_x000D_
"Institute" as it applies to TRIPODS.  They take the Courant Institute_x000D_
as their model.  While the Courant Institute is a fine establishment,_x000D_
it is far from the type of Institute envisioned by TRIPODS.  Thus,_x000D_
this proposal is unlikely to develop the capacity of substantial_x000D_
Phase II operations._x000D_
_x000D_
The evaluation plan is inadequate.  The items to be measured are_x000D_
described only in very high-level terms, with little indication of_x000D_
what exactly would be measured or now those measurements would be_x000D_
taken.  In terms of formative evaluation, the proposal says even less._x000D_
_x000D_
The lack of a clearly stated Phase II goal (beyond a vague indication_x000D_
of creating other projects along the lines of this proposal), the_x000D_
lack of any evaluation plan for the processes and procedures for_x000D_
developing this project, indicates that the development of Phase II_x000D_
capacity is unlikely._x000D_
_x000D_
Summary Statement_x000D_
_x000D_
This proposal does not indicate a strong connection between the three_x000D_
TRIPODS areas of math, stat, and CS.  The problems to be studied_x000D_
are do not appear to be developed through the types of widely-based_x000D_
interaction required by TRIPODS.  This proposal is unlikely to_x000D_
lead to the development of a TRIPODS Institute._x000D_
_x000D_
The data management plan is inadequate, giving the impression that_x000D_
the proposers are unfamiliar with standard methods of making data_x000D_
and software available on the Web.  The postdoc mentoring plan is_x000D_
adequate._x000D_
_x000D_
</t>
  </si>
  <si>
    <t xml:space="preserve">In the context of the five review elements, please _x000D_
evaluate the strengths and weaknesses of the proposal with respect to intellectual merit._x000D_
_x000D_
Strength: +_x000D_
Weakness: - _x000D_
_x000D_
+ The proposal identifies a single topic in computational linguistics (creolization). The proposed research is ambitious and appears to have a significant intellectual merit (at least to a non-expert in computational linguistics)_x000D_
_x000D_
+ The proposal's argument is that the particular research topic will provide a "lens" into the development of the foundations of data science, and a leading example for similar efforts. This is not unreasonable, as the topic involves both theoretical and practical challenges. _x000D_
_x000D_
- A significant portion of the time is to be devoted to gathering the data for the proposed research, which appears to be odd, assuming that the main goal of the proposal is to start an institute, as opposed to make scientific progress on the particular topic. _x000D_
_x000D_
- The proposal includes very little discussion about center-like activities. _x000D_
_x000D_
- While the PIs are very well qualified to perform the proposed research, starting and running an institute requires significant preparation and allocation of resources, and the proposal appears very weak in this respect. _x000D_
_x000D_
_x000D_
_x000D_
In the context of the five review elements, please _x000D_
evaluate the strengths and weaknesses of the proposal with respect to broader impacts._x000D_
_x000D_
The broader impacts are standard for a proposal of this size._x000D_
_x000D_
Please evaluate the strengths and _x000D_
weaknesses of the proposal with respect to any additional solicitation-specific review criteria, if _x000D_
applicable_x000D_
_x000D_
- In general the proposal is weak with respect to the solicitation-specific criteria. While most of the key aspects of the solicitation are addressed, this is done in a superficial way. For example, the proposal includes "assessment plans", but these are only about assessing progress on the particular research topic, not assessing the institute itself (which by the way is called a "center")_x000D_
_x000D_
- Among the "broad themes" of the solicitation, the only one addressed is the development of common concepts and terminologies, and that only implicitly, through the proposed research._x000D_
_x000D_
- No concrete plans for a Phase II are given (besides a very vague comparison with Courant)_x000D_
_x000D_
Summary Statement_x000D_
_x000D_
The proposal has a significant intellectual merit. However it appears to be a rehashing of a standard large collaborative NSF proposal which does not address the main goal of the solicitation._x000D_
_x000D_
</t>
  </si>
  <si>
    <t>It is often said that progress in science is characterized by successive steps of measurement, arithmetization, algorithmization, and algebraization - each step representing in a succinct manner the intuitions collected in the earlier step. The process often attracts and involves individuals trained in_x000D_
different aspects of natural and data sciences, statistics, computer science and mathematics, and yet the research often proceeds separately, despite the fact that it requires building on each others' work. Currently, scientists and engineers have become justly excited by the rise of data sciences, big data, hardware acceleration and data-driven scientific advances, but equally confused by a lack of unifying framework that accommodates successes of deep learning, machine learning, topological data analysis, manifold learning, PAC learning, reinforcement learning, Bayesian and empirical Bayesian learning - just to name a few. In sciences, various breakthroughs in technology, e.g., genome sequencing, high-throughput measurement of DNA/RNA abundance, astronomical data, social-media data, on-line observations of human interactions, etc., have made it possible to obtain a quantitative arithmetic picture of the "static states" of a complex structure (cell, organism, population, social groups, universe) at a certain instant and under certain conditions. And yet, the developing technology shies away from the final step of the algebraization of the underlying processes (e.g., creolization in linguistics). Such an approach could center around the so-called "Topological Data Analysis," that seeks a algebraic/topological structure in the state-space - to be inferred from the sampled data point clouds over time._x000D_
_x000D_
We wish to create an algebraic (geometric/topological) investigation of existing and emerging Big Data approaches in computer science, statistics, computational science, and mathematics, along with innovative applications in specific domain sciences, with a singular attention to linguistics via a study of a creolization process on the web. For this purpose, we have formed a team that is collaborative, involving researchers from multiple domains and institutions, e.g., computer science, statistics, mathematics and linguistics.The proposed project will introduce new paradigms, theories and tools, connect them to related efforts in topological data analysis (TDA), machine learning, deep learning neural nets, manifold learning, etc., and study their suitability by applying the unifying framework to linguistics (creolization). It will build on new algorithmic techniques for geometric and topologic reasoning about an ensemble of data points as they arise and progress in a linguistic context. The proposed solution will aim to seamlessly combine formalisms and techniques from differential and algebraic geometry, computational geometry, computational topology, information-theory, machine learning and statistical estimation theories. Our team is built around experts in these areas who have worked together in the past, and will invite additional prominent researchers.The research in this project is devoted to unifying powerful new tools for designing and understanding the Big Data, being created and deployed. Solving this problem alone will have immediate economic and scientific benefits. At the same time, this challenge is intended to illustrate the deeper level of scientific inquiry that can potentially be enabled by combining techniques from mathematics, information theory, machine learning and statistical estimation theory. The proposal calls for the training and mentoring of undergraduate, graduate students and post doctoral researchers. Outreach includes the development of new course material in Data Science to be deployed at MIT and NYU (Courant and Tandon).</t>
  </si>
  <si>
    <t xml:space="preserve">NATIONAL SCIENCE FOUNDATION _x000D_
Arlington, Virginia 22230 _x000D_
Directorate for Computer and Information Science and Engineering (CISE)_x000D_
Division of Computing and Communication Foundations (05010000)_x000D_
TRIPODS Transdisciplinary Rese (041Y)_x000D_
NSF 16-615 Transdisciplinary Research in Principles of Data Science Phase I_x000D_
Review Analysis: Standard Decline (NDP) for proposal with low review scores_x000D_
_x000D_
TRIPODS: Phase I: Institute on Graph Analytics and Rankability in Data Science (IGARDS)_x000D_
_x000D_
L: 1740813 Anderson, Paul College of Charleston $ 1,500,000_x000D_
_x000D_
_x000D_
P172027 NDP TRIPODS Panel 1, Not Discussed in Panel (G,F/P,F/P)_x000D_
Std competition rank 22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Monday, August 7, 2017_x000D_
_x000D_
_x000C__x000D_
</t>
  </si>
  <si>
    <t xml:space="preserve">In the context of the five review elements, please _x000D_
evaluate the strengths and weaknesses of the proposal with respect to intellectual merit._x000D_
_x000D_
The research focus of this proposal is rankability, including how to determine when a meaningful ranking exists for a given data set, how to quantify rankability, and how to produce a ranking.  Applications include web search, cybersecurity, machine learning, and statistical learning theory.  This is the most narrow research focus of the proposals I've reviewed.  The narrow focus leads to a clearly cohesive mission and Figure 2 representing the roles that Mathematics, Computer Science, and Statistics play in the proposed program is particularly compelling.  My concern is that a program the magnitude of TRIPODS calls for a more ambitious collection of research projects._x000D_
_x000D_
In the context of the five review elements, please _x000D_
evaluate the strengths and weaknesses of the proposal with respect to broader impacts._x000D_
_x000D_
The Broader Impacts of this proposal are strong.  Both curriculum development and attention to diversity are addressed in a thoughtful and measured way.  The Institute activities include outreach to local researchers and industry partners.  The IGARDS Research Office Hours (10-20 hours per week by each of the PIs) is a large commitment._x000D_
_x000D_
_x000D_
Please evaluate the strengths and _x000D_
weaknesses of the proposal with respect to any additional solicitation-specific review criteria, if _x000D_
applicable_x000D_
_x000D_
The proposal for training and curriculum development and the Evaluation Plan are both in the top quarter of those I've reviewed.  The PI's take a thoughtful approach to end-to-end data science training (see Figure 5) and make a clear argument for their ability to carry out significant curriculum development and training through the faculty level.  The Evaluation Plan includes (named) external reviewers as well as systematic measurements designed to adapt to the changing schedule.  The proposal also includes interesting ideas for activities including Industry Days and Cougar Teams and has a solid plan for engaging with Industry contacts.  The PIs are well situated to form a strong, transdisciplinary team and the vision for the future of data science is clearly presented. _x000D_
_x000D_
_x000D_
Summary Statement_x000D_
_x000D_
This is a beautifully written proposal that unfortunately falls short on scope of the overall research program.  The rest of the proposal is in the top third/half of those I've reviewed.  Relative to the other strong proposals I've reviewed, I place this proposal in the bottom third._x000D_
_x000D_
_x000D_
</t>
  </si>
  <si>
    <t xml:space="preserve">In the context of the five review elements, please _x000D_
evaluate the strengths and weaknesses of the proposal with respect to intellectual merit._x000D_
_x000D_
The proposal specifies only one problem to be studied, rankability: roughly whether the data set can induce a ranking of the data points.  In particular, the proposal focuses on rankability in directed graphs. _x000D_
_x000D_
_x000D_
The problem is not very well defined, except we the following sentence: "We desire a rankability measure that is independent of a ranking method or ranking and is instead derived solely from the data and network or graph topology."_x000D_
_x000D_
With this broad definition, almost every graph is rankable. Just define the random walk, find the stationary distribution, and order the nodes according to the probabilities. This will almost always give an ordering (without ties) unless the graph has some rarified structural property, which however is not interesting for data science. _x000D_
_x000D_
Of course I understand you implicitly mean an ordering that somehow will respect (most of) the directed edges of the graph, i.e. the directed edges imply an ordering.  But this again is lack of clarity in the definition, which in fact is left as an open problem. To me, that's a non-starter. _x000D_
_x000D_
I suppose some good theory (such as feedback arc problems) can be produced out of different "rankability" definitions, but then it is difficult to see why this is a fundamental topic, especially in data science. _x000D_
_x000D_
Also, the motivation of the problem is not very convincing. You write "In the absence of such foundational work, investigators_x000D_
often choose a ranking method arbitrarily and then accept the resulting ranking without asking questions such as: Can this ranking be trusted?" _x000D_
_x000D_
Can you give at least one example of the above case?_x000D_
_x000D_
Finally, in your opening paragraph you write: "little attention has been paid to foundational issues that underlie the field of Data Science." _x000D_
_x000D_
That is a very severe understatement. _x000D_
_x000D_
_x000D_
_x000D_
In the context of the five review elements, please _x000D_
evaluate the strengths and weaknesses of the proposal with respect to broader impacts._x000D_
_x000D_
Broader Impacts are standard._x000D_
_x000D_
Please evaluate the strengths and _x000D_
weaknesses of the proposal with respect to any additional solicitation-specific review criteria, if _x000D_
applicable_x000D_
_x000D_
The proposal includes center-like activities, and a commitment of the University to provide space and resources. _x000D_
_x000D_
The evaluation plan and schedule are also OK._x000D_
_x000D_
Summary Statement_x000D_
_x000D_
While the proposal presents an attractive idea of an institute at Charleton, and a reasonable plan of engaging researchers using a single research topic, the topic itself is not well defined, and its fundamental value not justified._x000D_
_x000D_
</t>
  </si>
  <si>
    <t xml:space="preserve">In the context of the five review elements, please _x000D_
evaluate the strengths and weaknesses of the proposal with respect to intellectual merit._x000D_
_x000D_
The proposed Institute on Graph Analytics and Rankability in Data Science (IGARDS) will focus on problems related to Ranking data and graph analytics. _x000D_
_x000D_
+ An institute in the College at Charleston will give a strong boost to the research activity in Charleston._x000D_
_x000D_
+ Ranking problems come up in many different domains like data mining/ web search, machine learning, operations research/ choice theory etc. The proposal will try to tackle many different aspects of ranking from a theoretical standpoint. _x000D_
_x000D_
- The scope of the research is fairly narrow, and I do not think the research is likely to be transformative. This seems to be a small/medium scale project._x000D_
_x000D_
- The PIs mainly model rankings primarily as weighted directed graph problems, that correspond to aggregate pairwise comparisons. However, this ignores a large body of statistical work on rankings (e.g., noisy sorting as in Mossel-Braverman, probabilistic models like Mallows model, Bradley-Terry/ Plankett-Luce), and rankings based on more information. _x000D_
_x000D_
- The PIs seem to be unaware of many existing works on rankings in the TCS, ML and Economics(Social Choice) communities. For instance, even in the context of computing the number of violations, there is work in CS (e.g., Ailon-Charikar-Newman, Mathieu-Schudy, Seymour etc.) on efficient approximation algorithms for the problem. Further, while they talk about the intractability of measures like feedback arc set, they do not suggest any concrete measures that they believe are tractable and meaninful._x000D_
_x000D_
_x000D_
In the context of the five review elements, please _x000D_
evaluate the strengths and weaknesses of the proposal with respect to broader impacts._x000D_
_x000D_
+ Data-science PhD program_x000D_
+ The women PIs in the team have a strong track record of involving/attracting other women to their research groups. Further, they have a track-record of involving undergraduate students in REU programs._x000D_
_x000D_
Please evaluate the strengths and _x000D_
weaknesses of the proposal with respect to any additional solicitation-specific review criteria, if _x000D_
applicable_x000D_
_x000D_
+ The team consists of a combination of CS, Math and Stats faculty. _x000D_
+ They have concrete tie-ups with industry for data sets and collaborations. _x000D_
+They have a clear collaboration plan and evaluation plan._x000D_
- I feel the PIs expertise is more lop-sided towards statistical and empirical aspects of the project._x000D_
- Phase 2 plans were very vague._x000D_
_x000D_
Summary Statement_x000D_
_x000D_
While the proposal aims to tackle an important problem of Ranking, the scope of the research is fairly narrow, and I do not think the research is likely to be transformative._x000D_
_x000D_
</t>
  </si>
  <si>
    <t>The Institute on Graph Analytics and Rankability in Data Science (IGARDS) located in the beautiful Harbor Walk facilities of the College of Charleston has a three-part vision for the foundations of data science: a problem-driven focus, a strong interaction between theory and practice, and deliberate, balanced training of the data science team. Our institute's goals are: (1) to advance research on the rankability problem and its related graph analytics problems, (2) to train faculty, sharing our vision for the conduct of foundational data science work, and (3) to develop a list of skills for data scientists at each educational level (B.S., M.S., Ph.D.) and provide training tutorials for infusing foundational skills into existing and new curricula.These goals will be achieved through the foundational research problem of rankability, which refers to a dataset's ability to produce a meaningful ranking of its items. A ranking is a list of items from most to least important. Ranking is a fundamental and underappreciated data science task that permeates almost every aspect of translating computational and algorithmic results into a form that a human can use. Its applications are numerous and include web search, cybersecurity, machine learning, and statistical learning theory. Minimal attention has been paid to the question of whether a data set is suitable for ranking. Most consumers apply a ranking method without asking questions such as: Can this ranking be  trusted? Are parts of the ranking too similar to be disambiguated and possibly meaningless? How can rankability be quantified? Can rankable subgraphs be identified? At what point is a dynamic, time-evolving graph rankable? _x000D_
_x000D_
We will produce measures of the rankability of a (weighted) directed graph that justify whether the additional expense of running a ranking method is warranted. Further, we will study which graph modifications (edge addition or removal) most improve a graph's rankability. To answer these core questions on rankability we must integrate theories and models from   mathematics (matrix reorderings, optimization, sensitivity analysis), statistics (approximation theory, stochastic processes), and computer science (graph computing, clustering, strongly connected components).Using our experience as a pioneer in data science, the IGARDS institute will improve TRIPODS education  and educator development, making recommendations and flowcharts for curricula and development of data science skills. The institute will develop a competitive workforce through its many activities, which train both faculty and students through tutorials, workshops, and industry-academia partnerships. Institute participants will be diverse in gender (the female PIs have a strong record of attracting other females), in race (with existing connections to HBCUs and their data science programs), in educational level (from B.S. Davidson College through Ph.D. Purdue U.), and in experiences (from the existing REU to SPAWAR).  Through careful meta-analysis of our team's own conduct of foundational data science work, we will produce best practices for future data science teams. _x000D_
There is a tight integration between research and training programs as all institute activities revolve around the research topic of rankability for repeated context and motivation. Similarly, training modules use rankability as the running example. _x000D_
  _x000D_
The College of Charleston currently conducts the activities of a Data Science Institute with its REU and degree programs, lecture series, labs, consulting, and the PIs' nationally recognized research. Thus, it is a natural step to expand to a TRIPODS institute. Our attractive location, tech sector growth, pioneering data science education, existing network of research collaborators, industry partners, and thoughtful plan for self-analysis of the conduct of foundational data science research make the College and City of Charleston uniquely qualified to host the Institute on Graph Analytics and Rankability.</t>
  </si>
  <si>
    <t>Highly Recommended</t>
  </si>
  <si>
    <t>HR</t>
  </si>
  <si>
    <t xml:space="preserve"> Panel Summary       
 Description: The PIs propose the creation of a Center for the Social Good at Cornell University. Proposed research topics include privacy and fairness, learning on social graphs, learning to intervene, uncertainty quantification, and deep learning. The proposal also outlines a number of center activities including workshops, seminars, course creation, and support for postdocs. _x000D_
_x000D_
Intellectual Merit: The panel felt that the PIs form a strong group and represent the core disciplines well.  They present an exciting plan for a Phase I TRIPODS institute.  The panel praised the proposal's "social good" theme and the emphasis on the TRIPODS broad theme on privacy, and fairness.  Other research topics, such as learning interventions and understanding deep learning, were also compellingly described. _x000D_
_x000D_
Broader Impact: The project could have an impact on policy making for social good. The proposal also includes transdisciplinary collaboration, mentorship of postdocs and students, and curriculum development. One panelist suggested that the curriculum development portion of the proposal could have been stronger. Another panelist listed the intention to try to break existing methods and work on uncertainty quantification as strengths. _x000D_
_x000D_
TRIPODS-specific criteria: _x000D_
The PIs and senior faculty represent the disciplines of mathematics, computer science, statistics, and optimization. They have strong individual and collaborative track records in research and in running center-like activities such as seminars and workshops. The research and center plans build on these strengths. The workforce development plans, interaction with domain sciences and industry are sufficient. The measures of success could be stronger and some panelists suggested forming an (external) review board to evaluate strengths and weaknesses of the Phase I institute as well as progress towards Phase II. _x000D_
_x000D_
_x000D_
Postdoctoral Mentoring Plan:_x000D_
The mentoring plan is reasonable. _x000D_
_x000D_
Collaboration and Evaluation Plan:_x000D_
The Collaboration and Evaluation Plan is adequate but would benefit from a more extensive plan to review and adapt institute structures and strategies._x000D_
_x000D_
Data Management Plan:_x000D_
The Data Management Plan, in particular the commitment to make code and other work products publicly available, is good. _x000D_
_x000D_
Suggestions to the PI:  _x000D_
The panel recommends strengthening the plans for assessment and notes that curriculum development and workforce training could also be improved/increased._x000D_
_x000D_
Justification for Panel Rating:_x000D_
This is an exceptionally strong and well-rounded proposal with an exciting theme.  The panel feels that this group is well-positioned for success in establishing a TRIPODS institute._x000D_
_x000D_
Panel Rating: _x000D_
Highly Recommended _x000D_
_x000D_
The summary was read by/to the panel and the panel concurred that the summary accurately reflects the panel discussion. 
</t>
  </si>
  <si>
    <t>smeacham</t>
  </si>
  <si>
    <t>The researchers propose to create a center of data science for improved decision-making that combines expertise from computer science, information science, mathematics, operations research, and statistics. Their goal is to pursue basic research that will contribute to the theoretical foundations of data science.  The research topics chosen have applications that can benefit society as a whole and integrate the perspectives of the disciplines that the project brings together. The five concrete research directions proposed are: Privacy and Fairness, Learning on Social Graphs, Learning to Intervene, Uncertainty Quantification, and Deep Learning. The aim of the Center is to advance knowledge in these areas and to broaden the range of disciplines and perspectives that can provide contributions to these challenging issues. The researchers plan to incorporate the community beyond Cornell through online seminars, workshops, and student conferences. _x000D_
_x000D_
The research findings will provide an urgently needed foundation for data science in several topic areas of importance to society. As the center is placed at the intersection of multiple disciplines, the intellectual merit spans all disciplines involved and findings may translate to new algorithms and approaches in each one of them.  _x000D_
_x000D_
The research focus spans five core areas. _x000D_
_x000D_
1. Privacy and Fairness.  As data science becomes pervasive across many areas of society, and as it is increasingly used to aid decision-making in sensitive domains, it becomes crucial to protect individuals by guaranteeing privacy and fairness.  The investigators propose to research the theoretical foundations to providing such guarantees and to surface inherent limitations. _x000D_
_x000D_
2. Learning on Social Graphs. Many of the fundamental questions in applying data science to the interactions between individuals and larger social systems involve the social networks that underpin the connections between individuals. The researchers will develop new techniques for understanding both the structure of these networks and the processes that take place within them._x000D_
_x000D_
3. Learning to Intervene. Data-driven approaches to learning good interventions (including policies, recommendations, and treatments) inspire challenging questions about the foundations of sequential experimental design, counterfactual reasoning, and causal inference._x000D_
_x000D_
4. Uncertainty Quantification. Quantifying uncertainty about specific predictions or conclusions represents a key need in data science, especially when applied to decision-making with potential consequences to human subjects. The researchers will develop statistical tools and theoretical guarantees to assess the uncertainties of predictions made by popular algorithms in data science. _x000D_
_x000D_
5. Deep Learning. Deep Learning algorithms have made impressive advances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_x000D_
_x000D_
Advances in our theoretical understanding of these phenomena requires combined efforts from optimization, statistics, and mathematics but could lead to insights for all aspects of data science._x000D_
_x000D_
Funds for the project come from CISE Computing and Communications Foundations, MPS Division of Mathematical Sciences, MPS Office of Multidisciplinary Activities, and Growing Convergent Research. (Convergence can be characterized as the deep integration of knowledge, techniques, and expertise from multiple fields to form new and expanded frameworks for addressing scientific and societal challenges and opportunities. This project promotes Convergence by bringing together communities representing many disciplines including mathematics, statistics, and theoretical computer science as well as engaging communities that apply data science to practical research problems.)</t>
  </si>
  <si>
    <t xml:space="preserve">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Dear Professors Weinberger, Hooker, Kleinberg, Shmoys, and Strogatz,_x000D_
_x000D_
Congratulations! I am delighted that your proposal submitted to the Transdisciplinary Research in Principles of Data Science Phase I solicitation has received an award. This will be a three-year standard award in the total amount of $1,496,655. The review analysis on which the recommendation for this award is based is enclosed at the end of this letter._x000D_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Tracy Kimbrel, Program Officer_x000D_
Division of Computing and Communication Foundations_x000D_
_x000D_
On behalf of the TRIPODS Management Team_x000D_
Nandini Kannan_x000D_
Tracy Kimbrel_x000D_
Jack Snoeyink_x000D_
Christopher Stark _x000D_
_x000D_
_x000D_
Panel Review: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Panel Ranking: _x000D_
_x000D_
The review ratings of the proposal are:  E, E, E/V.  This proposal was placed in the Highly Recommended category.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$1,496,655._x000D_
</t>
  </si>
  <si>
    <t>Proposal ID: CCF 1740822_x000D_
PI: Weinberger, Kilian_x000D_
Co-PIs: Giles Hooker, Jon Kleinberg, David Shmoys, Steven Strogatz_x000D_
Institution:  Cornell University _x000D_
Title:  Data Science for Improved Decision-Making: Learning in the Context of Uncertainty, Causality, Privacy, and Network Structures_x000D_
_x000D_
Conflicts of Interest: _x000D_
_x000D_
Panelist and program officer conflicts of interest are addressed in the panel minutes document.  Panelists and/ or program officers who declared a conflict of interest with a project did not participate in the discussion or ranking of that project. _x000D_
_x000D_
Context:_x000D_
_x000D_
This project was submitted to the program solicitation NSF 16-615, Transdisciplinary Research in Principles of Data Science (TRIPODS) Phase I. The context statement associated to this review analysis describes the review process for TRIPODS proposals. Overall guidance for this competition is provided by the TRIPODS Management Team, a group of Program Officers representing the Division of Computing and Communication Foundations (CCF) in the Directorate for Computer &amp; Information Science &amp; Engineering (CISE) and the Division of Mathematical Sciences (DMS) in the Directorate for Mathematical and Physical Sciences (MPS)._x000D_
_x000D_
Panel Review:  _x000D_
_x000D_
This proposal was reviewed by TRIPODS Panel I (P172027) which met May 16-17, 2017 at the National Science Foundation.  The panel consisted of twelve researchers representing a broad range of expertise in computer science, mathematics, and statistics, and experience with the conduct and administration of research, education, and training efforts related to data science.  Each proposal was reviewed by at least three members of the panel assigned in advance as reviewers and discussion leaders.  A fourth panelist was appointed by the managing Program Officer as the scribe to write a summary of the panel's discussion of the proposal.  _x000D_
_x000D_
Each proposal with (a) at least one review rating of "Very Good/Good" or better, or (b) with all review ratings of "Good," was retained for an in-depth discussion, as was any proposal that at least one panelist wanted discussed (regardless of the reviewer ratings).  Following the in-depth discussion, the panel was asked to place each project into one of three categories (1) Highly Recommended, (2) Recommended, and (3) Not Recommended.  The panel was also asked to rank-order the projects in the first two categories.  _x000D_
  _x000D_
Each proposal that was not chosen for in-depth discussion by the panel was placed in the "Not Discussed in Panel" (NDP) category by unanimous consent of the panelists who did not have a conflict of interest with the proposal under consideration.  The reviews, the panel scribe's summary of the panel discussion, and the panel's ranking constitute the panel's review materials.  No panel summary was produced for proposals placed in the NDP category._x000D_
_x000D_
The panel placed proposals into the previously described categories as follows:_x000D_
_x000D_
Highly Recommended: 2 proposals_x000D_
Recommended: 8 proposals_x000D_
Not Recommended: 11 proposals_x000D_
Not Discussed in Panel: 9 proposals_x000D_
_x000D_
Panel Ranking: _x000D_
_x000D_
The review ratings of the proposal are:  E, E, E/V.  This proposal was one of two placed in the Highly Recommended category and was ranked first overall._x000D_
_x000D_
Post Panel Review:  _x000D_
_x000D_
After the two TRIPODS panels had concluded their review, the TRIPODS Management Team met to discuss proposals placed in the "Highly Recommended" and the "Recommended" categories.  Based on the reviews, panel discussion and summary, the Management Team concurred with the assessment of the panel on this project and recommended the project be funded.  _x000D_
_x000D_
Topic:  _x000D_
_x000D_
The PIs propose to create a Center of Data Science for Social Good (CDSSG) on the Cornell campus that combines expertise from computer science, information science, mathematics, operations research, and statistics.  Their mission is to develop a theoretical foundation to enable applications that can benefit society as a whole, and that can integrate the perspectives of the areas the project brings together.  Five concrete research directions are proposed: Privacy and Fairness, Learning on Social Graphs, Learning to Intervene, Uncertainty Quantification, and Deep Learning.  _x000D_
_x000D_
Intellectual Merit: _x000D_
_x000D_
This was the top-ranked proposal in the panel.  The panelists felt that the PIs form a strong group with an impressive track record and that the team represents the TRIPODS disciplines well.  The plan for a Phase I TRIPODS institute was described as "exciting."  The proposal's focus on deep learning was viewed as particularly compelling; one panelist was quite taken with both the fundamental issues being addressed and the rigorous optimization approaches the PIs plan to apply to understand them.  Some weaknesses were pointed out - one panelist felt that statistics was not represented as well as the other two fields, and another felt the connections to applications could have been stronger.  Overall, however, the panel was very supportive.  The single reviewer assigning a score a half-point below the highest choice said it was only because it is difficult to meet all the criteria specified in the solicitation in a single proposal._x000D_
_x000D_
Broader Impacts:  _x000D_
_x000D_
The aim of the CDSSG is to enable applications of data science that can protect the interests of marginalized groups, and broaden the range of disciplines and perspectives that can provide contributions to these challenging issues.  The panel saw great value in the primary theme of data science for social good and felt that the project could have an impact on policy making.  The panel felt that transdisciplinary collaboration, mentorship of postdocs and students, and curriculum development were strong points of the proposal. _x000D_
_x000D_
TRIPODS-Specific Criteria:  _x000D_
_x000D_
The PIs and senior faculty represent the disciplines of mathematics, computer science, statistics, and optimization. They have strong individual and collaborative track records in research and in running center-like activities such as seminars and workshops. One panelist noted the potential for a full-scale, Phase II TRIPODS Institute that will attract the attention of numerous researchers, given the increasing interest among the community in the subject matter._x000D_
_x000D_
Suitability for Convergence co-funding:_x000D_
_x000D_
In the social, educational, and biomedical sciences, researchers are often faced with the challenge of developing personalized interventions or treatments, while at the same time being cognizant of issues related to data confidentiality and individual privacy.  With the widespread use of machine learning algorithms for decision making, questions of what makes an algorithm fair are being raised.   The project addresses foundational questions related to privacy, fairness, deep learning, and uncertainty quantification motivated by applications in education and neuroscience.  The team includes researchers with expertise in the life and social sciences  and computer scientists, statisticians, and mathematicians.  _x000D_
_x000D_
These compelling societal issues that arise in data science require transdisciplinary solutions to challenging technical problems.  The PI team possesses strong individual and collaborative track records in these areas that cross the TRIPODS disciplines.  Several of the PIs have worked on transdisciplinary projects for much of their career, and have had enormous impact in these projects.  The plan includes a range of activities that will support the convergent nature of the topics under study. The team also plans to develop new undergraduate courses in data science designed to scale to large numbers of students, and to publicly share code and other work products._x000D_
_x000D_
Summary and Rationale for Recommendation:  _x000D_
_x000D_
The TRIPODS Management Team agreed that the intellectual merits and broader impacts of the project were excellent.  The research addressed significant foundational data science challenges, with a well-integrated program for curriculum development and mentoring of postdocs.  The Management Team recommends an award at the requested level.  _x000D_
_x000D_
Recommendation: _x000D_
_x000D_
A three-year standard award at the requested level of $1,496,655.  The funding is distributed as follows:_x000D_
_x000D_
FY 2017_x000D_
OIA      Org Code 01060000  PEC 8078  $400,033 appropriation 0116_x000D_
CCF      Org Code 05010000  PEC 041Y  $298,311_x000D_
DMS      Org Code 03040000  PEC 041Y  $298,311_x000D_
MPS/OMA	 Org Code 03060000  PEC 1253  $500,000_x000D_
_x000D_
PRCs: _x000D_
_x000D_
047Z TRIPODS Phase 1_x000D_
062Z Harnessing the Data Revolution_x000D_
060Z CONVERGENCE_x000D_
_x000D_
Tracy Kimbrel, Program Officer_x000D_
Division of Computing and Communication Foundations_x000D_
July 10, 2017_x000D_
_x000D_
On behalf of the TRIPODS Management Team_x000D_
Nandini Kannan_x000D_
Tracy Kimbrel_x000D_
Jack Snoeyink_x000D_
Christopher Stark</t>
  </si>
  <si>
    <t xml:space="preserve">In the context of the five review elements, please _x000D_
evaluate the strengths and weaknesses of the proposal with respect to intellectual merit._x000D_
_x000D_
The PIs put forward a proposal to create a Center for Data Science for Social Good. To be honest, I was originally somewhat put off both by the need to have a 'theme' and for the theme being [I am paraphrasing] to do research that runs against the [potential] skew imposed by the interests of large corporations and organizations. The actual content of the proposal, though, was so good that these concerns faded away. _x000D_
_x000D_
Of the different research topics in the proposal, I was most excited by the work on Privacy and Fairness, Uncertainty Quantification, and Deep Learning. _x000D_
_x000D_
In Privacy and Fairness, I believe that Adversarial Examples are a fantastic idea and an excellent probe into Deep Networks. The fact that a neural net trained to perform extremely well on a competition dataset can be completely confounded by visual changes that are imperceptible to humans is an incredibly illuminating finding, a 'guiding light' really. It means that DNNs 'see' very differently from how we see, to the point that one concern is that all that's really going on is a sophisticated form of hashing. At any rate, it is obvious that adversarial examples pose a security threat. The fact that they can also be used to violate privacy is yet another reason to understand what's going on and, ideally, design DNNs that can not be fooled by them. I also found the work in [54] extremely interesting and promising and truly foundational. If extensions of that works pan out, in my mind a significant fraction of the proposal's goals will have been met._x000D_
_x000D_
The proposed research on depolarization is interesting, but not really foundation building._x000D_
_x000D_
The proposed research in relation to Deep Learning is excellent. Both the need to connect optimization to generalization, i.e., why 'naive' algorithms act as good regularizers, and the need for interpretable outputs are fundamental problems. Similarly, for gathering evidence for and exploiting the manifold hypothesis. _x000D_
_x000D_
The work on Uncertainty Quantification seems to me to have great potential for broader impact. In the sense that as algorithms make more and more human-relevant decisions, being able to quantify uncertainty will be very beneficial in auditing and policy-setting._x000D_
_x000D_
_x000D_
In the context of the five review elements, please _x000D_
evaluate the strengths and weaknesses of the proposal with respect to broader impacts._x000D_
_x000D_
Broader Impact is 'baked in' the topic of the proposal, so the proposal scores very highly in that regard. In some sense, even just knowing that certain things are possible to do if one uses 'the right algorithms' (at some computational or even performance/accuracy cost), can act as a strong force towards corporations and governments to 'do the right thing'._x000D_
_x000D_
Please evaluate the strengths and _x000D_
weaknesses of the proposal with respect to any additional solicitation-specific review criteria, if _x000D_
applicable_x000D_
_x000D_
I would have like to see some more connections to statistics in the proposal. Currently this connection seems limited to the (rather narrow) area of Uncertainty Quantification._x000D_
_x000D_
_x000D_
Summary Statement_x000D_
_x000D_
This was the best proposal I reviewed._x000D_
_x000D_
</t>
  </si>
  <si>
    <t xml:space="preserve">In the context of the five review elements, please _x000D_
evaluate the strengths and weaknesses of the proposal with respect to intellectual merit._x000D_
_x000D_
The proposal focuses on the creation of a Center of Data Science for the Social Good at Cornell University.  Key research topics include privacy and fairness, learning on social graphs, learning to intervene, uncertainty quantification, and deep learning.  These are all important topics in data science and the focus on applications in policy making, studying underrepresented populations, and the ethical treatment of sensitive data are particularly compelling._x000D_
_x000D_
_x000D_
In the context of the five review elements, please _x000D_
evaluate the strengths and weaknesses of the proposal with respect to broader impacts._x000D_
_x000D_
The emphasis on applications related to the ''social good'' leads naturally to the conclusion that this institute could have far-reaching broader impact.  The proposal includes a plan for the creation at Cornell of a graduate field of Data Science (to add to the list of existing graduate fields of Computer Science, Information Science, Applied Mathematics, and Statistics).  Advisors may come from a variety of departments whereas the student enters the graduate field of study, a useful mechanism for transdisciplinary training.  There is also support for three 3-year postdoctoral researchers, seminars, (remote) lecture series, and workshops, often based on current programs.  The proposal also presents solid plans  to optimize for diversity, effective interaction and collaboration, and good mentorship.  Plans to create and publicly share materials for an undergraduate data science course designed to scale to large numbers of students (modeled on the course 'Foundations of Data Science' developed at the University of Berkeley) and to publicly share code and other work products are also strengths of this proposal._x000D_
_x000D_
Please evaluate the strengths and _x000D_
weaknesses of the proposal with respect to any additional solicitation-specific review criteria, if _x000D_
applicable_x000D_
_x000D_
The proposal has an exceptionally strong collection of PIs and senior faculty from diverse research fields and with experience organizing (on a smaller scale) the types of activities being proposed.  The Evaluation Plan is reasonable but could be strengthened through the use of external reviewers or using quantitative measures beyond participant surveys and counting work products.  The proposal contains a nice list of seminars, workshops and other events and evaluating which have the most impact or could benefit from changes would be beneficial for a Phase II proposal._x000D_
_x000D_
Summary Statement_x000D_
_x000D_
Of the proposals I've reviewed, this has the most exciting unifying theme and collection of proposed research projects and activities.  The Data Management and Postdoctoral Mentoring Plans are reasonable, and the structure described throughout the proposal for recruiting and incorporating postdoctoral researchers into the activities of the proposed Center is strong.  This proposal is in the top third of those I've reviewed._x000D_
_x000D_
</t>
  </si>
  <si>
    <t xml:space="preserve">In the context of the five review elements, please _x000D_
evaluate the strengths and weaknesses of the proposal with respect to intellectual merit._x000D_
_x000D_
This is a very strong team of PIs appropriately spanning the 3 areas covered by TRIPODS. The PIs have a good track record of work on the topics in the proposal - private data leaked in models learnt by machine learning algorithms, impossibility of simultaneously achieving two reasonable fairness measures, understanding deep learning, etc. They also propose to look into interventions for fairness - with an interesting model of this as the rechargeable bandits problem._x000D_
_x000D_
There is a lot of related work on many of the problem directions proposed here such as work by Hardt and collaborators, Kearns, Roth and collaborators, etc._x000D_
_x000D_
Yes, the proposal identified specific research topics for which expertise in computer science, mathematics, and statistics is needed. _x000D_
_x000D_
There is not much of a description of center-like activities, except for co-locating post-docs in Math, CS, and Stat, and plans to use_x000D_
the 'graduate field' concept at Cornell University to find a common home for grad students doing data science from any of the 3 perspectives._x000D_
_x000D_
The PIs mention data sets on which they will test their algorithms... but I wouldn't call this exactly 'application-aware foundational research'. They are going to do foundational research and see what it does on these data sets. _x000D_
The interaction and synergy is excellent. Several of the PIs have worked on interdisciplinary projects for much of their career, and have had enormous impact in these projects. _x000D_
_x000D_
There is no explicit plan for industry engagement and I do not expect that this will be a strength of this project. _x000D_
_x000D_
There is a plan to develop a novel course modeled after the one in Berkeley, but in this regard this proposal is less ambitious than others. _x000D_
_x000D_
The proposal focuses on some of the key questions such as privacy, fairness, and even reliability of the data. _x000D_
_x000D_
_x000D_
_x000D_
In the context of the five review elements, please _x000D_
evaluate the strengths and weaknesses of the proposal with respect to broader impacts._x000D_
_x000D_
The title of the proposal includes the phrase 'social good' The broader impacts stemming from the proposed work could have been better highlighted from this point of view.  One of the KPs collaborates with Biobank, a medical database and more generally the PIs say that their algorithms will be available to people working with large data sets._x000D_
_x000D_
There are generic plans for diversity, etc. Some of the PIs have a good track record of mentoring women's groups._x000D_
_x000D_
Please evaluate the strengths and _x000D_
weaknesses of the proposal with respect to any additional solicitation-specific review criteria, if _x000D_
applicable_x000D_
_x000D_
Given the work going on in several places on these problems, a lot of researchers would coalesce around a Phase II Center on this topic. Plans to build up to Phase II are less explicit than in some other proposals... and a Phase II Center if set up at Cornell would have less 'structural solidity and rigidity' than it would in other places. But it would probably work very well still. The absence of a solid structure can sometimes be detrimental to diversity goals._x000D_
_x000D_
Summary Statement_x000D_
_x000D_
Excellent PIs with an enviable track-record of interdisciplinary work. The problems proposed are coherent and compelling._x000D_
_x000D_
</t>
  </si>
  <si>
    <t>The PI's propose to create a Center of Data Science for Social Good on the Cornell campus that combines expertise from computer science, information science, mathematics, operations research, and statistics. Our mission is to develop a theoretical foundation to enable applications that can benefit society as a whole, and that can integrate the perspectives of the areas our project brings together. Five concrete research directions are proposed:_x000D_
- Privacy and Fairness. As data science becomes pervasive across many areas of society, and as it is increasingly used to aid decision-making in sensitive domains, it becomes crucial to protect individuals by guaranteeing privacy and fairness. We propose to research the theoretical foundations to provide such guarantees and to surface inherent limitations._x000D_
- Learning on social graphs. Many of the fundamental questions in applying data science to benefit individuals involve the social networks that underpin our connections to each other. The PI's will develop new techniques for understanding both the structure of these networks and the processes that take place within them._x000D_
- Learning to intervene. Data-driven approaches to learning good interventions (including policies, recommendations, and treatments) inspire challenging questions about the foundations_x000D_
of sequential experimental design, counterfactual reasoning, and causal inference._x000D_
- Uncertainty Quantification about specific predictions or conclusions represents a key need in data science, especially when applied to decision-making with potential consequences to human subjects. The PI's will develop statistical tools and theoretical guarantees to assess the uncertainties of predictions made by popular algorithms in data science._x000D_
- Deep Learning algorithms have made impressive advancements in practical settings. Although their basic building blocks are well understood, there is still ambiguity about what they learn and why they generalize so well. There are indications that they may learn data manifolds and that the type of optimization algorithm influences generalization. Advances in our theoretical understanding of these phenomena requires combined efforts from optimization, statistics, and mathematics but could lead to insights for all aspects of data science.The PI's will investigate foundational aspects of data science at the intersection of multiple disciplines. Consequently, the intellectual merit spans all disciplines involved and findings may translate to new algorithms and approaches in each one of them. The PI's hope that the center will serve as an incubator and cross-pollinator for research at this intersection, and help increase the capacity of data science toward social impact and social good.If successful, the research findings will provide an urgently needed foundation for data science for social good. The aim is to enable applications of data science that can provide guarantees of privacy and fairness, protect the interests of marginalized groups, and broaden the range of disciplines and perspectives that can provide contributions to these challenging issues. The PI's plan to incorporate the community beyond Cornell through online seminars, workshops, and student conferences._x000D_
_x000D_
Keywords: Causal Inference; Counterfactual Inference; Deep Learning; Differential Privacy; Learning to Intervene; Optimization; Social Graphs; Uncertainty Quantification</t>
  </si>
  <si>
    <t>MPS OMA Co-funding</t>
  </si>
  <si>
    <t xml:space="preserve">Nandini:_x000D_
_x000D_
Thank you for your request for OMA co-funding of this TRIPODS project, which is a partnership between MPS/DMS and CISE/CCF.  On the bases of its merits and its rich, multidisciplinary character, John and I enthusiastically support it and offer OMA co-funding in the requested amount of $2.00M.  For the OMA split funding line in eJ, please select John Gillaspy as the PO, use OMA Org and PE codes, 03060000 and 1253, respectively, and apply the same PRCs to the OMA funding line as to all DMS sources of funds.  Finally, please upload this message into eJ as a diary note to serve as a record of this OMA co-funding action._x000D_
_x000D_
_x000D_
Clark_x000D_
_________________________________________x000D_
Clark V. Cooper_x000D_
Senior Advisor for Science_x000D_
Head, Office of Multidisciplinary Activities_x000D_
Directorate for Mathematical and Physical Sciences_x000D_
National Science Foundation_x000D_
4201 Wilson Boulevard_x000D_
Suite 1005_x000D_
Arlington, VA  22230-0002_x000D_
(703) 292-7899_x000D_
ccooper@nsf.gov_x000D_
_________________________________________x000D_
_x000D_
From: Kannan, Nandini _x000D_
Sent: Wednesday, May 24, 2017 6:06 PM_x000D_
To: Cooper, Clark V. &lt;CCOOPER@nsf.gov&gt;_x000D_
Cc: Gillaspy, John D. &lt;JGILLASP@nsf.gov&gt;; Luo, Tie &lt;tluo@nsf.gov&gt;_x000D_
Subject: RE: OMA Co-funding for TRIPODS_x000D_
_x000D_
Dear Clark,_x000D_
_x000D_
Thank you for the quick response! We would like to request 2 million from OMA for the TRIPODS projects.  DMS has committed 2 million/year for FY17, FY18, and FY19, with an equal contribution from CISE/CCF (total of 12 million for TRIPODS Phase I)._x000D_
_x000D_
We are planning to make all the awards continuing (the requested budgets are all close to the maximum of 1.5 million for 3 years.)_x000D_
_x000D_
The OMA contributions could be used in FY 17 (or out-years if you prefer.)  We would like to request $500,000 from OMA for each of the 4 highly recommended projects:_x000D_
_x000D_
1740822 Data Science for the Social Good _x000D_
PI Weinberger, Kilian; Cornell University _x000D_
_x000D_
1740833 From Foundations to Practice of Data Science and Back _x000D_
PI Wright, John N.; Columbia University_x000D_
_x000D_
1740707, Institute for Foundations of Data Science_x000D_
PI Wright, Stephen J.     University of Wisconsin-Madison  _x000D_
 _x000D_
1740551, Algorithms for Data Science: Complexity, Scalability, and Robustness._x000D_
PI Kakade, Sham; University of Washington  _x000D_
_x000D_
Thank you and regards,_x000D_
_x000D_
Nandini_x000D_
</t>
  </si>
  <si>
    <t xml:space="preserve"> Panel Summary       
  Description: _x000D_
This proposal would create a Tripods institute at the Center for Data Science (CDS) at NYU. Activities would include the teaching of courses on mathematical, statistical and computational aspects of data science, a weekly seminar, a monthly panel, and a consulting service to channel interactions between data science students and applied scientists in need of data-analysis expertise. Doctoral and postdoctoral researchers and students will be trained. Curricular efforts will be part of the existing Masters in Data Science program at CDS. Phase II would primarily amount to scaling up the number of Ph.D. students and postdoctoral researchers, along with the organization of long-term visits of scientists from other institutions and one-day courses._x000D_
_x000D_
Intellectual Merit: _x000D_
Strengths _x000D_
+ The proposed research is solid and uses sophisticated ideas from mathematics, including notions of algebraic invariance, tensors, and the analytic exploration of level sets in optimization._x000D_
+ While the PIs are relatively junior, they have excellent track records and the proposal exudes enthusiasm. _x000D_
+ The PIs are qualified to direct and participate in the research program and to develop the educational aspects. _x000D_
Weaknesses _x000D_
- The research topics are more applied than foundational. Also, they cross disciplines primarily to borrow tools, rather than to create bridges. As a result, the proposed research is not quite "potentially transformative." The part of the proposal that truly feels foundational is the work on 'Understanding High-dimensional Nonconvex Optimization Landscapes' by PIs Bandeira and Bruna. Both the proposal to continue the work along the lines of [47] and the work based on random matrix theory is exciting. Unfortunately, it is a relatively small part of the proposal. _x000D_
- The statistics component was much weaker (nearly absent) than the math and theoretical CS components. This primarily read as an applied mathematics proposal._x000D_
_x000D_
Broader Impact: _x000D_
Strengths _x000D_
+ The graduate student consulting service would amplify the PIs efforts. _x000D_
+ NYU is in an excellent position to run the panel program._x000D_
Weaknesses _x000D_
- The proposed institute activities are not particularly novel, except for the consulting service._x000D_
_x000D_
TRIPODS-specific criteria: _x000D_
Strengths _x000D_
+ The expertise of the PIs is complementary and well-suited to the research and training programs developed in this project._x000D_
Weaknesses _x000D_
- The Phase II expansion is rather weak and amounts mostly to scaling up. It also appears largely subsumed by what already exists at NYU._x000D_
- Given the existence of the CDS, it is not clear why it is necessary to fund research in these relatively applied problems in a Tripods proposal._x000D_
_x000D_
Postdoctoral Mentoring Plan:_x000D_
Excellent, especially the part about partnering with the New York Academy of Sciences._x000D_
_x000D_
Collaboration and Evaluation Plan: _x000D_
The collaboration and evaluation plan is adequate, but could be more quantitative._x000D_
_x000D_
Data Management Plan: _x000D_
Good, both for software and for data._x000D_
_x000D_
Suggestions to PI: _x000D_
Strengthen the statistical part of the proposal and aim at more fundamental, i.e., less applied, problems._x000D_
_x000D_
Justification for Panel Rating: _x000D_
The science in the proposal and the PIs capacity to execute on it is viewed very favorably. On the other hand, the proposed research is not viewed as aimed at building the foundations of data science. Given the existence of a center (CDS) at NYU, an investment in such an effort via Tripods is harder to justify._x000D_
_x000D_
Panel Rating: _x000D_
_ Highly Recommended _x000D_
X Recommended _x000D_
_ Not Recommended _x000D_
_x000D_
The summary was read by/to the panel and the panel concurred that the summary accurately reflects the panel discussion. 
</t>
  </si>
  <si>
    <t>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Building the Foundations of Data Science_x000D_
_x000D_
L: 1740825 Fernandez Granda, Carlos New York University $ 1,473,414_x000D_
_x000D_
_x000D_
P172027 R TRIPODS Panel 1, Recommended (E/V,V/G,G)_x000D_
Std competition rank 7 of 30 rated projects: 2 HR, 8 R, 11 NR, 9 NDP, on 5/17/2017_x000D_
_x000D_
_x000D_
PROJECT OVERVIEW_x000D_
This proposal would create a Tripods institute at the Center for Data Science (CDS) at NYU. Activities would include_x000B_the teaching of courses on mathematical, statistical and computational aspects of data science, a weekly seminar,_x000B_a monthly panel, and a consulting service to channel interactions between data science students and applied_x000B_scientists in need of data-analysis expertise. Doctoral and postdoctoral researchers and students will be trained._x000B_Curricular efforts will be part of the existing Masters in Data Science program at CDS. Phase II would primarily_x000B_amount to scaling up the number of Ph.D. students and postdoctoral researchers, along with the organization of_x000B_long-term visits of scientists from other institutions and one-day courses._x000B__x000D_
_x000D_
INTELLECTUAL MERIT The PI team is relatively junior, but well qualified.  They propose sophisticated mathematical research relevant to data science, esp. deep learning and optimization. Would train grads &amp; postdocs.  Although a research-heavy proposal, it has some novelty in institute-building, including consulting.  The statistics leg of the tripod was lacking: Quoting the summary, "This primarily read as an applied mathematics proposal."  Also, the research topics, "cross disciplines primarily to borrow tools, rather than to create bridges. As a result, the proposed research is not quite 'potentially transformative.'"_x000D_
_x000D_
_x000D_
BROADER IMPACTS NYU is well placed for broader impact. Consulting center for students was seen as novel; other educational and outreach efforts were seen as more pedestrian. Since there is a Center for Data Science at NYU, the panel questioned the benefit of a Tripods Center that didn't have a clear theory focus. _x000D_
_x000D_
REVIEW SUMMARY Reviewers agreed that the proposal had excellent science - the E/V reviewer said, "The research topics are the most convincing I've read that connect all three of the domain areas. "But the majority of the panel saw this as a proposal that was trying to bring machine learning to an application, rather than building the theoretical foundations of data science, thus the V/G and G reviews.  (Even by the G reviewer, some of the non-convex optimization was seen as foundational.)_x000D_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_x000C_On behalf of the TRIPODS team: _x000B_Nandini Kannan, Tracy Kimbrel, Chris Stark, and Jack Snoeyink</t>
  </si>
  <si>
    <t xml:space="preserve">In the context of the five review elements, please _x000D_
evaluate the strengths and weaknesses of the proposal with respect to intellectual merit._x000D_
_x000D_
The PIs propose concrete research on a variety of Machine Learning tasks. As they say 'The proposed research program focuses on developing and analyzing tools for a variety of data-processing tasks.'_x000D_
_x000D_
The quality of the problems selected, along with the machinery the PIs plan to bring to bear on them, is perhaps the most positive aspect of the proposal. On the other hand, these problems do not represent foundational work on data science and there is not much in the way of synthesis. Specifically, the problems considered are quite applied and relatively high in the intellectual stack, e.g., 3D image modeling. The one part of the proposal that feels foundational is the work on 'Understanding High-dimensional Nonconvex Optimization Landscapes' by PIs Bandeira and Bruna. Both their proposal to continue the work along the lines of [47] and the work based on random matrix theory is exciting. But this truly foundational work is, unfortunately, a relatively small part of the proposal._x000D_
_x000D_
In the context of the five review elements, please _x000D_
evaluate the strengths and weaknesses of the proposal with respect to broader impacts._x000D_
_x000D_
The proposal does a very good job at defining and anticipating broader impacts. The curriculum development work proposed is non-trivial and the Math and Data Seminar lists a fantastic group of speakers for this year. Also, the research proposed would have obvious and immediate real-world impact._x000D_
_x000D_
Please evaluate the strengths and _x000D_
weaknesses of the proposal with respect to any additional solicitation-specific review criteria, if _x000D_
applicable_x000D_
_x000D_
Given the existence of CDS, the proposal does not make a compelling case for funding this line of work, within CDS, under a separate Tripods project. In particular, the Phase 2 plan is unclear. How would it relate to CDS?_x000D_
_x000D_
Summary Statement_x000D_
_x000D_
The proposal does a very good job of following 'the letter' of the call, e.g., all mentoring and evaluation plans are great. The main problem is that the actual research proposed is too applied to be true to 'the spirit' of the proposal, i.e., to be work on theoretical foundations of Data Science._x000D_
_x000D_
I believe that the proposed work should be resubmitted under a different call._x000D_
_x000D_
</t>
  </si>
  <si>
    <t xml:space="preserve">In the context of the five review elements, please _x000D_
evaluate the strengths and weaknesses of the proposal with respect to intellectual merit._x000D_
_x000D_
-in the intellectual merit section in page 1, we are waiting to see what ties all these topics together_x000D_
_x000D_
+ deep architectures for learning nonlinear features from projected lower dimensional data are of interest._x000D_
_x000D_
+ Deconvolution and multi-reference alignment is a superbly described and thought out topic the idea of using slightly higher moment that are invariant to unknown shifts is a great one._x000D_
_x000D_
- it seems a pity that there is no thought about how a couple direction 2.1 and 2.2 as they both have deconvolution in it_x000D_
_x000D_
+ the idea of using deep learning for inverse computer graphics is nothing short of brilliant. It is an inspiring topic that truly combines applied mathematics, statistics, and computer science. The multiscale architecture proposed is quite convincing and the construction and validation ID as very credible._x000D_
_x000D_
+ The application of manifold denoising to free breathing cardiac magnetic resonance imaging is truly inspiring the need is palpable._x000D_
_x000D_
- We see the aim of direction 2.4 and we find it inspiring, but the technical details are lacking._x000D_
_x000D_
+ The authors rightly focus on verification of visualization methods as an important and currently overlooked problem._x000D_
_x000D_
- at this very important issue we are lacking a discussion about what metrics of accuracy will be used or what is the process by which they would be derived. Visually, image 4 is convincing, but how will that error be defined for example to generate the graph in panel a? In my experience the process of specifying that so that it represents what the user intends is protracted so it would need additional discussion._x000D_
_x000D_
- Topic 2.6, understanding high dimensional noncomplex optimization landscapes is commendable and the issues outlined are real but we have no idea from the description how they will actually be addressed. The solution seems to be, when successful, that there would be some addition of constraints to the problem that will avoid multiple minima, whereas that is not quite what understanding the surface would be in my opinion. Model parameterization relationship to the "energy barrier" is a great start but it's the only specific constructive thought in this apparently major thrust._x000D_
_x000D_
_x000D_
In the context of the five review elements, please _x000D_
evaluate the strengths and weaknesses of the proposal with respect to broader impacts._x000D_
_x000D_
+ the success of the institution that their masters of data science is notable (though we would've liked to see distribution of underrepresented groups)_x000D_
_x000D_
+ the graduate student data science consulting service is a great tool both in terms of broader impact as well as the solicitation specific criteria_x000D_
_x000D_
+ the choice of the application context is terrific from the perspective of having a good chance of broader impact; section 2.3, 2.4 and 2.5 are all excellent examples of that_x000D_
_x000D_
+ the educational plans are adequate in addition to the highlights presented above_x000D_
_x000D_
- the broader impact statement is generic and we miss the discussion about underrepresented group efforts_x000D_
_x000D_
_x000D_
Please evaluate the strengths and _x000D_
weaknesses of the proposal with respect to any additional solicitation-specific review criteria, if _x000D_
applicable_x000D_
_x000D_
+ the proposed work will occur in the middle of an institution that is famous for its ability to carry out transdisciplinary research, and the proposal makes the case that it will nurture itself from that culture_x000D_
_x000D_
+ "TRIPOD" doctoral fellowship and it's set up combined with the applied project requirements for the postdoctoral fellowships are well thought out structural settings of the project._x000D_
_x000D_
+ The proposal presents credible elements of all the three sciences that are the target of this program and in a truly integrated fashion; our favorite is section 2.3_x000D_
_x000D_
+ the collaboration and evaluation plan is very credible, the table on page 5 of the appendix plan is particularly useful._x000D_
_x000D_
- I find it important as a suggestion to the investigators if the program gets funded that the evaluation should have a couple colleagues that are not members of the proposal  rather than relying entirely on the investigators_x000D_
_x000D_
+- for a proposal with such a major organizational component there are a lot of junior personnel, three out of the four principal investigators are assistant professors within four years after PhD (and in particular, the lead is one of them). I see this as both an asset and a liability, the enthusiasm and quality are palpable , and there is a major potential that if funded they will give this work a lot of attention. On the other hand, there is the experience issue and the simple question whether people this junior should do this much management. I'm also a bit surprised at the low level of summer commitment I wonder if the investigators have thought about the time the various organizational issues here will take e.g. seminars mentorship etc. My advice is to get at least a part-time professional admin assistant budgeted or involved somehow but with time targeted to this proposal, and perhaps involving one more faculty of the professor level. _x000D_
_x000D_
_x000D_
Summary Statement_x000D_
_x000D_
The Proposal Has a very inspiring research program, a credible organizational structure and plan and will take place in the middle of an institution that has a well-known culture of transdisciplinary research to which the proposal makes a clear case of feeding itself from. The research topics are the most convincing I've read that connect all three of the domain areas. I am a bit concerned, as well as inspired, by the relative junior status most of the PIs and I am mostly concerned about their low level of summer support for a project of this complexity. My advice is to get at least a part-time professional admin assistant budgeted or involved somehow but with time targeted to this proposal, and perhaps involving one more faculty of the professor level. _x000D_
_x000D_
_x000D_
</t>
  </si>
  <si>
    <t xml:space="preserve">In the context of the five review elements, please _x000D_
evaluate the strengths and weaknesses of the proposal with respect to intellectual merit._x000D_
_x000D_
The PIs propose to establish a TRIPODS Institute at the Center for DS at NYU (one of the PIs is the interim director of the institute; they are all members of Courant Institute, as well as the DS Center), as mathematicians/applied mathematicians/CS. The institute would have both a practical and theoretical focus with techniques being developed with an eye on applications and real data, and analyses performed using mathematical tools. In terms of domain specific problems, they are interested in problems in medical imaging, neuroscience, visualization and computer vision. The expertise needed involves probability theory, high-dimensional statistics, optimization, theoretical computer science and applied mathematics._x000D_
_x000D_
The research thrusts will involve learning from and analyzing high dimensional data, geometric neural nets, extracting manifold structure, verification of visualization methods, high dimensional nonconvex optimization. The theoretical work will be applied to real datasets from medical imaging, urban computing, neuroscience, and visualization._x000D_
_x000D_
The institute will be complementary to the new DS programs at NYU, in particular, the DS PhD program. With regular seminars and panel discussions, they hope to foster collaboration with the three expertise areas at NYU. The project will involve, in addition to the senior personnel, the hiring of two postdocs and two graduate students._x000D_
_x000D_
The proposal lays out research areas/problems clearly, and gives the structure and the rationale for the collaboration on those problems. It can be expected that the group will produce results on these problems, which can hopefully have implications on real data. The center activities are not particularly novel, except for one -- they plan to provide consulting to researchers in applied areas about handling and analyzing their data, in turn learning the domain specific concerns and restrictions. This is a good effort for bridging theory with practice, and is likely to prove useful for their research (and development, if any) activities. The synergy between the groups as well as other, more applied participants, is thus improved. Curricular development and the engagement of both theoretical and more applied researchers from various disciplines will hopefully unify the various approaches into one streamlined DS direction from an educational point of view. _x000D_
_x000D_
_x000D_
In the context of the five review elements, please _x000D_
evaluate the strengths and weaknesses of the proposal with respect to broader impacts._x000D_
_x000D_
The broader impacts involve the research community and the student body, from an education and research point of view. The panels and the seminars will help educate the research community in data driven research. This proposal does not aim to set up a visiting researchers program, a conference, or a set of workshops. This might be because a number of these exist under the existing structure (see below for more on this)._x000D_
_x000D_
That said, I am not entirely clear why they need this institute for this: they have a DS institute (whose acting director is a PI here), and, of course Courant. So there is a theoretical CS/math/statistics component there, as well as a DS one. The need for yet a third one in the intersection of these two is not sufficiently argued IMO, especially from a broader impact (as well as logistical) point of view._x000D_
_x000D_
Please evaluate the strengths and _x000D_
weaknesses of the proposal with respect to any additional solicitation-specific review criteria, if _x000D_
applicable_x000D_
_x000D_
The proposal has a well integrated and well thought out research and training program (some of which they inherit from existing programs). The three communities would benefit from those (see above re. comments about those communities already interacting at NYU). The need for collaboration as well as the roles of each participant in the collaboration is made sufficiently clear, and the research/training would certainly benefit from the synergy, especially in bringing domain knowledge/problems and theoretical foundations together._x000D_
_x000D_
There is a plan for evaluating success of the program, which is not totally concrete, but makes sense. Moving to Phase II is not clearly argued-- as I mentioned above, the need for this particular center is already not entirely justified IMO, and given that Phase II is a much bigger operation, is it really necessary? At some point, will they be facing diminishing returns?_x000D_
_x000D_
Summary Statement_x000D_
_x000D_
This is a nice proposal, but the need for a center of this type needs to be clarified further._x000D_
_x000D_
</t>
  </si>
  <si>
    <t>The proposed TRIPODS Institute at the Center for Data Science in New York University has the mission of advancing multidisciplinary data-science research with a focus on the development of practical data-processing tools and their theoretical analysis. The research program of the institute is inspired by concrete problems in medical imaging (image reconstruction from magnetic-resonance data), neuroscience (spike sorting from extracellular electrode data), visualization (verification of correctness) and computer vision (3D image modeling and blind deconvolution). On the one hand, it aims to push the frontiers of current methods applied to these problems by using modern computational tools such as deep neural networks, manifold learning and low-rank tensor decompositions. On the other hand, an important focus is to study these techniques theoretically in order to characterize their performance and understand their potential and possible limitations. _x000D_
To achieve these objectives, it will be crucial to train data scientists with both solid theoretical backgrounds and actual experience with real data, as well as to collaborate closely with domain scientists with expert knowledge of the relevant applications. The Center for Data Science, which offers a successful Masters in Data Science and has recently launched a data-science doctorate program, is an ideal setting for this endeavor. The faculty affiliated with the TRIPODS Institute will offer courses on mathematical, statistical and computational aspects of data science and organize reading groups to discuss more advanced material. Multidisciplinary interactions will be promoted by a monthly panel, where researchers from different communities will dis- cuss their points of view on central topics in data science. A weekly seminar will bring the NYU data-science community together and expose them to cutting-edge research advances. A data-science consulting service will be created to channel interactions between data-science stu- dents and applied scientists in need of data-analysis expertise. Finally, postdoctoral researchers and doctoral students involved in the research activities of the institute will acquire hands-on experience with real data related to their theoretical interests.The proposed research program will develop novel methods for several data-processing tasks. We will adapt deep models to tackle inverse problems in medical imaging and computer vision, as well as to perform 3D image modeling of urban landscapes. For this we will design novel neural-network architectures beyond those typically used for classification. Special emphasis will be placed on analyzing the behavior of these models theoretically, which will require understanding high-dimensional non-convex optimization landscapes. In addition, we will develop algorithms for blind deconvolution based on algebraic invariances, as well as mathematically-sound techniques to formally verify visualization software. In order to design these methods and characterize their performance, we will draw from a variety of tools in probability theory, high-dimensional statistics, optimization, theoretical computer science and applied mathematics.The proposed institute will contribute to train a new generation of data scientists at the Center for Data Science. The affiliated faculty will be active in curriculum design and development, as well as in training graduate students and postdocs. The institute will foster interactions between computer scientists, mathematicians, statisticians and domain scientists at NYU through the organization of seminars and panel discussions, and the creation of a data-science consulting service for applied scientists. All the research and training materials produced by the institute will be made publicly available.</t>
  </si>
  <si>
    <t xml:space="preserve"> Panel Summary       
  Description:_x000D_
The proposal is to both 1) explore the different sampling, computational, space and modeling tradeoffs within various stages of the data science pipeline, and 2) host data science workshops, distinguished lecture series, develop teaching modules and new courses, train post docs and undergraduate students (in collaboration with 5 regional liberal arts colleges)._x000D_
_x000D_
Intellectual Merit:_x000D_
Strengths_x000D_
+ The research questions are reasonably important and interesting._x000D_
+ The proposal suggests good potential for synergy between the three fields._x000D_
_x000D_
Weaknesses_x000D_
-  The proposed research is incremental and is continuation of the PIs previous work. _x000D_
_x000D_
Broader Impact:_x000D_
Strengths_x000D_
+ The distinguished lecture series and workshops will help create an interdisciplinary data science community_x000D_
+ The Open Problem wiki is an interesting idea._x000D_
Weaknesses_x000D_
- The training and work force development plan is somewhat vague and does not describe a proactive agenda._x000D_
- The creation of new tracks in existing programs is left to Phase II._x000D_
_x000D_
_x000D_
TRIPODS-specific criteria:_x000D_
Strengths_x000D_
+ Potential for good synergy between the three fields._x000D_
+ Having 2 to 3 post docs per year creates a strong core of research activity._x000D_
Weaknesses_x000D_
- Lack of connection to specific domain scientists or industry._x000D_
- There was no explicit management plan or mechanism to adapt during Phase I_x000D_
_x000D_
Collaboration and Evaluation Plan:_x000D_
The collaboration plan is adequate, but brief. It would have been stronger if it articulated a more explicit mechanism for ensuring synergy._x000D_
The evaluation plan is somewhat typical. However, it did not state what outcomes would constitute success, only the metrics._x000D_
_x000D_
_x000D_
Data Management Plan:_x000D_
The data management plan is boilerplate, but adequate._x000D_
_x000D_
Post-doctoral Mentoring Plan:_x000D_
The mentoring plan is adequate. It would be better to make more explicit how they will be trained in the three different disciplines and interdisciplinary research._x000D_
Also, while co-supervision is mentioned, it would be valuable to ensure the two PIs from at least two of the different fields would be formal supervisors._x000D_
_x000D_
_x000D_
Suggestions to PI:_x000D_
The institute's educational and outreach activities could be more ambitious and involved. New programs and tracks rather than modules and courses would be more transformational, rather than leaving these potentially to Phase II._x000D_
_x000D_
Justification for Panel Rating:_x000D_
The proposal is solid but did not take risks or excel in novelty or rapid transformation in either the research or institute activities components._x000D_
_x000D_
Panel Rating:_x000D_
_ Highly Recommended_x000D_
_ Recommended_x000D_
X Not Recommended_x000D_
_x000D_
The summary was read by/to the panel and the panel concurred that the summary accurately reflects the panel discussion._x000D_
_x000D_
_x000D_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</si>
  <si>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Fundamental Trade-offs Throughout the Data Science Lifecycle_x000D_
_x000D_
L: 1740828 McGregor, Andrew U of Massachusetts Amherst $ 1,499,733_x000D_
_x000D_
_x000D_
P172027 NR TRIPODS Panel 1, Not Recommended (V/G,G,F)_x000D_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</si>
  <si>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proposal centers around four aspects in the current machine learning pipeline, mainly in statistical learning. These four aspects are: (i) data acquisition, (ii) space complexity, (iii) time complexity, and (iv) model complexity. In (i), the PIs argue that the sampling step itself should be tied to the inference stage through an interactive feedback loop. Can this interactive feedback actually reduce sample complexity in various settings including supervised and unsupervised learning? In (ii), the PI points out that the large amount of data can be a problem for the learning pipeline. So, one can leverage on streaming models and techniques that have been developed in computer science to tackle the memory issues. In (iii), the proposal mainly focuses on the trade-offs between the model accuracy and computational time. For this the PIs propose to investigate the technique of relaxing the usual inference with a variational one, combining it with Monte Carlo methods and early stopping. In (iv), the PIs suggest trading off model complexity with bias and computational resources._x000D_
_x000D_
The four goals listed and elaborated in the proposal are good and worthy of investigations. The PIs are well qualified to conduct the research and have done considerable work in the listed line of directions. The proposal mostly focuses on statistical techniques for machine learning. In (ii), connection to streaming and online models establishes the component for theory of computing. It would have been a stronger proposal if more connections to theory of computing were established in other aspects. _x000D_
_x000D_
The proposal as a whole is quite good. The weakness of the proposal is that it is somewhat incremental in nature. The problems described are quite generic and the suggested approaches do not depart significantly from the current approaches. Also, it is weak in terms of existing collaborations among the PIs. There is hardly any cohesive activity where the PIs have already participated together. These are the reasons why I could not give the proposal higher rating._x000D_
_x000D_
In the context of the five review elements, please _x000D_
evaluate the strengths and weaknesses of the proposal with respect to broader impacts._x000D_
_x000D_
The proposal mentions that the broader impact is in primarily two areas:_x000D_
(i) Improving the pipeline for data analysis as detailed in the research plan would enhance the current state-of-the-art of data science in general,_x000D_
(ii) The activities of the proposed institute in terms of education, training, workshop and lecture series organizations benefit the society by creating a workforce for data science. Special mention is made for promoting the under-represented groups. In this regard the proximity of two well known liberal arts college will be taken advantage of._x000D_
_x000D_
Please evaluate the strengths and _x000D_
weaknesses of the proposal with respect to any additional solicitation-specific review criteria, if _x000D_
applicable_x000D_
_x000D_
The proposal satisfies the solicitation-specific criteria by proposing (i) development of the workforce with undergraduate REU training, post-doctoral and graduate student support _x000D_
(ii) development of the curriculum with enriching the existing courses by inserting topics in data-science and creating new courses, collaborating with five other colleges in the area _x000D_
(iii) servicing the community with workshops, distinguished lecture series, and developing a Wiki-based resource for problems in data science,_x000D_
(iv) a plan for mentoring post-doctoral fellows,_x000D_
(v) preparation for phase II is mentioned. It is essentially by scaling up the mentioned activities for phase I_x000D_
(vi) the collaboration among the PIs and their roles have been detailed. Metrics to measure the success of the program through surveys, attendance in the curriculum have been mentioned._x000D_
_x000D_
These are all standard goals of a project that aspires to be a small-scale center. Perhaps some existing efforts along these directions where the PIs participated together would have made the case stronger._x000D_
_x000D_
_x000D_
_x000D_
Summary Statement_x000D_
_x000D_
This is a well written proposal. The rating could have been higher if the proposed activities were a little more broader rather than expanding mostly on current work of the PIs incrementally. Also, evidence of past collaboration on technical grounds would have made a stronger case._x000D_
_x000D_
</t>
  </si>
  <si>
    <t xml:space="preserve">In the context of the five review elements, please _x000D_
evaluate the strengths and weaknesses of the proposal with respect to intellectual merit._x000D_
_x000D_
The research outline in the proposal addresses several aspects of the_x000D_
data science pipeline and address trade-offs in data acquisition,_x000D_
computational cost, statistical accuracy/guarantees, computational_x000D_
models for fitting models.  The PIs list 10 research questions that_x000D_
they will pursue that have the potential to bring the expertise of_x000D_
subsets of the PIs and senior personnel together from the three different communities (Math, CS, Stat)._x000D_
The proposal includes an institute with workshops, a lecture series, outreach,_x000D_
development of new courses and modules for use in courses,  and training_x000D_
of undergraduates and postdocs._x000D_
_x000D_
The proposal's research questions is strong and has the potential to advance knowledge in the research topics outlined._x000D_
The topics are quite novel, but not unique to the PIs, i.e. are current existing research topics in the different communities._x000D_
_x000D_
The plans for the institute's activities are not particulary novel. The development of a Wiki for Open Problems_x000D_
in the foundations of Data Science is somewhat novel, but it is unclear how, or if, it will get traction._x000D_
The other activities are reasonably standard. Otherwise, the activities are somewhat pedestrian, more_x000D_
quasi-departmental than an institute such as those at, e.g., SAMSI._x000D_
_x000D_
It is clear that there is potential for PIs from the different fields to collaborate on intersecting topics_x000D_
that are outlined in the proposal. The proposal is not very explicit about how this will happen, but there_x000D_
are opportunities for each to play different roles and bring different perspectives and strengths. For the most_x000D_
part, it seems the collaboration will be in overlapping existing topics rather than combining different skills_x000D_
and roles to address new topics._x000D_
The synergy is reasonable._x000D_
_x000D_
_x000D_
The research plan is sound. There is no concrete plan for evaluation for the research, but that is acceptable in this circumstance._x000D_
_x000D_
The plans for how the institute would further the goals of the proposal are far more vague than the research topics to be addressed._x000D_
There are workshops and meetings, but not a description of a concrete mechanism for fostering the synergy and moving the research along_x000D_
collectively rather than by the individual PIs doing their own work. Evaluation of the synergies achieved between the disciplines is not addressed._x000D_
_x000D_
The PIs are undoubtedly qualified in their fields. The vision of Data Science is understandbly focused on their own fields and is somewhat narrow than ideal for_x000D_
imagining the broad potential for Data Science._x000D_
_x000D_
There is very little mention of applications in the proposal and only a vague plan to use an existing Data Science center to hopefully connect_x000D_
with industry._x000D_
_x000D_
The proposal addresses education via new courses and modules for use in existing courses. There is no explicit plan for unification of the_x000D_
curricula across the three fields._x000D_
_x000D_
The research does address interactive sampling, labeling and also streaming data and hence particular aspects of dynamic data._x000D_
_x000D_
The computing resources are adequate but not ideal for dealing with large data and computationally intensive analysis._x000D_
However, the research appears to be more theoretical in nature rather than actually doing the computation that the research_x000D_
will enable others to do._x000D_
_x000D_
_x000D_
In the context of the five review elements, please _x000D_
evaluate the strengths and weaknesses of the proposal with respect to broader impacts._x000D_
_x000D_
Workshops and national community building_x000D_
Distinguished Lectures Series_x000D_
Data Science modules to be used in existing courses_x000D_
Wiki for Open Problems in Foundations of Data Science_x000D_
REU and Postdoc training_x000D_
Development of new courses_x000D_
_x000D_
None of these, except the Wiki, are particulary novel or transformative._x000D_
_x000D_
The roles of the PIs is clear in these broader activities._x000D_
_x000D_
_x000D_
Please evaluate the strengths and _x000D_
weaknesses of the proposal with respect to any additional solicitation-specific review criteria, if _x000D_
applicable_x000D_
_x000D_
a. The research plan is strong to very strong.  The training program is vague and only covers undergraduates and Postdocs. Graduate students_x000D_
do not seem to be included (or there is no plan articulated for their activities)._x000D_
_x000D_
b. Broad themes:_x000D_
Tradeoffs at different stages in the data science pipeline - ranging from computation time, data "storage" space, interactive sampling_x000D_
Yes, these are aspects of the program description._x000D_
_x000D_
c. Workforce Development.  The proposal was (very) vague about workforce development, and also on much of the research training opportunitie_x000D_
for the undergraduates and postdocs._x000D_
_x000D_
_x000D_
d. The research agenda described does identify topics where 2 or 3 of the PIs could collaborate given their previous research areas._x000D_
This is phrased as an area of "intersection of the expertise".  However, it is not yet clear there is a synergy (i.e. result beyond the sum of the parts),_x000D_
Co-supervision of the postdocs by (hopefully) faculty from different disciplines would help to foster faculty interaction._x000D_
Overall, synergy is hard. The proposal is reasonable on this front at the research level and vague on the education and training aspect._x000D_
_x000D_
e. The proposal is strong on an array of important questions in theoretical aspects of data science. The vision is focused on elements of the existing/traditiona\_x000D_
l_x000D_
vision of Math, Statistics and Machine Learning in Computer Science.  A proposal cannot be expected to do all things._x000D_
It does not go much beyond to incorporate framing questions, stakeholders, interpreting the_x000D_
modeling results, visualization, ethics, privacy, reproducability, etc. or even hands-on high-performance computing (just the algorithms that would be used)._x000D_
Some of these are mentioned in a sentence on potential additional areas for Phase II. However it is not clear how much the PIs prioritize these areas_x000D_
or see them as foundations of Data Science. In other words, the proposal's vision for foundations of data science may be less broad than ideally some of us wou\_x000D_
ld like._x000D_
_x000D_
f. The collaboration has potential, and is generally a good thing. However, it is hard to evaluate how likely it is to foster and become a significantly differen\_x000D_
t mode of research_x000D_
for those involved._x000D_
_x000D_
g.  Very little.  There is almost no mention of domain science questions or domain researchers. There is an aspiration to leverage the  industrial_x000D_
affiliates program at the university's Center for Data Science._x000D_
_x000D_
h. The proposal indicates that they have some thoughts about Phase II._x000D_
The PIs have intersecting research areas and will provide the leadership for Phase II._x000D_
They also plan/hope to involve numerous other faculty and list 3 in CS and one in each of Math and Stat._x000D_
This again seems more aspirational than a concrete plan._x000D_
_x000D_
_x000D_
The proposal is technically very good. However, it suggests a business-as-usual approach to research_x000D_
rather than a reflection on the foundations of data science  that are similar and different in Math, CS and Statistics._x000D_
For this reason, it is clear that they will likely advance specific and detailed research topics, but unclear_x000D_
that they will step back and address and define the foundations of Data Science_x000D_
_x000D_
_x000D_
_x000D_
i. Measures of success:  The measures will be counts of the usual things - attendees at workshops, meetings, publications, citations, grant proposals, new course\_x000D_
s added, modules designed,_x000D_
students trained, new members of the insitute.   It is not clear what numbers for these measures would indicate success._x000D_
Unfortunately, there doesn't seem to be an effort to go beyond these numbers to address the quality and impact of the activities._x000D_
_x000D_
j.         assessment of all Institute activities:_x000D_
Unfortunately, there is no qualitative aspect to the assessment via surveys that go beyond suggestions._x000D_
The ongoing assessment will be done by the PIs in meetings, but there isn't mention of explicit plans or steps._x000D_
_x000D_
_x000D_
Summary Statement_x000D_
_x000D_
Ranking:   Fair, or maybe Good._x000D_
_x000D_
_x000D_
The Data Managemet Plan is boilerplate. However it doesn't appear there will be much data in the activities, but more theoretical work._x000D_
The Postdoctoral mentoring appears to also be boilerplate. It does not mention training for interdisciplinary academic/research engagement._x000D_
_x000D_
The proposal doesn't draw on successes in other institutes such as the 8 Mathematical and Statistical institutes NSF funds._x000D_
_x000D_
This lacks a connection to applied problems, a rich source of new research problems for theoreticians._x000D_
_x000D_
Address graduate students._x000D_
_x000D_
Aspirational goals are great, but a plan to achieve them is imperative. But I understand how difficult this is in_x000D_
interdisciplinary activities._x000D_
_x000D_
</t>
  </si>
  <si>
    <t xml:space="preserve">In the context of the five review elements, please _x000D_
evaluate the strengths and weaknesses of the proposal with respect to intellectual merit._x000D_
_x000D_
The proposal is a joint research grant between 5 PIs, to explore the different tradeoffs (space, running time, samples, model expressivity) that come up in different aspects of a data science pipeline. _x000D_
_x000D_
+ The PIs lists concrete research directions and questions along the four main directions, which tie in well with the PI's core research interests. For instance, data collection seem like interactive/ active learning ideas (though the connection between sample complexity of unsupervised learning, and number of rounds of data acquisition seemed tenuous). Tradeoffs involving space and sample complexity aligns very well with PI Mcgregor's expertise._x000D_
_x000D_
+ The PIs (especially PI Mcgregor and PI Krishnamurthy) have a good track-record for working on foundational algorithmic problems related to data science/ ML. _x000D_
_x000D_
- On the other hand, these directions do not seem to open new connections between areas of CS, Stats and Math.  Active learning, space tradeoffs from streaming, tradeoffs between computational and statistical aspects of inference methods are relatively common themes now in ML research. I do not find the proposal to be transformative in this regard. _x000D_
_x000D_
- The biggest negative in my opinion, is that the proposal seems more like a standard NSF large proposal, primarily funding collaborations between these 5 PIs (along with a few workshops and distinguished lectures). I do not see this developing into a vibrant center for interdisciplinary research (like the Intractability center at Princeton/ ICERM), with large outside participation. _x000D_
_x000D_
_x000D_
- The Phase 2 plans also did not indicate any ideas/ plans that will enable them to scale up to a large center._x000D_
_x000D_
In the context of the five review elements, please _x000D_
evaluate the strengths and weaknesses of the proposal with respect to broader impacts._x000D_
_x000D_
+ They are committed to training students on Data Science topics in partnership with four other colleges in the area (Smith, Mt. Holyoke etc.)._x000D_
_x000D_
+ New data science curriculum_x000D_
_x000D_
- It seems unlikely to broadly appeal to researchers outside the specific areas covered by the PIs' strengths._x000D_
_x000D_
Please evaluate the strengths and _x000D_
weaknesses of the proposal with respect to any additional solicitation-specific review criteria, if _x000D_
applicable_x000D_
_x000D_
+ The PIs all have some overlapping interests related to ML, and they have complementary expertise in TCS (Streaming algorithms), ML (Interactive learning, probabilistic models), Applied Math and Statistics (variational inference). _x000D_
_x000D_
+ They have a concrete collaboration plan, and an evaluation plan. The collaboration plan also lists specific overlap areas between the PIs. _x000D_
_x000D_
_x000D_
Summary Statement_x000D_
_x000D_
The proposal plans to explore interesting directions involving various time, space, memory tradeoffs at the overlap of interactive learning, streaming algorithms, probabilistic graphical modeling, and inference. However, the scope of the proposal seems more like a standard NSF large grant that will fund the PIs' research as opposed to a large center/ institute for transdisciplinary research._x000D_
_x000D_
</t>
  </si>
  <si>
    <t>Modern data science problems typically involve a lifecycle of experimental design, data acquisition, analysis, validation, and prediction, which then drives further data acquisition. During these stages there are many choices: deciding how much data to use and how it should be collected, allocating computational resources across the stages, determining what statistical guarantees are important, and deciding if an accurate physical model is necessary. These choices are challenging in practice because the outcome may depend on interactions between design decisions. Understanding the fundamental trade-offs throughout the data science lifecycle is imperative for the design of efficient inference pipelines. Our research goals focus on understanding: 1) Trade-offs between statistical performance and data acquisition mechanisms such as interactive data collection. 2) Trade-offs that arise in the computational models most relevant to processing large amounts of data, such as streaming and online models. 3) Trade-offs between computational and statistical aspects of inference methods such as variational methods and MCMC.  4) Trade-offs regarding model robustness and the tension between statistical bias and variance. Understanding the fundamental trade-offs in the data science lifecycle will dramatically improve undergraduate and graduate data science education by identifying fundamental design principles for data analysis. To this end, we have partnered with the four undergraduate institutions in the Pioneer Valley (Smith College, Mt Holyoke College, Hampshire College, and Amherst College) to develop a robust pedagogy around the data science lifecycle. We plan to implement educational, professional development, and collaborative research initiatives outlined in our proposal in collaboration with these institutions. Finally, we have partnered with the existing UMass Center for Data Science, which focuses on engagement with industry and practical training and thus makes a complementary partner for the proposed institution.Intellectual merits focus on mathematical investigation and rigorous development of trade-offs within the data science lifecycle. We expect to advance understanding in data science foundations in several ways: (1) by developing new techniques for the analysis of data science methods, (2) by designing new algorithms for data science, and (3) by connecting results from different communities. Together these advances will not only enable further research in data science foundations, but also empower data science practitioners.Broader impacts of this proposal take two main forms. First, our research goal is to empower data scientists so that they can make the best possible choices in designing data science pipelines. Improving the efficiency of data science pipelines, will significantly expand the scope of applications of data science and open doors for new scientific discovery. Second, many of the broader impacts will arise from institute activities, including training, new curriculum initiatives, course modules on data science foundations, workshops and community resources. In particular, we are committed to training students underrepresented in data science, and our educational and training initiatives will be developed in partnership with Smith College, Mt. Holyoke College, and the other liberal arts colleges in the Pioneer Valley.</t>
  </si>
  <si>
    <t xml:space="preserve"> Panel Summary       
 Description:  _x000D_
_x000D_
This proposal aims to create a TRIPODS institute at University of Maryland College Park. The main research focus is on the development of data integration  (record linkage) tools for heterogeneous datasets through a multilayered graph data structure so that new predictive and descriptive models can be developed for inference and learning in multilayered structures. The proposal has an educational component that trains both undergraduate and graduate students, especially women and underrepresented populations, as well as high school students through outreach activities. The proposed institute supports center-like activities in the forms of team-building (through recruiting), reading programs, week-long summer schools, monthly seminars and workshops._x000D_
_x000D_
_x000D_
Intellectual Merit:  _x000D_
_x000D_
Strengths_x000D_
_x000D_
+  Record linkage is an interesting topic in data science. The proposed research could be transformative for the special types of projects targeted by this proposal._x000D_
_x000D_
+  The proposal has identified challenges on dealing with heterogeneous datasets for each of the three TRIPODS disciplines._x000D_
  _x000D_
Weaknesses_x000D_
_x000D_
-  Although record linkage is an important data science topic, itself alone may not be viewed as foundational. Thus, the proposal is not very appropriate for TRIPODS._x000D_
_x000D_
- The research for theoretical computer science seems to be less foundational comparing to the two other disciplines._x000D_
 _x000D_
_x000D_
Broader Impact: _x000D_
_x000D_
Strengths_x000D_
_x000D_
+  The proposed data integration (record linkage) tools could enable formulation and analysis of complex and challenging questions of scientific interest and societal importance._x000D_
_x000D_
+  The educational component is quite extensive._x000D_
  _x000D_
Weaknesses _x000D_
- The broader impacts focus on education and workforce training, which are mainly internal. The external impact is relatively weak. _x000D_
_x000D_
_x000D_
TRIPODS-specific criteria: _x000D_
_x000D_
Strengths_x000D_
_x000D_
+ The proposal has an integrated research and training program. _x000D_
_x000D_
+ The proposal has a good plan for workforce development._x000D_
_x000D_
Weaknesses_x000D_
_x000D_
- The proposed research is relatively narrow and not convincingly foundational. _x000D_
_x000D_
- There is insufficient description on how to tightly integrate the three TRIPODS disciplines. _x000D_
_x000D_
Collaboration and Evaluation Plan:  _x000D_
_x000D_
The evaluation and collaboration plan are clear, thorough, and well thought out._x000D_
_x000D_
Data Management Plan:  _x000D_
_x000D_
Data management plan is adequate._x000D_
_x000D_
Suggestions to PI:  The proposal has potential value and might be appropriate for submission to Methodology, Measurement and Statistics (MMS) or DMS Statistics solicitations._x000D_
_x000D_
Justification for Panel Rating: The research topic is relatively narrow and not convincingly foundational._x000D_
_x000D_
Panel Rating:  _x000D_
_ Highly Recommended_x000D_
_ Recommended_x000D_
_X Not Recommended_x000D_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</si>
  <si>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Standard Decline (NR) for proposal with low review scores_x000D_
_x000D_
Institute for Data Integration and Linkage_x000D_
_x000D_
L: 1740829 Lahiri, P. U of MD College Park $ 1,499,984_x000D_
_x000D_
_x000D_
P172027 NR TRIPODS Panel 1, Not Recommended (V,G,G)_x000D_
Std competition rank 11 of 30 rated projects: 2 HR, 8 R, 11 NR, 9 NDP, ended 5/17/2017_x000D_
_x000D_
_x000D_
_x000D_
This standard review analysis is approved for proposals that were placed by a review panel in the NOT RECOMMENDED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Snoeyink, Jack S._x000D_
Cognizant Program Director  _x000D_
On behalf of the TRIPODS team_x000D_
_x000D_
Wednesday, June 28, 2017_x000D_
_x000D_
_x000C__x000D_
</t>
  </si>
  <si>
    <t xml:space="preserve">In the context of the five review elements, please _x000D_
evaluate the strengths and weaknesses of the proposal with respect to intellectual merit._x000D_
_x000D_
This is a proposal on establishing a Data Integration and Linkage Center with a focus on linking and analyzing multiple datasets describing the same entity (or a set of related entities). The goal is to come up with models, learning and prediction techniques that will discover and display the relationships between the datasets and link them in a consistent manner so they can be used as a whole in understanding and predicting the structure of the underlying complex mechanism. This has obviously been tackled in many different ways and domains (it is one of the first simple problems that undergrads look at in databases), but the PIs want to look at new/improved techniques that will work in certain example domains that they name, most prominently, transportation. Proposed techniques involve statistical models, machine learning algorithms, small area estimation, etc. _x000D_
_x000D_
The group intends to have five graduate students (and three undergraduates), a citation program with short courses, workshops, seminars and webinars, informal seminars, a student mentorship program between grads and undergrads, mentoring and outreach activities, etc._x000D_
_x000D_
This proposal is written in clear detail in terms of logistic and non-technical details. The research component is written in a fairly general way (seems to be for a broad audience) which is easier to read but I'm not sure about the depth. While the techniques looked spread out with not strong bonds connecting them, the roles of individual disciplines are well defined, and the problems would benefit from having approaches from different areas of expertise. _x000D_
_x000D_
It is made abundantly clear that the theoretical problems discussed would benefit from collaboration among the three different disciplines, and what their roles are. The example on traffic ties it to a real world problem (will they have access to many real world datasets? it would be beneficial for this kind of work). Curriculum development, synergy among participants, a common language and goal are all discussed clearly and convincingly. The research will be tailored towards domain specific data, and be application aware. That said, industry implications are not immediately clear. It is commendable in this proposal that it addresses a property of big data that it consists of modules that are not immediately and clearly linked; at least from a CS perspective it is important to take the characteristics of the data into consideration._x000D_
_x000D_
In the context of the five review elements, please _x000D_
evaluate the strengths and weaknesses of the proposal with respect to broader impacts._x000D_
_x000D_
It is not unreasonable to expect that this work one day might have real life impact. At the very least, it seems to be sensitive to real world data. _x000D_
_x000D_
This proposal has an extensive and clear outreach program that involves people other than the immediate research personnel and students. The outreach includes women and other underrepresented minorities (including explicit plans with Historically Black Colleges), grade school students, non-students, etc, with concrete plans._x000D_
_x000D_
Please evaluate the strengths and _x000D_
weaknesses of the proposal with respect to any additional solicitation-specific review criteria, if _x000D_
applicable_x000D_
_x000D_
The proposal is smoothly and professionally written, explaining the rationale and structure behind the collaborations. There is a convincing argument that the work will bring outcomes that will be the result of the collaboration of the different disciplines. There is a vision, which should provide a direction during Phase I._x000D_
_x000D_
The measures for the success of the program are well defined, and there is a detailed assessment plan._x000D_
_x000D_
One thing that is not entirely clear is how they will segue to Phase II. One might think and hope that the scope will broaden a bit, depending on result from Phase I, but I did not see that. It would have been nice to see this work that is proposed as the start of something bigger, along with a rudimentary outline of how it would scale up along with everything else in the proposal._x000D_
_x000D_
Summary Statement_x000D_
_x000D_
The proposal is very carefully and professionally written, and it wins a lot of points for coherency and preciseness. Perhaps a bit more depth and a longer term vision would have made it stronger._x000D_
_x000D_
</t>
  </si>
  <si>
    <t xml:space="preserve">In the context of the five review elements, please _x000D_
evaluate the strengths and weaknesses of the proposal with respect to intellectual merit._x000D_
_x000D_
The proposal focuses on linking records across different data sets with different types of observational units in the data sets. The_x000D_
research aspect of the proposal outlines a structured graph connecting the observational units with edges carrying measures of connections_x000D_
between the different observational units.  Record linking arises in many data science problems (not all) and there are various approaches_x000D_
to the problem ranging from problem-specific to some general techniques. This attempts to study a formal way to connect the records._x000D_
_x000D_
The activities also include monthly seminars, involving postdocs, graduate and undergaduate students in research, a week-long_x000D_
summer school for graduate and undergraduate students, and further activitities for graduate and undergrauates in research and reading groups._x000D_
_x000D_
Record linkage is very important in data science. However, some may not consider it "foundational" as called for by the TRIPODS solicitation, or merely one_x000D_
of many foundational issues. Unfortunately, there aren't (m)any other foundational research areas proposed. So this proposal may not be appropriate for TRIPODS_x000D_
and may be more appropriate for a submission to a regular DMS solicitation._x000D_
_x000D_
The proposal focuses on one specific research project (with sub-questions) and does identify questions for each of the three disciplines._x000D_
It is not clear that the three disciplines will necessarily work together to solve the sub-problems as the proposal divides them into questions of interest to the separate fields._x000D_
_x000D_
The activities include a good deal of involvement of graduate and undergraduate students via the PIs and other existing mechanisms at U Maryland. These are good._x000D_
The PIs aim outreach to others. It is not clear if the topic is of sufficient general interest to ensure active interest from others._x000D_
_x000D_
As mentioned, the problem brings the disciplines together, but it is not clear that they will work synergistically_x000D_
on the same sub-problems.  They may work separately and connect the results. This would miss out on the different perspectives._x000D_
_x000D_
e) The proposal is anchored by an application in transportation, or more accurately a data set that is used to exemplify_x000D_
the linking.  The proposal doesn't outline the actual questions of interest in the application. I suspect there are some, but it is unfortunate that they _x000D_
did not give the application questions more importance.  _x000D_
There is no explicit industry engagement, dynamic aspects of data, provenance, etc._x000D_
_x000D_
The PIs plan to integrate this topic of record linkage into the curriculum.  It is not clear that it is of highest priority for undergraduates or graduates in already packed curricula._x000D_
Have they discussed this with their colleagues and obtained enthusiastic support/buy-in?_x000D_
They are not trying to unify the curricula across disciplines._x000D_
_x000D_
The questions seem to be very statistically oriented and driven by the statisticians._x000D_
The computer science questions do not seem to be very challenging or ground-breaking._x000D_
_x000D_
Modeling the connections between the observational units via a graph with weights is nice, but not somewhat obvious.  The important aspect of a proposal_x000D_
is to show that this structure leads to insights, ease of analytical computations and more general results.   The proposal doesn't make this case, but future proposals_x000D_
to other calls would benefit from illustrating how these might be possible._x000D_
_x000D_
See overall summary (box 4) for strengths and weaknesses._x000D_
_x000D_
In the context of the five review elements, please _x000D_
evaluate the strengths and weaknesses of the proposal with respect to broader impacts._x000D_
_x000D_
The broader impacts are somewhat narrower than some of the other proposals as there are no planned "public" workshops, etc._x000D_
The impacts are education and workforce training, and the application to transportation_x000D_
(although the questions being answered in this domain are not adequately developed in the proposal)_x000D_
_x000D_
The management, collaboration and evaluation plans are very clear, thorough and well conceived. _x000D_
The collaboration aspects could benefit of true synergistic activities._x000D_
_x000D_
_x000D_
Please evaluate the strengths and _x000D_
weaknesses of the proposal with respect to any additional solicitation-specific review criteria, if _x000D_
applicable_x000D_
_x000D_
a) The proposal is does integrate education into the research. It is not clear that the research tightly integrates the 3 disciplines._x000D_
It is also not clear that record linkage is foundational data science._x000D_
_x000D_
b) This is somewat consistent with the description of the TRIPODS program. The issue is whether the topic is foundational and whether the 3 disciplines will work together on the same problem_x000D_
or  separately on sub-questions._x000D_
_x000D_
c) The proposal will train students. It is slightly more ambitious than some other proposals in doing hands-on mentoring of students._x000D_
_x000D_
d) The synergy is questionable as mentioned above._x000D_
_x000D_
e) Since there is only research topic and is not necessarily foundational, it is not clear that this_x000D_
will lead to identifying the broad foundations  of data science._x000D_
_x000D_
f) The roles are clear and the expertise seems good._x000D_
_x000D_
g) One of the PIs studies transportation so that is the connection to the domain sciences._x000D_
_x000D_
h) The plans are reasonably clear.  Again, the issue of whether the topic is broad enough_x000D_
and foundational is an issue that the panel needs to discuss._x000D_
_x000D_
i) Yes, the evaluation and collaboration plan are very clear, thorough and well thought out._x000D_
_x000D_
j)  Yes, there are clear plans to evaluate and asses at regular intervals._x000D_
_x000D_
_x000D_
Summary Statement_x000D_
_x000D_
Ranking: Good - or doesn't quite meet the TRIPODS requirements._x000D_
_x000D_
There are several reasons that this may not meet the goals/requirements of TRIPODS._x000D_
1) The topic of record linkage is important in Data Science, but is not necessarily foundational_x000D_
2) There is really only one topic with several sub-questions, but it is not clear it warrants an institute_x000D_
or will be able to grow to Phase II._x000D_
3) The questions don't necessarily bring the 3 disciplines together to work on the same problems._x000D_
Rather there is a single high-level problem and the different disciplines address separate sub-problems._x000D_
_x000D_
_x000D_
The research is speculative in that it is not clear how generalizable the ideas and results are and how they simplify analysis or lead to qualitatively new questions. There are some suggestions of this, but it is not clear._x000D_
_x000D_
Record linkage has not been taught in curricula. It is not obvious it is the most important element to add  while omitting other common topics not covered._x000D_
_x000D_
The one-week citation program is very short. What will the students actually learn and will be able to use in research?_x000D_
_x000D_
The proposal does not articulate any questions they will address with the transportation data but seem to be merely using it as an example data set for its structure. I suspect there is more here, but it is not articulated and that is unfortunate._x000D_
_x000D_
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</si>
  <si>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This proposal aims to establish  a TRIPODS institute for advancing foundational understanding of data integration via linkage of large and heterogeneous datasets arising in a broad range of application domains. The proposed research is to develop a novel  combinatorial data structure (or multilayered graph) which allows multiply linked datasets to reinforce one another. _x000D_
_x000D_
The proposed institute activities also include the development of an educational program that involves guest researchers and undergraduate and graduate students; the development of instructional contents and their dissemination through workshops, seminars, webinars, and  related national and international conferences and workshops;  promotion of diversity by inclusion of under-represented minorities. _x000D_
_x000D_
_x000D_
_x000D_
_x000D_
b)	Did the proposal identify specific research topics and clearly describe the roles of the mathematics, theoretical computer science, and statistics communities in addressing these foundational challenges?_x000D_
_x000D_
The proposal has identified the challenge of dealing with heterogeneous datasets and proposed to develop data integration tools using  multilayered graph data structure. There are clear roles for mathematics and statistics communities,  but less clear role for theoretical computer science.  _x000D_
_x000D_
_x000D_
c)	Did the proposal describe novel center-like activities? _x000D_
_x000D_
The proposal has standard center-like activities. _x000D_
_x000D_
d)	Please comment on the Interaction and Synergy among the 3 communities._x000D_
_x000D_
There are ample opportunities for interaction and synergy among mathematics and statistics, but not much involvement of theoretical computer science.  _x000D_
_x000D_
e)	Does the project demonstrate plans to address one or more of the following Broad themes: _x000D_
ò	Developing common terminologies and concepts_x000D_
ò	Application-aware foundational research_x000D_
ò	Industry engagement_x000D_
ò	Unifying curricula_x000D_
ò	End-to-end provenance, reproducibility, privacy, fairness _x000D_
ò	Dynamic aspects of data_x000D_
_x000D_
The proposal has addressed several broad themes like Application-aware foundational research, and dynamic aspects of data._x000D_
_x000D_
_x000D_
In the context of the five review elements, please _x000D_
evaluate the strengths and weaknesses of the proposal with respect to broader impacts._x000D_
_x000D_
a)	Please provide a brief description of the broader impacts anticipated by the PIs. _x000D_
_x000D_
The project will provide opportunities for mathematics, statistics, and theoretical computer science to interact with each other and develop data integration tools to facilitate learning among multi-type datasets. This will enable formulation and analysis of complex and challenging questions of scientific interest and societal importance._x000D_
_x000D_
The project has an extensive educational component, focusing on graduate and undergraduate education. Special attention will be  given to the education of women and underrepresented populations._x000D_
_x000D_
_x000D_
b)	Did the proposal identify specific broader impact activities and clearly describe the roles of project personnel in addressing these challenges?_x000D_
_x000D_
The project personnel has clearly described roles in the broader impact activities._x000D_
_x000D_
Please evaluate the strengths and _x000D_
weaknesses of the proposal with respect to any additional solicitation-specific review criteria, if _x000D_
applicable_x000D_
_x000D_
a.	Does the proposal describe a well-integrated research and training program focused on the theoretical foundations of data science and fostering collaboration and interaction among the three communities of TRIPODS û mathematics, statistics, and theoretical computer science?_x000D_
_x000D_
The proposed research centers around the development of data integration tools based on  multilayered graph data structure. The proposed research seems to be narrow and thus may not be viewed as theoretical foundations of data science. _x000D_
_x000D_
The proposed research fosters collaboration and interaction between mathematics and statistics, but not much theoretical computer science._x000D_
_x000D_
b.	Does the proposal address the 'broad themes of the program' listed in the Program Description?_x000D_
_x000D_
The proposal addressed some broad themes, but not all._x000D_
_x000D_
c.	Does the proposal address strategies for workforce development, including novel educational and training activities?_x000D_
_x000D_
The proposal addressed adequately the strategies for workforce development._x000D_
_x000D_
_x000D_
d.	Transdisciplinarity/Synergy: Is the project transdisciplinary, bringing together theories and approaches from theoretical computer science, mathematics, and statistics? Is there synergy between the different groups?_x000D_
_x000D_
The project is transdisciplinary and brings together theories and approaches from 3 communities._x000D_
_x000D_
_x000D_
e.	Vision: Is there a strong case for the ability to identify and articulate a vision for the foundations of data science? _x000D_
_x000D_
The proposal addresses a relatively narrow type of problems in data science which may not be viewed as a vision for the foundations of data science._x000D_
_x000D_
f.	Quality and Value of Collaboration: Is the expertise of the PIs complementary and well-suited to the research and training programs developed in this project? Are the specific roles of each collaborating investigator clear? Does the collective team have expertise representing the three communities (statistics, mathematics, and theoretical computer science)?  _x000D_
_x000D_
The PIs have complementary expertise.  _x000D_
_x000D_
g.	Is there a well-developed plan for communication and interaction with the domain sciences and industry?_x000D_
_x000D_
The communication and interaction with the domain sciences and industry is not adequately addressed._x000D_
_x000D_
h.	Does the proposal provide a clear plan and rationale for an investment of the size proposed, including clear plans to develop capacity for potential future Phase II operations?_x000D_
_x000D_
The proposal addressed the issue of  potential future phase II operations. _x000D_
_x000D_
i.	Does the Collaboration and Evaluation Plan identify clear measures of success, both for Phase I operations and development of capability for a potential Phase II, along with a plan to evaluate the project with respect to those measures by gathering quantitative and qualitative data?_x000D_
_x000D_
The proposal has clear measures of success. _x000D_
_x000D_
j.	Does the Collaboration and Evaluation Plan provide a clear plan for thoughtful, ongoing assessment of all Institute activities? How will the assessment be used to inform and improve both daily Institute operations and long range planning, aiming toward a successful Phase II Institute?_x000D_
_x000D_
The proposal has a clear plan for ongoing assessment of all institute activities._x000D_
_x000D_
Summary Statement_x000D_
_x000D_
This aims to establish  a TRIPODS institute for advancing foundational understanding of data integration via linkage of large and heterogeneous datasets. The proposed research is mainly involving mathematics and statistics. There lacks a clear role for theoretical computer science._x000D_
_x000D_
</t>
  </si>
  <si>
    <t>A defining feature of Data Science is the availability of multiple datasets collected on related different units of study, by multiple data-collection modes, in a single subject area. The integration of such datasets into a single data structure, suitable for the development of predictive and descriptive models, is very challenging. Some difficulties are conceptual, due to imprecise linkage between units of different types or uncertain identification of units of the same type, and some are due to missing data. To address them, we build on the team?s expertise in mathematics, statistics, and computer science, to propose a research agenda and Data Integration and Linkage Center built around a unifying novel multi-layer graph structure with nodes of different types marked by data vectors and linked by edges of quantified strengths. Nodes of each type are units of data collection for a specific database; the linkages are specific to the subject-matter at hand, and may depend on probabilistic methods of matching units through concordance of specified data fields. The goal is to develop the theoretical foundation for analyzing and developing predictive and descriptive models for our data structure. The project is presented in the context of road transportation, an application well known to the co-PIs with readily available datasets. Once the datasets are assembled into the proposed data structure, we will (i) specify node types and linkage strengths according to logical relations between persons, areas, and road segments; (ii) develop predictive models relating interesting single-node outcome variables to data vectors which label other nodes linked to the single nodes; (iii) define graphical relationships related to road capacity and travel-time; and (iv) extend core machine learning algorithms to this data structure.Predictive and descriptive models currently used in subject areas with complex multiple datasets are often limited to very simple linkages between datasets. The data structure proposed here allows the linkages either to become the object of statistical models and machine-learning algorithms, or to serve as input to predictive statistical models for aggregates of single-node outcome variables to linked predictive variables derived from the data structure. Unlike the prevalent approach to complex data via hierarchical models, the proposed approach enables investigation of linkage, context and outcomes in a single multi-pass framework in which covariates at one stage become objects of inference at another. We propose to develop (i) new predictive models extending Small Area Estimation; (ii) algorithms to update or impute pair-linkage strengths using data on nodes externally linked to each node-pair; (iii) systematic study of structural problems of identifiability of pair-linkages from covariate data together with linkage weights from the pair to other nodes; and (iv) machine learning algorithms for descriptive and predictive modeling in the multilayered structure. These tools will foster multi-disciplinary contributions, from Mathematics to study structural properties, compatibility and model identifiability; Computer Science to generate effective representations of linked graphical layers and machine learning algorithms for updating linkage strengths; Statistics to develop models, properties of estimators, and tests for model checking.Mathematics, Computer Science and Statistics will synergize in this endeavor through (i) the representation and organization of data into a novel framework; (ii) the development of ideal assumptions connecting the data linkages under which consistent large sample predictions of outcome variables and linkage weights can be made; and (iii) the specification of approximate models and feasible algorithms (via grouping of nodes and other simplifying assumptions). This will enable formulation and analysis of complex and challenging questions of scientific interest and societal importance. Impacts will be felt in different directions: (i) the definition of new data structures, models, and structural questions relating models of constituent parts of the combinatorial structure to one another; (ii) new questions and progress in the specific domain of road transportation analysis and planning; and (iii) software tools and strategies for relating graphical concepts based on quantified linkages in the multi-level data structure to practical optimization problems in other complex data settings, e.g., biomedical applications, social statistics and business. The project has an extensive educational component, focusing on graduate and undergraduate education. Special attention is given to the education of women and underrepresented populations.</t>
  </si>
  <si>
    <t xml:space="preserve"> Panel Summary       
  Description: This proposal focuses on data science that aims to build smart communities abbreviated as S&amp;CC. It plans to address different technical and pedagogical challenges ensuing from using and interpreting variety of data encountered during building S&amp;CC._x000D_
_x000D_
Intellectual Merit: _x000D_
_x000D_
Strengths _x000D_
 + The proposal reads well and it clearly designates the problems and delineates a plan for building an institute_x000D_
  _x000D_
Weaknesses _x000D_
 - While detailing about the four objectives, the proposal touches upon general goals, but not the specific technical details. For example, we all know ''we need to utilize advanced mathematical techniques for the development of sound methodologies to deal with complex data science''. But, the question is what are the specific techniques to be applied to specific challenges._x000D_
_x000D_
 - The specifics on how the identified problems will be addressed technically are not given. The panel felt that the ``theoretical foundation of data science" has not been addressed by the proposal. _x000D_
_x000D_
_x000D_
Broader Impact: _x000D_
Strengths _x000D_
 + Proposed research will help creating smart communities_x000D_
 + The institute will provide workforce training for data science, develop curriculum around it, and engage in various community outreach activities._x000D_
 + Proposal is application-aware_x000D_
 _x000D_
Weaknesses _x000D_
 - Education plan is not sufficiently developed_x000D_
 - Being application-aware, proposed activity needs more engagement with the industries/government_x000D_
_x000D_
_x000D_
TRIPODS-specific criteria:  _x000D_
It meets most of the solicitation specific criteria for building an institute._x000D_
Strengths _x000D_
 + Plan for workforce development through training, certificate and honor courses_x000D_
 + Already a collaboration among the PIs exist because they are part of the existing IDSC institute at USF._x000D_
 + Community outreach by annual workshops, brainstorming activities with industries and other stakeholders._x000D_
_x000D_
Weaknesses _x000D_
 - The education plan is described in broad terms, the specifics are missing._x000D_
 - The team does not include the theoretical computer science component._x000D_
 - It is not promising enough for Phase II scale-up_x000D_
 _x000D_
_x000D_
Collaboration and Evaluation Plan: The existing collaboration among the PIs will be strengthened. The scope for fusion of the theories from mathematics, statistics, and theoretical computer science is not convincing. There is an extensive plan for evaluation by advisory committees and other means._x000D_
_x000D_
Data Management Plan: Mentions about a plan for open source software competition and maintenance of web-pages containing the results from the project. _x000D_
_x000D_
_x000D_
Suggestions to PI: The proposed work may have been more suitable for the NSF program in Smart &amp; Connected Communities (NSF 16-610)._x000D_
_x000D_
Justification for Panel Rating: The panel does not think that this proposal has sufficient technical content to address the theoretical foundation of data science. The proposal would have benefited from including someone with expertise in theoretical computer science. The education plan is not sufficiently detailed._x000D_
_x000D_
Panel Rating: _x000D_
_ Highly Recommended _x000D_
_ Recommended _x000D_
X- Not Recommended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</si>
  <si>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The main application focus is Smart and Connected Communities leading to the following data-driven themes outlined in the proposal:  data repository, theoretical development through mathematical modeling, statistical modeling and analysis, and applications.  This is an important and timely focus, with large, dynamic, and complex data forcing novel approaches and theory development in Mathematics, Computer Science, and Statistics.  The proposal outlines a number of research projects in these areas._x000D_
_x000D_
In the context of the five review elements, please _x000D_
evaluate the strengths and weaknesses of the proposal with respect to broader impacts._x000D_
_x000D_
The potential for broader impact from progress in addressing the main application focus of Smart and Connected Communities is clear.  In addition, the proposal outlines plans for biweekly seminars, annual workshops, and open source competitions (similar to Kaggle competitions).  The proposal dedicates attention to creating a publicly available respository.  The budget also includes support for 5 graduate students/year.  The open source competition is an interesting touch._x000D_
_x000D_
_x000D_
Please evaluate the strengths and _x000D_
weaknesses of the proposal with respect to any additional solicitation-specific review criteria, if _x000D_
applicable_x000D_
_x000D_
The Collaboration and Evaluation Plan is good and includes a clear division of labor and plans for both internal and external review boards to provide feedback.  The broad vision for data science was discussed, but occasionally lacked clarity.  Of the program themes, the proposal addresses application-aware foundational research and dynamic aspects of data and, less directly, industry engagement including existing collaborations mentioned in the Collaboration Plan.  Developing common terminologies and concepts and the other program themes received less attention.  The PI and co-PIs come from different departments and have well-established research programs representing Applied Mathematics, Computer Science, Statistics, and Engineering._x000D_
_x000D_
_x000D_
_x000D_
Summary Statement_x000D_
_x000D_
The PIs have strong research records and the main application focus of Smart and Connected Communities is an ambitious and important topic.  Compared to the other strong proposals I've reviewed, I rank this one in the middle third._x000D_
_x000D_
</t>
  </si>
  <si>
    <t xml:space="preserve">In the context of the five review elements, please _x000D_
evaluate the strengths and weaknesses of the proposal with respect to intellectual merit._x000D_
_x000D_
This proposal describes a plan to develop methodologies and workforce that can serve the need of building smart communities abbreviated as S&amp;CC. The main four aspects of the proposed activities are: (i) building a data repository that will collect, curate and store different types of data efficiently (ii) develop theoretical understanding of data science (iii) statistical modeling and validation of data--mainly in the context of streaming data that are abundant in S&amp;CC environment (iv) cater to the applications arising in the context of S&amp;CC developments and decision making._x000D_
_x000D_
The proposed activity will leverage on a platform called IDSC (interdisciplinary data sciences) that has been constituted at USF to address data science challenge. The TRIPODS institute (IDSI) will be under the aegis of this comprehensive platform. There is a focused plan for developing the future workforce through certificate and other special programs, workshops, seminars, and other activities._x000D_
_x000D_
The proposal, in general, is well written. It describes the goals clearly and sets up the agenda for creating an institute on data science in an organized manner. However, the main shortcoming of the proposal is that it is thin in technical content. While detailing about the four objectives, the proposal hyperbole on general goals, but not on specific technical details. For example, we all know ''we need to utilize advanced mathematical techniques for the development of sound methodologies to deal with complex data science". But, what are the specific techniques to be applied to specific challenges. Another example is the short description about TDA (Topological Data Analysis). The description contains only a general introduction written in any survey paper. But, what are the specific problems and what are the approaches to it from TDA perspective? It is understood that not all details can be expected now, but a hint that technical understanding at deeper level exists would have enhanced the proposal's appeal. This lacking is evident in all four objective descriptions._x000D_
_x000D_
In the context of the five review elements, please _x000D_
evaluate the strengths and weaknesses of the proposal with respect to broader impacts._x000D_
_x000D_
The broader impact mentions that the proposed research on data science will benefit building smart communities S&amp;CC. Undoubtedly this requires understanding data from various angles for planning and decision making. The project aspires to make an impact toward this broader goal. The proposal has elaborate plan for curriculum development, training workforce for data science, and various community outreach programs._x000D_
_x000D_
Please evaluate the strengths and _x000D_
weaknesses of the proposal with respect to any additional solicitation-specific review criteria, if _x000D_
applicable_x000D_
_x000D_
The proposal is good on meeting the solicitation-specific criteria except that it is not deep on the technical content. _x000D_
(i) It delineates strategic approaches to develop the workforce for data science through certificate and special honors course work. _x000D_
(ii) It proposes to hold annual workshops on data science and conduct open source competitions for data science challenges._x000D_
(iii) For reaching out to the community, it proposes to create student clubs, seminar series, sessions for brainstorming with the industry, government and other stakeholders in data science. _x000D_
(iv) Already collaborations among the PIs exist because they are members of the established IDSC institute. In fact, the proposal says that Phase I does not need any extra effort for collaboration. However, there is hardly any description on collaborative research that is already existing._x000D_
(v) There is extensive plan for performance evaluation. It includes forming internal and external advisory committees and getting evaluated regularly by them. Surveys and feedback from the participants in offered courses, open source software competitions, web-page downloads will be part of the evaluation_x000D_
(vi) There is a plan for scaling up to the phase II by basically increasing various activities in phase I._x000D_
_x000D_
_x000D_
Summary Statement_x000D_
_x000D_
This is a good proposal but is short in technical aspect. Also, it is short slightly on past synergistic activities on technical collaborations._x000D_
_x000D_
</t>
  </si>
  <si>
    <t xml:space="preserve">In the context of the five review elements, please _x000D_
evaluate the strengths and weaknesses of the proposal with respect to intellectual merit._x000D_
_x000D_
This is an interdisciplinary team, but the absence of a theoretical computer scientist is a glaring weakness of the proposal. Judging by recent grants and publications, some of the team members seem to be focused on pedagogical and outreach aspects, rather than on research. While this is laudable in itself, it is a weakness in a project whose main goal is to develop the research foundations of the field of data science. _x000D_
_x000D_
The main thrusts of the proposal are to build a data repository with complex types of data on which to test the algorithms they design, to do statistical and mathematical modeling and symbolic computation  to develop principled algorithms, and to use as a test case the application and data sets arising from a Smart and Connected Communities project._x000D_
_x000D_
The proposal identified and spoke in general terms about research topics such as symbolic computation and the application of this to solving differential equations etc. There was very little detail nor was there a hint of the research challenges. _x000D_
_x000D_
The project is definitely application-aware. But there is surprisingly little industry involvement. The education plan is also described in broad and generic terms leading this reviewer to wonder if the PIs have really given any thought to the content of the courses they plan to develop in the fancily-named 'data sciences honors suite'. _x000D_
_x000D_
None of the other topics such as privacy are touched upon in this project. _x000D_
_x000D_
_x000D_
_x000D_
_x000D_
In the context of the five review elements, please _x000D_
evaluate the strengths and weaknesses of the proposal with respect to broader impacts._x000D_
_x000D_
The highlights of the education plan are to develop graduate and professional certificates in Data Science, and an Honors Suite for undergraduates. By focusing on application areas arising from the Internet of Things, and more specifically from Smart and Connected Communities, this proposal will have obvious broader impact._x000D_
_x000D_
The education plan is poorly specified._x000D_
_x000D_
Please evaluate the strengths and _x000D_
weaknesses of the proposal with respect to any additional solicitation-specific review criteria, if _x000D_
applicable_x000D_
_x000D_
Insufficient expertise in theoretical computer science and in machine learning. While there are plans to launch educational programs, the proposal does not talk about existing efforts in data science at USF. It is also unclear whether this proposal is suitable for a Phase II scale-up._x000D_
_x000D_
The PIs do not cover the disciplines for TRIPODS. Not clear what transdisciplinarity/synergy can arise from this team._x000D_
_x000D_
I don't think this project has the right vision for the foundations of data science._x000D_
_x000D_
Summary Statement_x000D_
_x000D_
With a slight reorientation this proposal could be more suitable for an applied program funding Smart and Connected Communities._x000D_
_x000D_
</t>
  </si>
  <si>
    <t xml:space="preserve">In the context of the five review elements, please _x000D_
evaluate the strengths and weaknesses of the proposal with respect to intellectual merit._x000D_
_x000D_
+deals with general and important research question: streaming data analysis_x000D_
_x000D_
+has very comprehensive and clear research goals_x000D_
_x000D_
-lack of novel or clear research strategy, not sure symbolic computation is the right approach here_x000D_
_x000D_
-too brief on the methodologies for the statistical modeling of streaming data; no new foundational theory or  methodologies have been proposed_x000D_
_x000D_
In the context of the five review elements, please _x000D_
evaluate the strengths and weaknesses of the proposal with respect to broader impacts._x000D_
_x000D_
+the proposal has a clear and comprehensive training plan which can have potential impact inside and outside the UCF community _x000D_
+sufficient budget for graduate students (5 graduates students)_x000D_
_x000D_
_x000D_
_x000D_
Please evaluate the strengths and _x000D_
weaknesses of the proposal with respect to any additional solicitation-specific review criteria, if _x000D_
applicable_x000D_
_x000D_
_x000D_
_x000D_
Summary Statement_x000D_
_x000D_
The PIs propose to establish an interdisciplinary data science institute (IDSI)  at UCF for research and training focusing on streaming data analysis  with an ultimate goal of  supporting real-time decision making. The proposal has clear research goals/aims which include (1) data repository dealing with data collection, storage, managements and etc; (2) building mathematical foundation; (3) proposing statistical modeling techniques; (4) validating  the research with applications.  The propose research is clearly important given the that ubiquity of streaming data and lacking of efficient general methods/algorithms for the analysis of such data. The proposal is very well-structured with clear descriptions research goals. However, there are some concerns on the propose research strategy or methodologies for achieving the research goals. For example, in building mathematical foundations for streaming data analysis, the PIs propose to develop symbolic computation methods. It is unclear to me whether symbols computation would be the rescue where for the challenges of streaming data analysis. Similar concerns  arise for the statistical modeling component, the PIs clearly outline the challenges related to the  statistical analysis of streaming data and were very specific with what they want to achieve, but they do not provide any new modeling strategies/methods for achieving the goals. The overall impression is that the the research description is very brief and not significant ly new research has been proposed. _x000D_
_x000D_
The proposal has a very good training/education plan (one of the best among all the educations plan that I have). The plan is very specific which involves training workforce of graduate student/undergraduate students, and other researchers via conference/workshop and etc._x000D_
_x000D_
</t>
  </si>
  <si>
    <t xml:space="preserve">In the context of the five review elements, please _x000D_
evaluate the strengths and weaknesses of the proposal with respect to intellectual merit._x000D_
_x000D_
The proposal is to create an institute that leverages problems in Smart and Connected Communities (S&amp;CC) to develop foundational methods and algorithms in Data Science and develop a data science workforce._x000D_
The 4 primary research themes are_x000D_
Data collection and management with potential use of GPUs and FPGAs and also "swarming algorithms" for collecting distributed data from electrical vehicles (EV)_x000D_
Enhanced symbolic computation tools (think Maple) for parallel execution._x000D_
Spatio-temporal statistical techniques for streaming data; visualization for data triage_x000D_
3 questions related to electrical vehicles, specifically data collection, optimal battery charging strategy, and economic incentives for EVs and electricity providers_x000D_
_x000D_
Smart and Connected Communities are very interesting. However, the research questions are not necessarily compatible with TRIPODS's foundations of data science purpose._x000D_
_x000D_
b) The proposal is vague and did not adequately address the foundational challenges or the roles of the different fields or how they would collaborate synergistically_x000D_
_x000D_
c) The center activities are adequate but not sufficiently frequent to regularly bring people together to foster collaboration across the disciplines._x000D_
The "Annual Idea Exchange" has some novelty but it remains to be seen if it would be effective._x000D_
_x000D_
d) The foundational research tasks seem to be quite separate and do not bring researchers from the fields together._x000D_
Indeed, the proposal explicitly states that answering the S&amp;CC questions is where the team will work together._x000D_
_x000D_
e) The proposal addresses streaming data, data science courses and certificates for different types of students._x000D_
There is an implied "industry" connection with electricity suppliers. However, this not made explicit so it may not exist. _x000D_
The "Idea Exchange Day" would involve industry, but is far from concrete and far too infrequent to describe as active engagement._x000D_
The proposal is application-aware via the focus on S&amp;CCs._x000D_
_x000D_
There is no mention of provenance, reproducability, ethics, etc., i.e. the elements that make Data Science much more than simply CS, Stat and Math._x000D_
_x000D_
The proposal is too vague with very few concrete details of ideas for their research. It is also focuses on the typical work of the existing fields and does not provide a vision for synergy across the fields, or even much collaboration._x000D_
_x000D_
Strengths are_x000D_
+ the application area, although it is underdeveloped and focuses narrowly within that area,_x000D_
+ focus on computing and visualization which are not always considered foundational, but again the proposal is not detailed enough on these to make them foundational._x000D_
_x000D_
In the context of the five review elements, please _x000D_
evaluate the strengths and weaknesses of the proposal with respect to broader impacts._x000D_
_x000D_
The broader impacts include the usual seminars, workshops, Web portal, training students, academic programs,  outreach, etc. and also the potential contributions to S&amp;CC._x000D_
_x000D_
Please evaluate the strengths and _x000D_
weaknesses of the proposal with respect to any additional solicitation-specific review criteria, if _x000D_
applicable_x000D_
_x000D_
a) The research is not well-integrated across fields. It is loosely connected to the training in that the PIs will leverage the topics in courses they plan to develop._x000D_
The proposal does not make a compelling case for why some of the topics they will explore are foundational. (This is not to say the topics are not, just that they do not make the case.)_x000D_
_x000D_
b) The proposal takes a different perspective on foundational.  This different focus has some merits, but is not adequately developed._x000D_
_x000D_
c) The educational and training activities are reasonable. They are not particularly novel._x000D_
_x000D_
d) There does not seem to be a fusing of theories from the different  fields but rather solving different sub-tasks separately._x000D_
_x000D_
e) The proposal does not articulate a vision for the foundations of data science.  In some ways, it is more focused on  an application area, and yet that receives only a brief description. The research themes are nominally focused on this application, but are not motivated in the document by the questions.  So the proposal talks about potentially foundational topics, but does not connect them together to provide a vision of foundations of data science._x000D_
_x000D_
f) The PIs are likely qualified to address the research questions and training. Each of the research tasks involve 2 or 3 PIs and so there is collaboration. They will "team teach" 3 to 4 data science courses. I hope each class is team-taught rather than just the courses taught by an individual from the team._x000D_
_x000D_
g) The focus on S&amp;CC would suggest interaction with industry/government organization. However, it is not identified explicitly in the proposal._x000D_
_x000D_
h) No, the proposal is not convincing for such an investment. The mention of planning for Phase II essentially consists only of saying that they will develop a plan with the advisory boards in year 2. There is no mention of possible enhancements._x000D_
_x000D_
i) There are no explicit measures of success and no details on Phase II plan development._x000D_
_x000D_
j) The assessment and evaluation plan is fine.  They will have both an internal and external advisory board, they will survey the participants_x000D_
and students in the academic programs, and the usual measurement of  publications, citations, Web site visits._x000D_
Each project will submit a per-semester report on their work and these will be integrated into a progress report for the steering committee_x000D_
and annual report for the advisory boards._x000D_
_x000D_
_x000D_
Summary Statement_x000D_
_x000D_
Ranking:  Fair_x000D_
_x000D_
The "foundational" research topics are potentially interesting but the proposal is too generic and vague about any details of the research._x000D_
_x000D_
The proposal doesn't seem to really focus on foundational aspects of Data Science, but rather solving specific interesting problems that could be done within one of the existing fields._x000D_
_x000D_
It does not seem to bring the fields together._x000D_
_x000D_
It is not mentioned in the proposal whether the PIs have access to the S&amp;CC data streams._x000D_
They don't mention partners who would provide them access even for a single "community"._x000D_
The focus on Smart and Connected Communities has potential (but is not entirely novel)._x000D_
However, there is only one page starting at page 10 that identifies any specific questions_x000D_
related to S&amp;SC. These are okay, but they should have been presented first and used to motivate_x000D_
the potential research that the authors list in the 4 themes.  The generality and lack of details_x000D_
and the lack of explicit connection and interplay between research and motivating questions greatly reduces my_x000D_
belief in the effectiveness of this institute._x000D_
_x000D_
One of the 3 specific S&amp;CC questions involves economic incentives. However, there does not seem to be an economist in the team._x000D_
_x000D_
_x000D_
</t>
  </si>
  <si>
    <t>This proposal is for NSF-TRIPODS Institute: TRIPODS-Interdisciplinary Data Sciences Institute (IDSI), which will be hosed in the graduate School of the University of South Florida (USF). The goal of IDSI is to advance research in mathematical, computational, and statistical theories and algorithms, and develop a suite of practical and innovative tools based on intelligent data synthesis and analysis to advance and support real-time decision making in Data Sciences as well as develop a robust workforce for sustainable development. The major focus will be on data science challenges arising from the transformations towards the smart and connected communities (S&amp;CC), particularly on the aspects of S&amp;CC that are supported by dynamic and geospatial data. This proposal will have the following data centric components: (i) develop new data-driven methods based on sound mathematical theories, machine learning and statistical models and algorithms to advance the foundational, strategic, and tactical understanding of new data science (DS) challenges, (ii) develop robust workforce and professional development programs that target a variety of constituencies ranging from undergraduate students to industry professionals so that a new generation of experts in data sciences may emerge, (iii) develop new methodologies to aid in adaptation of opportunities arising from the smartness and connectedness of our communities, and (iv) enhance community building and expert network.This proposed research will create novel theories, algorithms, and visualization tools for spatio-temporal streaming data analytics, which will enhance the data science methods for real-time data analytics. The methods that will be developed in this research, such as foundational theories, algorithms and other computational tools adapted to cloud computing, can enrich the collection of tools available for streaming data analysis. Also a new and improved resource in the area of real time data analytics will create advanced tools for facilitating improved and timely decision-making for S&amp;CC.Proliferation of Internet of Things (IoT) and availability of necessary communications infrastructure in S&amp;CC will create unforeseen opportunities to transform our society in many ways including electric vehicle based transportation; intelligent energy management; healthcare design and delivery; and more. From the data collection to data visualization and analytics, new discoveries will help in solving challenges of S&amp;CC that encompass key data science issues involving volume, variety, and velocity. Hundreds of thousands of heterogeneous devices in S&amp;CC will interconnect to cooperate and compete for the benefit of society. Managing such complex systems will be made easier through these new data science methodologies and developed skillsets for data scientists. The robust workforce and professional development programs that target a variety of constituencies ranging from undergraduate students to industry professionals will continue producing new generations of experts in data sciences. The community building activities will create a community of learners focused on future leaders of data science.</t>
  </si>
  <si>
    <t xml:space="preserve"> Panel Summary       
  Description: Great team of PIs at Columbia covering Math, Stat, and TCS. The PIs propose to work on several key research areas. For non-convex optimization, they hope to understand both from a mathematical and a computational perspective, what makes the landscapes benign (i.e., computationally tractable). They want to further develop primitives such as streaming, sketching, and sub-linear algorithms for working with large data. They want to build a more general theory of humans interacting with machine learning algorithms, beyond active learning._x000D_
_x000D_
At Columbia there is a great environment for data science, with the data science institute, an existing Masters program in data science and a Ph.D. program that is going through the approval process. _x000D_
_x000D_
Center-building activities are reasonably described. _x000D_
_x000D_
Intellectual Merit: _x000D_
Strengths _x000D_
+ Convincing case that the concrete problem areas proposed add up to a good overall vision for the foundations of data science._x000D_
+ Great data science environment at Columbia with data science institute. TRIPODS Institute will add significant value by focusing on foundations._x000D_
+ Research team is very strong with PIs with great track records in data science. Good synergy between the three areas._x000D_
 _x000D_
Weaknesses _x000D_
- Lack of novel problem statements and approaches_x000D_
- Some panelists felt that the team had more representation in  theoretical computer science than in the other two areas._x000D_
_x000D_
_x000D_
Broader Impact: _x000D_
Strengths _x000D_
+ Plans for curricular development are impressive, with an existing Master's program in data science and a Ph.D. program progressing through the approval process._x000D_
+ Columbia's location will allow involvement of under-represented minority high school students from the `catchment area' of the university._x000D_
_x000D_
Weaknesses _x000D_
- Could have better connected to industry and better connected to application domain. _x000D_
_x000D_
_x000D_
TRIPODS-specific criteria:  _x000D_
Strengths _x000D_
+ Feels truly transdisciplinary. With the degree programs and the institute at Columbia, Data Science seems to  acquire the status of a department there._x000D_
+ Good (if somewhat standard) center-building activities - summer schools, long-term visitors, etc._x000D_
+ Phase II Institute at Columbia or with the participation of these PIs is likely to be very successful with a stimulating research agenda to attract top researchers to visit._x000D_
Weaknesses _x000D_
- Interaction with domain applications and industry is unspecified._x000D_
_x000D_
Collaboration and Evaluation Plan: Okay for collaboration, but not much thought given to evaluation._x000D_
_x000D_
Data Management Plan: Adequate._x000D_
_x000D_
Post-doctoral Mentoring Plan: Very good with interactions among post-docs and with PIs from multiple disciplines._x000D_
_x000D_
What is bold, exciting, high risk/reward, or potentially transformative? _x000D_
Great set of problems... if the research thrusts on non-convex optimization and on interaction in learning are successful, they will have a big impact on these important concepts._x000D_
_x000D_
Suggestions to PI: The proposal laudably says that practice will inform the development of the foundations of data science. Make this come true by actually picking 1 - 3 application domains and asking what common foundational issues arise in them._x000D_
_x000D_
Justification for Panel Rating: Compelling vision, great PIs, and great environment._x000D_
_x000D_
Panel Rating:_x000D_
X Highly Recommended _x000D_
_ Recommended _x000D_
_ Not Recommended _x000D_
_x000D_
The summary was read by/to the panel and the panel concurred that the summary accurately reflects the panel discussion._x000D_
 _x000D_
</t>
  </si>
  <si>
    <t>skosaraj</t>
  </si>
  <si>
    <t>In recent decades, scientific and technological fields have experienced "data moments" as researchers recognized the potential of drawing new types of inferences by applying techniques from computational statistics and machine learning to ever-growing datasets. At the same time, everyday life is increasingly saturated with products of data analysis: search engines, recommendation systems, autonomous vehicles, etc. These developments raise fundamental methodological questions, including how to collect and pre- pare data for analysis, and how to transform statistical inferences into effective action and new statistical inquiries. To address these questions, it is necessary to develop theoretical foundations for the practice of data science, and to provide practitioners with sound and practically relevant methodological training. The Columbia TRIPODS Institute pursues these goals through an integrated program of research in data science foundations, curriculum development, and center-building activities. The research program seeks to provide theoretical understanding of practical heuristics, develop modular and well-structured toolkits of computational primitives for data science, and to support the entirety of the data science cycle, from data collection and annotation, to the assessment of the analysis product. _x000D_
_x000D_
The Institute pursues programs of research, education and center-building aimed at articulating theoretical foundations for data science. Its activities aim to have a major impact in shaping this emerging field. The research directions include understanding tractable classes of optimization problems, developing primitives that support efficient computation on data, and developing methodological foundations for interactive protocols in data science. These directions address challenging problems at the interface between theory and practice, the solutions of which require ideas spanning mathematics, statistics, and computing. The educational activities articulate model curricula in data science at the MS/professional and PhD levels, including interdisciplinary courses aimed at building a common language for a new generation of scientists and engineers. Center building activities are organized around cross-disciplinary themes and structured to encourage interaction across disciplines and to develop a common methodological community in Foundations of Data Science. These research and educational activities-including workshops, summer schools, distinguished lecture series, long-term visits, and outreach- help to further define and disseminate a common language for foundational research and education, and to increase diverse participation in data science. Located within the Center for Foundations of Data Science in the Data Science Institute at Columbia University, the Institute is at the center of the Northeast Big Data Hub. This position supports expansion of activities within Columbia, and also with other Big Data Hub members, TRIPODS Institutes, and research/industry organizations.  Funds for the project come from CISE Computing and Communications Foundations, CISE Information Technology Research, MPS Division of Mathematical Sciences, and MPS Office of Multidisciplinary Activities.</t>
  </si>
  <si>
    <t xml:space="preserve">Proposal ID: CCF 1740833_x000D_
PI: John N. Wright_x000D_
Co-PIs: Alexandr Andoni, David Blei, Qiang Du, Daniel J. Hsu_x000D_
Institution: Columbia University_x000D_
Title:  From Foundations to Practice of Data Science and Back_x000D_
_x000D_
Dear Professors Wright, Andoni, Blei, Du, and Hsu,_x000D_
_x000D_
Congratulations!  I am delighted that your proposal submitted to the Transdisciplinary Research in Principles of Data Science Phase I solicitation has received an award.   This will be a three-year continuing award in the total amount of $1,500,000. The review analysis on which the recommendation for this award is based is enclosed at the end of this letter.  _x000D_
_x000D_
A primary goal of the TRIPODS program is to bring communities together, facilitate interaction between them, and work toward a shared understanding of the future of the foundations of data science.  Thus, CCF and DMS encourage close collaboration and coordination among the TRIPODS Institutes. Please plan to attend a kickoff PI meeting in Alexandria, VA, in October or early November of 2017.  We would like three PIs from each TRIPODS Institute to attend the meeting for one and a half days, and we would like one PI from each Institute to attend for an additional half day for a "leadership council" session.  We will finalize the dates shortly._x000D_
_x000D_
I would like to extend my best wishes for continued success with your research._x000D_
_x000D_
Sincerely_x000D_
_x000D_
Nandini Kannan, Program Officer_x000D_
Division of Mathematical Sciences_x000D_
July 13, 2017_x000D_
_x000D_
On behalf of the TRIPODS Management Team_x000D_
Nandini Kannan_x000D_
Tracy Kimbrel_x000D_
Jack Snoeyink_x000D_
Christopher Stark_x000D_
_x000D_
________________________________x000D_
Panel Review_x000D_
_x000D_
This project was reviewed by one of two panels composed of researchers representing a broad range of expertise in computer science, mathematics, and statistics, and experience with the conduct and administration of research, education, and training efforts related to data science. Panelists were asked to review the proposals on the basis of the two main NSF review criteria (Intellectual Merit and Broader Impacts) as well as the TRIPODS specific review criteria, described in the solicitation.     _x000D_
_x000D_
Each proposal was reviewed by at least three members of the panel assigned in advance as reviewers and discussion leaders.  A fourth panelist was appointed by the managing Program Officer as the scribe to write a summary of the panel's discussion of the proposal.  The panel divided the proposals into four categories: (1) Highly Recommended, (2) Recommended, (3) Not Recommended, and (4) Not Discussed in Panel.  _x000D_
_x000D_
The reviews and the panel summary, which are available through FastLane, provide the basis for the recommendation made by the TRIPODS Management Team.  Please understand that the reviewers address their comments chiefly to the NSF.  Reviews containing irrelevant, non-substantive, or erroneous statements were not used in the evaluation of the merit of your proposal.  _x000D_
_x000D_
Your proposal received reviews from three panelists who rated it G, E/V, and E/V respectively.  Based on the reviews and the panel deliberations, your proposal was placed in the Highly Recommended category.     _x000D_
_x000D_
Topic: This proposal, from Columbia University, seeks to create an institute with the goal of developing "fundamental methodological principles to support the practice of data science."  _x000D_
_x000D_
The proposed research topics include (1) Nonconvex Optimization, (2) Primitives for Efficient Computation, and (3) Interactive protocols in learning.  Center-like activities for Phase I include annual workshops, a distinguished lecture series, medium-to-long-term visitors, development of a Ph.D. program in the Foundations of Data Science, and co-mentoring of graduate students and postdoctoral fellows.  This project will leverage existing data science activities at Columbia, including the Data Science Institute (DSI) and its' associated centers and working groups. _x000D_
_x000D_
Intellectual Merit: The reviewers and panel agreed that the research was well-motivated and addressed many challenging research questions focused on the theoretical foundations of data science.  However, one reviewer gave the proposal a rating of Good, noting that the novelty of the research could have been better articulated.  _x000D_
_x000D_
The team includes investigators with excellent research records in the foundations of data science and an established track record of training and mentoring.  Some panelists felt that the team would benefit from having more representation from Mathematics and Statistics.  The connections to domain scientists and industry were tenuous, and reviewers would have liked to see some examples of concrete collaborations.  _x000D_
_x000D_
The panel viewed the topics related to non-convex optimization and interaction in learning as having the potential for high impact, and appreciated the leveraging of existing data science related infrastructure at Columbia._x000D_
_x000D_
Broader Impacts:  The proposal lays out a detailed plan for cross-disciplinary training of graduate students and postdoctoral fellows.  Curricular innovations include the development of the Foundations Track for the MS in Data Science, and new Foundations of Data Science courses._x000D_
_x000D_
The panel appreciated the attention to broadening participation and diversity, including partnerships with the Engineering Exploration Experience to create interactive workshops for female high-school students, and mentoring summer high school students as part of Columbia's ENG (Engineering the Next Generation) program._x000D_
_x000D_
TRIPODS-Specific Criteria:  _x000D_
_x000D_
Reviewers agreed that the proposal presented a well-integrated research and training program and the synergy between the different groups was well-articulated.    _x000D_
_x000D_
The panel would have liked to see more attention paid to evaluation of the different activities.      The proposal listed a number of center-like activities for Phase I and a well-developed plan for a potential Phase II institute at Columbia.  The panel agreed that the project presented a compelling vision for data science and noted that the TRIPODS Institute would "add significant value" to the existing environment at Columbia by "focusing on foundations."_x000D_
_x000D_
Summary and Rationale for Recommendation:  The TRIPODS Management Team agreed that the intellectual merit and broader impacts of the project were excellent.  The research addressed significant foundational data science challenges, with a well-integrated training program.  Given the existing initiatives and infrastructure at Columbia, the Management Team agreed that the project was compelling and recommended an award at the requested level.  _x000D_
_x000D_
Recommendation: A three-year continuing award at the requested level of $1,500,000.  _x000D_
_x000D_
_x000D_
_x000D_
_x000D_
</t>
  </si>
  <si>
    <t xml:space="preserve">In the context of the five review elements, please _x000D_
evaluate the strengths and weaknesses of the proposal with respect to intellectual merit._x000D_
_x000D_
The proposal brings together an outstanding team of PIs covering the 3 areas. The PIs propose to develop the 'foundational infrastructure' for data science: The main tasks they undertake are: 1) a geometric/mathematical understanding of the types of non-convex objective functions, data models, and 'variational' composition rules for which the optimization landscape is 'benign'. 2) Further development of techniques such as sublinear algorithms, sketching and streaming algorithms, good data representations, for producing approximate solutions, and 3) a foundational view of human-algorithm interactions in machine learning that goes beyond particular approaches such as active learning._x000D_
_x000D_
The questions are well-motivated and there is reason to believe that good progress can be made at the moment on them. The PIs are eminently qualified to make this progress._x000D_
_x000D_
The existing structure and collaborations at Columbia are ideal for this institute to thrive. If anything the quality of the support only raises the question: Would this research happen anyway without this proposal being funded? I think the answer is 'no' and this proposal would aid the exploration of theoretical questions that might not otherwise be explored._x000D_
_x000D_
This proposal does an excellent job of identifying specific problems and the roles of the 3 disciplines in them. While Mathematics is represented in the PI team by Qiang Du, it could be argued that he is really a computer scientist in a math department. If we accept this, mathematics is not as strongly included in the team as the other two disciplines. The interaction and synergy will be largely between TCS and Statistics. _x000D_
_x000D_
The proposal does a great job on center-building activities ... with expertise among the PIs in serving on advisory boards of other centers, summer schools, long programs, visitors, etc._x000D_
_x000D_
There seems to be good synergy between the PIs in working together to evolve a common terminology. Partly because the PIs already have overlapping areas of expertise. _x000D_
_x000D_
In principle, this project is 'application aware'! One of the driving goals is 'Foundations from practice' and the PIs mention the need for collaboration with domain experts in many places. But no specific application is the target of this project... and this is probably as it should be. _x000D_
_x000D_
There are no plans described for industry collaboration. _x000D_
_x000D_
The development plans for unifying curricular development are top-notch. _x000D_
_x000D_
No mention is made of fairness, privacy, provenance, etc, or of dynamic aspects of data. _x000D_
_x000D_
_x000D_
_x000D_
In the context of the five review elements, please _x000D_
evaluate the strengths and weaknesses of the proposal with respect to broader impacts._x000D_
_x000D_
The education component of this proposal is impressive. A Masters and a nascent Ph.D. program in data science will involve a lot of curriculum development and various subsets of the PIs are developing exciting new courses bridging the 3 areas. The model of having each Ph.D. student have two mentors, from two of the three areas - TCS, Math, Stat - seems very conducive to fostering interactions._x000D_
_x000D_
The location of Columbia near Harlem is cited by the PIs as an opportunity to broaden participation, and the Institute will participate in Columbia Engineerng's existing outreach to high schools in the vicinity. Interaction with the Teachers College can also help develop teachers with the skills needed to engage students in their schools in data science._x000D_
_x000D_
Please evaluate the strengths and _x000D_
weaknesses of the proposal with respect to any additional solicitation-specific review criteria, if _x000D_
applicable_x000D_
_x000D_
Yes, the proposal describes a well-integrated research and training program focused on theoretical foundations of data science. Collaborations are particularly strong between theoretical computer science and statistics, although the topic of non-convex optimization could be said to be in applied math as well. The proposal does address the broad themes of the program very well._x000D_
The education plan, the new Ph.D. program, the existing Masters program, the collaboration with Teachers College are all great for workforce development and involve novel educational and training activities. _x000D_
_x000D_
Yes, the project is transdisciplinary and there is a compelling vision of data science. The PIS do represent somewhat complementary expertise, albeit, perhaps in a narrower range than envisioned for the TRIPODS program._x000D_
_x000D_
The budget and scope of the proposed research seem reasonable._x000D_
The evaluation plan is unsurprising. _x000D_
_x000D_
Plans to scale up to Phase II seem very good... with summer schools, short and long-term visitors, distinguished speakers and the like. There is a question of redundancy, since there is already a big Institute of Data Science at Columbia... even if the TRIPODS Phase II institute would focus on more theoretical directions._x000D_
_x000D_
Summary Statement_x000D_
_x000D_
A very good to excellent proposal bringing together a great team. The PIs do a great job of connecting the large issues facing data science to slightly more specific research directions to motivate the importance of these directions. The plans for a data science Ph.D. program, and existing Masters program are incredibly synergistic._x000D_
_x000D_
</t>
  </si>
  <si>
    <t xml:space="preserve">In the context of the five review elements, please _x000D_
evaluate the strengths and weaknesses of the proposal with respect to intellectual merit._x000D_
_x000D_
+The research themes are general  interesting. _x000D_
_x000D_
-lack of novel  and concrete solutions to proposed problems_x000D_
_x000D_
In the context of the five review elements, please _x000D_
evaluate the strengths and weaknesses of the proposal with respect to broader impacts._x000D_
_x000D_
+the education plan is somewhat comprehensive and is likely to have large impact on a large group of people ranging from undergraduate students, master and ph.d students to advanced researchers in data science._x000D_
_x000D_
_x000D_
_x000D_
Please evaluate the strengths and _x000D_
weaknesses of the proposal with respect to any additional solicitation-specific review criteria, if _x000D_
applicable_x000D_
_x000D_
_x000D_
_x000D_
Summary Statement_x000D_
_x000D_
This proposal proposes to establish a TRIPODS institute at Columbia for developing fundamental methodological principles to support the practice of data science. The proposed research focuses on non-convex optimization, primitives for computations and an interactive framework for learning. While the general themes of the research are interesting and important,  the research part of the proposal(especially the second and third theme of the proposed research) is not very well-written nor well-organized, in particular the description of the proposed research clearly lacks focus. The PIs mention a lots of different concepts and  ideas within each research topic, but fails to convey what is the new research that has been proposed here. The education part of the proposal is much better, which includes training plans for undergraduates students, master students and Ph.D students. In particular, new a foundational track for master is proposed, and Ph.D in data science is pending approval, and there are clear plans for course developments. In addition, workshops, summer schools, short/long visits have also been included in the training plan to disseminate the research.  Some of the other strengths and weaknesses  are summarized below._x000D_
_x000D_
Strengths_x000D_
+Columbia has already got a quite interdisciplinary environment within the Data Science Institute (DSI) which I believe is very good for the building of the TRIPODS institute which will be located within the Center for Foundations of Data Sciences within the DSI._x000D_
_x000D_
-The described research for the second and third themes is relatively weak. There is no substantially new foundational theory that has been proposed._x000D_
_x000D_
-Most of the PIs are from CS with one PI  from applied mathematics, there seems to be lacking of synergistic connections from statistics. It would ideal to have some stat person in the group (e.g., involve a stat person with expertise in theory for example) which would be important in proving theoretical guarantee for any algorithms/models proposed in the research._x000D_
_x000D_
</t>
  </si>
  <si>
    <t xml:space="preserve">In the context of the five review elements, please _x000D_
evaluate the strengths and weaknesses of the proposal with respect to intellectual merit._x000D_
_x000D_
This proposal aims to establishing an institute for developing fundamental methodological principles to support the practice of data science. The institute will pursue interdisciplinary research, educational training, and center-building activities (such as workshops and summer schools) that bridge mathematics, statistics, and computer science. _x000D_
_x000D_
Strengths: _x000D_
_x000D_
1.  The research team is very strong and has complementary expertise in all three areas.  _x000D_
_x000D_
2. The  proposal targets three important research topics, a) understanding the success of non-convex optimization, b) primitives for efficient computation, c) iterative protocols in learning, which have clear roles for mathematics, theoretical computer science, and statistics. The proposed research is quite novel, which could provide the urgently needed foundations  and thus have a major impact on the emerging field of data science.  _x000D_
_x000D_
3. The proposed institute will locate in the Center for Foundations of Data Science in the Data Science Institute at Columbia University, which already has some educational programs related to Data Science. The proposed educational training and center-building activities could greatly enhance existing programs, and accelerate the dissemination of obtained theoretical discovery to the data science research community and industry.  _x000D_
_x000D_
4. The proposal has a clear plan for the interaction and synergy for participants from the 3 communities._x000D_
_x000D_
5. The proposal has good plans for developing common terminologies and concepts (through building transdiciplinary foundations), conducting application-aware foundational research, unifying curricula, reproducibility, and dynamic aspects of data._x000D_
_x000D_
Weaknesses: _x000D_
_x000D_
No obvious weakness has been identified._x000D_
_x000D_
In the context of the five review elements, please _x000D_
evaluate the strengths and weaknesses of the proposal with respect to broader impacts._x000D_
_x000D_
Strengths:_x000D_
_x000D_
1. If successful, the developed theoretical foundations will have a broad impact on many disciplines, such as natural sciences and engineering, health, and social science. _x000D_
_x000D_
2. The proposed educational plan will develop curriculum for research and practice in data science, and train the next generation of researchers and engineers._x000D_
_x000D_
3. The proposed center-building activities (such as workshops and summer schools) will help   to define a common language for foundational research in data science. _x000D_
_x000D_
4. The proposed institute will also provide a number of outreach activities, such as women-in-science events, hackathons, research experience for high school students, with an emphasis on women and underrepresented groups.  _x000D_
_x000D_
Weakness:_x000D_
_x000D_
No weak has been identified._x000D_
_x000D_
Please evaluate the strengths and _x000D_
weaknesses of the proposal with respect to any additional solicitation-specific review criteria, if _x000D_
applicable_x000D_
_x000D_
Strengths:_x000D_
_x000D_
1. The proposal has a well-integrated research and training program focused on theoretical foundations of data science and fostering collaboration and interaction among the 3 communities of TRIPODS. _x000D_
_x000D_
2. The proposal has adequately addressed the broad themes of the program._x000D_
_x000D_
3. The proposal has clear plan for workforce development. _x000D_
_x000D_
4. The project is transdisciplinary and requires theories and approaches from all three areas. _x000D_
_x000D_
5. The proposal does an excellent job in providing a vision for the foundations of data science._x000D_
_x000D_
6. The research team is outstanding and has complementary expertise which is well-suited for the proposed research and training programs. _x000D_
_x000D_
7. The proposal has a good plan for future Phase II operations._x000D_
_x000D_
8. The Collaboration and Evaluation plan has  clear measures of success. _x000D_
_x000D_
Weakness:_x000D_
_x000D_
The communication and interaction with the data science and industry need to be better addressed._x000D_
_x000D_
Summary Statement_x000D_
_x000D_
This proposal aims to establish an institute to develop theoretical foundations to support the practice of data science and provide data scientists with methodological training. This is a very well-thought proposal. The targeted research topics are all very important and could have profound impact to the field of data science. The PIs have excellent track records in conducting such types of research._x000D_
_x000D_
</t>
  </si>
  <si>
    <t>As data-driven methods move from proof-of-concept to basic technology, it is becoming increasingly important to develop *theoretical foundations to support the practice of data science* and to provide data scientists with *methodological training* that is both sound and practically relevant. Our TRIPODS institute will pursue this goal through an integrated program of research in foundations of data science, curriculum development, and center building activities such as workshops, summer schools, distinguished lecture series and long-term visits. Our research program is centered around the notion of providing theoretical foundations to support practice, by providing theoretical understanding of practical heuristics, by developing modular and well-structured toolkits of modeling and computational primitives, and by supporting the entirety of the data science cycle, from data collection and annotation, to analysis and assessment of the analysis product. Specific Phase I research directions include understanding tractable classes of nonconvex optimization problems, developing primitives that support efficient computation on data, and developing methodological foundations for interactive protocols in data science. Located within the Center for Foundations of Data Science in the Data Science Institute at Columbia University, our Institute will be at the center of the Northeast Big Data Hub. This robust effort in applied data science will provide a perfect context and environment for deriving methodological principles and curricula which support practice.The Institute will pursue programs of research, education and center building aimed at articulating theoretical foundations for data science. Its activities will have a major impact in shaping this emerging field. Specific Phase I research thrusts aim at challenging problems at the interface between theory and practice, the solution of which requires ideas spanning mathematics, statistics and computing. Overarching themes include the development of foundations from and for practice, the development of general methodological toolkits (rather than isolated specific results), and elucidating the role and structure of human interaction in the data science cycle. The Institute's educational activities will articulate model curricula in data science at the MS/professional and PhD level, including innovative interdisciplinary courses aimed at building a common language. Center activities will be organized around cross-disciplinary themes, and structured to encourage interaction across disciplines and the development of a common methodological community in Foundations of Data Science.The development of theoretical foundations to support the practice of data science will have broad scientific impact, across disciplines ranging from the natural sciences and engineering, to health, to social sciences. The Institute's education activities will result in model curricula for research and professional training in data science, helping to train the next generation of scientists and engineers. Institute activities such as workshops and summer schools will help to further define and disseminate a common language for foundational research in data science. The institute will support outreach activities, including workshops at women-in-science events, hackathons, and summer high school student research experiences. These events will specifically target women and underpriviledged minority students from the greater New York area. To perform outreach more broadly, the PIs will partner with Columbia SEAS outreach office and Columbia Technology Ventures to develop online K-12 outreach modules, which teach basic ideas in data-oriented thinking, and help participants to appreciate the power of math, statistics and computing in interacting with data.</t>
  </si>
  <si>
    <t xml:space="preserve"> Panel Summary       
  _x000D_
Summary:_x000D_
_x000D_
The PIs  propose a Institute for Theoretical Advancements in Data Science (ITADS) at Rutgers focusing on the development of the theoretical foundations of data science. Their research activities are mainly described through proposing to run Themed Semesters. Each themed semester includes two major workshops and a long-term visitor program. Some of the topics for these themed semesters include Geometric Analysis of Data; Sublinear Computational Theory of Data Science; Analysis of Heterogeneous Data; Data Analysis and Inverse Problems and so on. In addition, there will be Micromeetings; Colloquia, Seminars, and Tutorials addressing to different groups of audience._x000D_
_x000D_
_x000D_
Intellectual Merit:_x000D_
_x000D_
Strengths _x000D_
_x000D_
+This proposal is  great in outlining a very compelling structure for a research environment - in fact the programs they list seem to provide excellent coverage of the field of data science. _x000D_
_x000D_
+Rutgers through DIMACS has great experience in outreach and education efforts and ITADS has a great plan to continue in this vein. One of the PIs, Rebecca Wright, as Director of DIMACS has a great deal of personal experience in these matters. _x000D_
_x000D_
_x000D_
_x000D_
Weaknesses _x000D_
_x000D_
-Not enough has been discussed about the research itself.  Basically, the proposal did not identify specific research problems._x000D_
_x000D_
-The proposal does not seem to present enough synergies between CS, statistics and applied math._x000D_
_x000D_
_x000D_
_x000D_
Broader Impact:_x000D_
_x000D_
Strengths _x000D_
_x000D_
+Very detailed and well thought-out education plan. The PIs have done a lot planning working by confirming with the speakers for each themed semester._x000D_
_x000D_
+ The proposal is very structural, it definitely did a good job of identifying novel center-like activities and has a good and more detailed implementation plan than most others. _x000D_
_x000D_
_x000D_
_x000D_
Weaknesses _x000D_
_x000D_
_x000D_
- No significant industry involvement is envisioned. _x000D_
-  Relatively weak evaluation plan. _x000D_
-No postdocs or graduate students were trained or mentored working on these specific research topics. _x000D_
_x000D_
_x000D_
TRIPODS-specific criteria: _x000D_
Strengths _x000D_
_x000D_
+The proposal is ideally set up to continue to Phase II. _x000D_
_x000D_
Weaknesses _x000D_
_x000D_
-There is some interaction between the Math, CS, and Stat components. But it is not clear if the integration will happen at ground level when individual workshops are held and there is nor budget for individual students and post-docs working on the research problems which is a serious concern. _x000D_
_x000D_
-- Workshop topics are confined to one discipline, making it difficult to achieve synergy among three TRIPODS areas._x000D_
_x000D_
Collaboration and Evaluation Plan: A detailed collaboration plan but brief evaluation plan. _x000D_
_x000D_
Data Management Plan: adequate._x000D_
_x000D_
_x000D_
Justification for Panel Rating:  This is overall a well-planned, well-thought out program with a nice organizational structure. It is relatively weak on the research side in the sense that no specific research questions are proposed, and no postdocs or students are trained or mentored to work on research projects. _x000D_
_x000D_
Panel Rating: Recommended _x000D_
_x000D_
The summary was read by/to the panel and the panel concurred that the summary accurately reflects the panel discussion. 
</t>
  </si>
  <si>
    <t xml:space="preserve">NATIONAL SCIENCE FOUNDATION _x000D_
Arlington, Virginia 22230 _x000D_
Directorate for Computer and Information Science and Engineering (CISE)_x000D_
Division of Computing and Communication Foundations (05010000)_x000D_
TRIPODS Transdisciplinary Research in Principles of Data Science (041Y)_x000D_
NSF 16-615 Transdisciplinary Research in Principles of Data Science Phase I_x000D_
Review Analysis Recommendation: Decline_x000D_
_x000D_
Institute for Theoretical Advancements in Data Science (ITADS)_x000D_
_x000D_
L: 1740834 Mischaikow, Konstantin Rutgers Univ New Brunswick $ 1,499,998_x000D_
_x000D_
_x000D_
P172027 R TRIPODS Panel 1, Recommended (V/G,V/G,V/G)_x000D_
Std competition rank 9 of 30 rated projects: 2 HR, 8 R, 11 NR, 9 NDP, on 5/17/2017_x000D_
_x000D_
_x000D_
PROJECT OVERVIEW_x000D_
This is a proposal to build an Institute for Theoretical Advancements in Data Science (ITADS) at Rutgers focusing on the development of the theoretical foundations of data science.   Research themes are proposed as _x000D_
themed semester, each with two major workshops and a long-term visitor program. Example topics: Geometric Analysis of Data; Sublinear Computational Theory; Analysis of Heterogeneous Data; Data Analysis and Inverse Problems.   They also propose Micromeetings; Colloquia, Seminars, and Tutorials addressing to different groups._x000D_
_x000D_
INTELLECTUAL MERIT DIMACs has great experience with organizing institute activities, and this shows in the detailed plans.  Specific research, and how it would help establish the foundations of data science, is not detailed. One panelist commented that even the proposed topics were in silos, and not mixing; another agreed and said they didn't see where all three disciplines would meet._x000D_
_x000D_
BROADER IMPACTS Very detailed and well thought-out education plan for the themed semesters. (The project team even confirmed organizers for each themed semester.)  The proposal does go into detail on student training.  It also does not indicate significant industrial participation.  The evaluation of the broader impacts was considered weak _x000D_
_x000D_
_x000D_
REVIEW SUMMARY All reviews were V/G, and were consistent.  As one said, " Some proposals in this program seem to focus on the structure of the research environment they will create and_x000D_
others on the actual research that would happen. This proposal is really great in outlining a very compelling structure - in fact the programs they list seem to provide excellent coverage of the field of data science. ... But I think the PIs would have done well not just to describe meetings and provide visitor lists, but also to say something about the research that would be performed by them."  _x000D_
_x000D_
RECOMMENDATION _x000D_
The TRIPODS team of Program Directors evaluated this proposal for funding in light of its intellectual merit and broader impacts relative to the goals of the program, taking into account the reviews and ratings, the panel discussions and panel summary.  We also considered this proposal in relation to other proposals reviewed in this and other panels (particularly, other institute-focused proposals that were rated more highly), the need to maintain appropriate balance among subfields, the total amount of funds available to the program for new proposals, and general Foundation policies. We concur with the panel's assessment and recommend that this project be declined._x000D_
_x000D_
_x000D_
Snoeyink, Jack S._x000D_
Cognizant Program Director  _x000D_
Tuesday, July 4, 2017_x000D_
_x000D_
On behalf of the TRIPODS team: _x000B_Nandini Kannan, Tracy Kimbrel, Chris Stark, and Jack Snoeyink_x000D_
_x000D_
_x000C__x000D_
</t>
  </si>
  <si>
    <t xml:space="preserve">In the context of the five review elements, please _x000D_
evaluate the strengths and weaknesses of the proposal with respect to intellectual merit._x000D_
_x000D_
a)	Please provide a brief description of the project.  What are the activities being proposed?    _x000D_
_x000D_
Some proposals in this program seem to focus on the structure of the research environment they will create and others on the actual research that would happen. This proposal is really great in outlining a very compelling structure - in fact the programs they list seem to provide excellent coverage of the field of data science. Specifically the PIs seek to explore the following topics in semester-long programs: Geometric Analysis of Data (with subtopics in Topological data analysis and manifold learning), sublinear computational theory of data science, analysis of heterogeneous data, and data analysis and inverse problems. _x000D_
_x000D_
But I think the PIs would have done well not just to describe meetings and provide visitor lists, but also to say something about the research that would be performed by them. _x000D_
_x000D_
So the proposal did not identify specific research problems (at least at the level of specificity I would have liked). It did clearly describe the role of Mathematics, TCS, and Statistics in the programs._x000D_
_x000D_
Because the proposal is very structural, it definitely did a good job of identifying novel center-like activities and has a good and more detailed implementation plan than most others._x000D_
_x000D_
I could not judge the level of synergy between the three communities here - while the semester-long programs seemed to embrace multiple communities, the specific workshops in these programs seemed to lie within one of the 3 disciplines. _x000D_
_x000D_
The project might develop common terminologies. It will definitely have an application-aware component. No significant industry involvement is envisaged. I was underwhelmed by the level of detail provided in the education plan for specific courses and whole curricula for the certificate program in data science. Interestingly the PIs seem to anticipate the creation of a department of data science. No specific mentions of end-to-end provenance and privacy and fairness issues, or about dynamic aspects of data._x000D_
_x000D_
In the context of the five review elements, please _x000D_
evaluate the strengths and weaknesses of the proposal with respect to broader impacts._x000D_
_x000D_
Rutgers through DIMACS has great experience in outreach and education efforts and ITADS has a great plan to continue in this vein. One of the PIs, Rebecca Wright, as Director of DIMACS has a great deal of personal experience in these matters._x000D_
_x000D_
Please evaluate the strengths and _x000D_
weaknesses of the proposal with respect to any additional solicitation-specific review criteria, if _x000D_
applicable_x000D_
_x000D_
The proposal is ideally set up to continue to Phase II. There is good interaction between the Math, CS, and Stat components. But as I said in the intellectual merits section, it is not clear if the integration will happen at ground level when individual workshops are held and individual students and post-docs are mentored._x000D_
_x000D_
The proposal does address the broad themes of the program._x000D_
It does present a detailed plan for novel ideas for workforce development._x000D_
_x000D_
I am not convinced that this project will result in a transdisciplinary foundation for data science, since I did not see too many activities that different disciplines would do together._x000D_
_x000D_
One could produce a compelling vision for the foundations of data science from the topics and descriptions of the semester-long programs._x000D_
_x000D_
Summary Statement_x000D_
_x000D_
Overall a well-thought out and well-integrated proposal._x000D_
_x000D_
</t>
  </si>
  <si>
    <t xml:space="preserve">In the context of the five review elements, please _x000D_
evaluate the strengths and weaknesses of the proposal with respect to intellectual merit._x000D_
_x000D_
+propose themed semesters with a goal of focusing on the foundational issues of data science, through bringing together topic researchers in each field_x000D_
_x000D_
+Other forms of interaction such as Micromeeitng are proposed focusing on charting new directions of research _x000D_
_x000D_
-Concerns on the novelty of the institute which has similar models as many others such as Samsi and MSRI etc_x000D_
_x000D_
In the context of the five review elements, please _x000D_
evaluate the strengths and weaknesses of the proposal with respect to broader impacts._x000D_
_x000D_
+If motivation and necessity is justified, this type form of institute can potentially reach to a large group of researchers from advanced to junior levels _x000D_
_x000D_
-no postdocs or graduate students are specifically trained by working with the PIs on the research topics, although graduate students can apparently benefit from the program by attending workshops, colloquiums, tutorials etc._x000D_
_x000D_
Please evaluate the strengths and _x000D_
weaknesses of the proposal with respect to any additional solicitation-specific review criteria, if _x000D_
applicable_x000D_
_x000D_
_x000D_
_x000D_
Summary Statement_x000D_
_x000D_
The PIS of the propose a Institute for Theoretical Advancements in Data Science (ITADS)  at Rutgers focusing on the development of the theoretical foundations of data science. Their research activities are mainly described through proposing to run these Themed Semesters. Each themed semester includes two major workshops and a long-term visitor program.  Some the topics for these themes semesters include  Geometric Analysis of Data;  Sublinear Computational Theory of Data Science; Analysis of Heterogeneous Data; Data Analysis and Inverse Problems  and so on.  In addition, there will be Micromeetings; Colloquia, Seminars, and Tutorials address to different groups of audience.  The proposal seems to be after the model of SAMSI except that Samsi runs year-long programs instead of semester-long ones and their research themes can be more general beyond the foundation of data science. In fact, some of the themes that are proposed here have been already run by SAMSI before, e.g., the Geometric Data of Data (see the 2013 academic year program of SAMSI: lower-dimensional system in high-dimensional data). _x000D_
While I think Samsi  (also other institutes like MRSI, ICERM) run very successful programs which have contributed a lot to the research communities, the question here be really on the necessity of such a center at Rutgers, e.g., on what is new that one can achieve by running such an  institute at Rutgers which is very similar to many other ones in the country which might have overlapping research themes with what are proposed here. Another concern is on the research themes themselves.  While these research topics are important with active ongoing research in each of area, what is the new foundation  theory  or vision that has been proposed here?  Given this particular model of the institute, e.g., by gathering and attaching researchers from the country for each research theme and trying to foster research advancement though  collaborations etc, another question would be on what is the vision for the Phase II of the institute. Would one just run more themed semesters?_x000D_
_x000D_
Other strengths and weaknesses_x000D_
_x000D_
-motivation and necessary for running such as institute which is also a similar model as other institutes like SAMSI, ICErms, MSRI in the country; also novelty of the institute is potentially in question. _x000D_
-concerns on the research themes proposed _x000D_
_does not involve postdocs or graduate students in research since the research components are somewhat æeducational' in the sense that the research is done through conferences, meetings and workshops _x000D_
_x000D_
_x000D_
</t>
  </si>
  <si>
    <t xml:space="preserve">In the context of the five review elements, please _x000D_
evaluate the strengths and weaknesses of the proposal with respect to intellectual merit._x000D_
_x000D_
The proposal from Rutgers plans to create an institute called ITADS, to build a principled theory for data science. To quote the PIs, "...some areas have duplicative work, and some absence of any... "; the PIs may a good case for a cross-disciplinary effort towards such an institute (though this is true for other institutes as well). _x000D_
_x000D_
+ The institute will conduct semester-long programs on clear topics. _x000D_
The topics include Geometric Analysis of Data, Sparse Representation of Data, Analysis of Heterogenous data and Inverse problems. Each of these topics seems well thought out and their description cover different aspects of the areas well.  _x000D_
_x000D_
+ The plan for the institute seems well thought out -- broadly, their model is similar to the Simons institute in Berkeley. They also propose micromeetings, which are short workshops or series of meetings on a slightly less developed theme. They have in fact already identified topics for micromeetings as well. _x000D_
_x000D_
+ They seem to be leveraging the expertise of DIMACS w.r.t. administering and directing a large institute. This institute is also likely to scale up to the large scale institute in Phase 2. _x000D_
_x000D_
- While the descriptions of the different topics give a good high-level description of the work done in different communities, the proposal does not say provide clear directions for progress. They mainly suggest that since this has been looked at in different communities, there is good scope for merging concepts and techniques.  Clear questions/ directions would also indicate why they chose these particular topics for the programs. _x000D_
_x000D_
- While the PIs are senior and well-established, except PI Muthukrishnan, most of the PIs seem to do more applied/ empirical work, and less on theoretical problems related to data science/ ML.  _x000D_
_x000D_
_x000D_
_x000D_
In the context of the five review elements, please _x000D_
evaluate the strengths and weaknesses of the proposal with respect to broader impacts._x000D_
_x000D_
The broader impacts portion seems fairly standard, and somewhat weak compared to other proposals._x000D_
_x000D_
Please evaluate the strengths and _x000D_
weaknesses of the proposal with respect to any additional solicitation-specific review criteria, if _x000D_
applicable_x000D_
_x000D_
+ The proposal is likely to scale up well to Phase 2 operations._x000D_
+ The PIs come from CS, Math and Statistics, and the goals of the proposal seem to be genuinely to bring together people from multiple communities.  _x000D_
+ The proposal includes a clear collaboration plan and a short evaluation plan (involving surveys). _x000D_
_x000D_
- There doesn't seem to be much collaboration between CS and Math/Stats in the programs outlined here. While the sublinear computation program seems to primarily TCS focused, the other topics like Analysis of Heterogenous Data/ Inverse problems seem primarily statistical/ mathematical. _x000D_
_x000D_
_x000D_
_x000D_
Summary Statement_x000D_
_x000D_
The PIs present a good proposal for an institute that should scale up well to phase 2 operations. The institute in phase 1 will consist of semester-long programs on clear topics, and have micro-meetings and workshops as well. While the topics are spread between math, CS and stats, I feel the topics are less likely to be transformative w.r.t. theoretical foundations of data science (except for the sublinear algorithms component)._x000D_
_x000D_
</t>
  </si>
  <si>
    <t>PIs propose a TRIPODS institute, the Institute for Theoretical Advancements in Data Science (ITADS) with the goal of fostering the development of the theoretical foundations of data science.  In Phase I  ITADS will focus on heightening awareness of the challenges associated with modern data, facilitating communication across the broad spectrum of investigators and users of data, and developing foundational research collaborations between Mathematicians, Computer Scientists, Statisticians, and Engineers.  In addition, ITADS will begin the development of a trans-disciplinary curriculum for theoretical data science and develop the infrastructure and diverse community needs to scale up to a Phase 2 institute.  Our project team includes mathematicians, statisticians, computer scientists and engineers with a history of multidisciplinary collaboration in the area of data.  Furthermore, through DIMACS, the Center for Discrete Mathematics and Theoretical Computer Science, the PIs have considerable experience in leading large, complex, community-building projects that involve the core academic disciplines as well as close functioning ties with companies that are leaders in dealing with modern industrial data challenges.The scientific efforts of the institute will involve major topics that are the organizing center of semester long activities and smaller scale focused research projects centered around micromeetings. The themes for the first four semester topics will be Geometric Analysis of Data; Sparse Representation of Data; Analysis of Heterogeneous Data; and Data Analysis and Inverse problems. These topics address fundamental questions associated with large modern data: how to represent the complex structure of data, how to represent data succinctly and efficiently, and how to support sophisticated analyses of data.  The programs will be designed to engage participants from statistics, computer science, and mathematics, as well as other appropriate disciplines.  Each semester will include two technical workshops to build community and advance a research agenda in the focus topic.  Within each semester, one workshop will be focused on foundations, seeking to bring together the mathematicians, statisticians, and theoretical computer scientists who are actively seeking to advance the theoretical principles of data science, and one workshop will be focused on the interaction between foundations and applications, bringing together relevant data practitioners and theoreticians in order to ensure that the theory both informs and is informed by practice.  The micromeetings serve a complementary purpose of identifying and supporting small groups with novel challenges, methods and/or curricula.  ITADS will also support a lecture series consisting of colloquia, seminar, and tutorial lectures that will act in conjunction with and complementary to these research efforts to widely communicate the developments in data science.The project will enable both foundational advances in data science and practical advances in its accuracy, usability, security, flexibility, and efficiency. These advances have the ability to positively impact society across a range of fields. Participants will be diverse across a variety of dimensions, including women and other under-represented groups; a mix of junior and senior participants; and both industry and academic participants. This benefits the program through the diversity of opinions, experiences, ideas, and expertise, while also advancing the important goal of involving more women and under-represented minorities in STEM fields. The ITADS lecture series will be streamed and recorded for use as a long-lasting resource by a broad community.</t>
  </si>
  <si>
    <t xml:space="preserve"> Panel Summary       
 Description: This proposal focuses on the establishment of a new (TRIPODS) institute to sit within the Hariri Institute at Boston University.  The research focus is on network theory with applications in bioinformatics, neuroscience, social and communication networks, and multi-agent robotic systems.  The proposal also includes plans for curriculum development, workforce training, and application-aware research._x000D_
_x000D_
Intellectual Merit: _x000D_
The PIs have strong backgrounds and a list of proposed projects in network theory that include transdisciplinary collaboration.  Panelists felt that the research focus on the specified problems in network theory was too narrow, that there was too little proposed in new research approaches, and that the project activities were generic (see Reviews). Some panelists felt that the plan for intensive 2-month summer research and training programs was an interesting and good idea while another panelist was concerned that these programs would be too short for accomplishing longer term goals._x000D_
_x000D_
Broader Impact: _x000D_
The plan to establish the institute within an existing institute in order to take advantage of existing resources is a strength as is the focus on teaching communication skills, paying attention to policy making, and offering support for co-teaching.   Plans for fostering connections to industry partners through short workshops were good, but could be stronger._x000D_
_x000D_
TRIPODS-specific criteria:  The PIs represent the core disciplines, have a history of collaborations, and have the backgrounds necessary for the proposed work.  The Collaboration Plan would have benefited from more detail and one panelist commented, and others agreed, that it would have been nice to see more proposed collaborations that were independent of the main PI (Orecchia).  As previously stated, this proposal includes good plans for transdisciplinary curriculum development and training.  The plan for an external review panel from other TRIPODS institutes was praised by the panel as a nice idea for assessment._x000D_
_x000D_
Collaboration and Evaluation Plan:_x000D_
The Collaboration and Evaluation Plan could be improved (see comments above) and the plan for an external review panel is a strength._x000D_
_x000D_
Data Management Plan:_x000D_
The Data Management Plan is good._x000D_
_x000D_
Suggestions to the PI:  _x000D_
The panel recommends broadening the proposed research topics and developing a research collaboration plan that would scale more naturally to a larger number of participants._x000D_
_x000D_
Justification for Panel Rating:_x000D_
After extensive discussion, the proposed research program was seen as too narrow and not sufficiently novel for the TRIPODS program._x000D_
_x000D_
Panel Rating:_x000D_
Not Recommended_x000D_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</si>
  <si>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proposal could be summarized as follows:_x000D_
_x000D_
- We (the PIs) know a lot about graphs._x000D_
- Graphs are everywhere in Data Science._x000D_
- So, each summer, we will organize a school in which people will learn about graphs in the context of Data Science._x000D_
_x000D_
The obvious problem with the above proposal is that one can replace graphs with, say, matrices and have an equally valid proposal. More to the point, the proposal hardly proposes any new research! Instead, it reads like a long list of how graphs are a useful tool in talking about data. The closest the proposal comes to describing work that spans all 3 relevant communities is in describing the research of PI Saligrama on Information-Theoretic Foundations for Combinatorial Inference. But this is only a fraction of the proposal and not enough to carry the weight of a full-blown Tripods proposal._x000D_
_x000D_
_x000D_
_x000D_
In the context of the five review elements, please _x000D_
evaluate the strengths and weaknesses of the proposal with respect to broader impacts._x000D_
_x000D_
I find the idea of a summer school devoted to "graph-theoretical foundations of data science" rather misguided. For example, observe that graphs (in the sense employed in TCS and in this proposal) have had little to do with the recent data-driven major breakthroughs in computer vision and speech. As a result, the proposal's nearly-exclusive focus on graphs makes it hard to justify in the Tripods context, e.g.,  for statisticians graphs are far from a central object. At the same time, the other bits of proposed research, while perfectly good scientifically, are about optimization in graphs, only tangentially relevant to Data Science._x000D_
_x000D_
_x000D_
_x000D_
_x000D_
_x000D_
Please evaluate the strengths and _x000D_
weaknesses of the proposal with respect to any additional solicitation-specific review criteria, if _x000D_
applicable_x000D_
_x000D_
The proposal completely lacks vision. (Unless the vision is that data science should be based on graphsà) Also, the proposal has very few details/ideas about Phase II and the evaluation of Phase I._x000D_
_x000D_
Summary Statement_x000D_
_x000D_
This proposal was in the bottom half of the proposals I was assigned to review._x000D_
_x000D_
_x000D_
</t>
  </si>
  <si>
    <t xml:space="preserve">In the context of the five review elements, please _x000D_
evaluate the strengths and weaknesses of the proposal with respect to intellectual merit._x000D_
_x000D_
The primary research focus in Phase I is optimization and network analysis with applications in bioinformatics, neuroscience, social and communication networks, spatio-temporal geometric networks, and multi-agent robotic systems.  While graph theory/network analysis is clearly important to many data science applications, weaving specific applications and data sets into the research discussion would have strengthened the proposal.  The proposal also includes a strong plan for curriculum development and workforce training.  Unifying curricula and developing common terminologies and concepts through an emphasis on teaching communication skills and focusing on policy making are strengths of this proposal.  Application-aware foundational research and industry engagement are also featured in this proposal as is dynamic aspects of data.  End-to-end provenance, reproducibility, privacy, and fairness are not explicitly addressed although applications to privacy do appear in the research background of one of the co-PIs._x000D_
_x000D_
In the context of the five review elements, please _x000D_
evaluate the strengths and weaknesses of the proposal with respect to broader impacts._x000D_
_x000D_
The proposal outlines cohesive and far reaching plans for educational work and summer research and training programs.   This includes the stated goal to have the institute assume a policy-making role in determining best practices for education in data science, supported by the plan to develop ''communication-intensive'' courses placing equal weight on content and presentation skills.  The proposal includes funding to support curriculum development and co-teaching by faculty from different departments.  The goal is to incorporate this work into a new data science major that focuses on the theoretical foundations of data science rather than applications.  The overall approach to education and outreach to high school students and educators are strengths._x000D_
_x000D_
_x000D_
Please evaluate the strengths and _x000D_
weaknesses of the proposal with respect to any additional solicitation-specific review criteria, if _x000D_
applicable_x000D_
_x000D_
The proposal draws on previous work on developing the foundations of data science, emphasizes the development of communication across disciplines, and delivers a clear and well-thought-out vision.  The PI and co-PIs represent the three disciplines and have a history of collaborations.  The Collaboration Plan would have benefited from including more detail about the collaboration structure of the institute, including the management responsibilities of the PI and co-PIs.  One strength is that the Evaluation Plan includes forming an external review panel from other TRIPODS participants._x000D_
_x000D_
The proposal states the intention to locate the proposed institute within the existing Hariri Institute for Computing and Computational Science &amp; Engineering at BU in order to take advantage of existing resources and to elevate attention paid to the foundations of data science.  This is an interesting approach, worthy of consideration.  The proposal focuses primarily on the broad program themes of unifying curricula and, as a result of this focus and the expertise of the PIs, on developing common terminologies and concepts.  _x000D_
_x000D_
Outreach to other TRIPODS institutes is planned during Phase I and the proposal outlines a clear set of plans for building towards Phase II.  While outreach to industry researchers is planned during short (2-day) yearly or biyearly workshops, this may not be sufficient for fostering effective collaborations.  The minisymposia on TFoDS in Domain Sciences may achieve this goal of fostering collaborations with data experts, although is probably more focused on academics.  Including a more explicit plan for incorporating industry partners and data set/application area experts in the summer research program and tying specific motivating data sets to the outlined research projects would strengthen the proposal._x000D_
_x000D_
_x000D_
Summary Statement_x000D_
_x000D_
Incorporating the proposed TRIPODS institute into the Hariri Institute and a clear approach to supporting and developing the foundational theory and communication across disciplines are strengths of this proposal while the treatment of industry engagement and application-aware foundational research were weaker than in other proposal I reviewed, placing this proposal in the middle third._x000D_
_x000D_
</t>
  </si>
  <si>
    <t xml:space="preserve">In the context of the five review elements, please _x000D_
evaluate the strengths and weaknesses of the proposal with respect to intellectual merit._x000D_
_x000D_
This proposed TRIPODS program at Boston University (at least Phase I) will primarily be an intensive summer research program consisting of many workshops, with some long term visitors, and several junior fellows (PhD students, postdocs). This seems novel and is different from the rest of the proposals in my pile. On the other hand, it is not clear to me if 2-months of collaboration is productive for transformative advances. _x000D_
_x000D_
The focus of the institute will be on graph-theoretic aspects of data science (networks). The institute aims to bring in people people who work on information-theoretic/statistical aspects of combinatorial inference, along with graph optimization researchers from TCS, and mathematicians to explore connections between geometry (topology) and graphs. This focus on graph-theoretic aspects of data science ensures that researchers are more likely to interact and collaborate because of shared interests._x000D_
_x000D_
+ The team has considerable expertise in the theory of graph optimization -- PI Orecchia has a great track record, and has been a leader in the using convex optimization techniques to give near-linear time algorithms for fundamental graph problems.  _x000D_
_x000D_
- However, many of the other PIs (info theory/ data mining) e.g., in the context of community detection/ combinatorial inference seem to work on more applied aspects, as opposed to theoretical problems in this space.  Minor point, but for instance, the PIs incorrectly interpret the results of Moitra-Perry-Wein --- the result shows that SDPs (while robust to errors) are in fact *weaker* than other algorithms that obtain the optimal guarantees in block models. _x000D_
_x000D_
-  While I anticipate very nice progress in the use of fast graph algorithms in the context of data science, I am not convinced that this will lead to transformational research reg. the graph-theoretic aspects of data science (e.g., through new models, new theories for graphical inference etc.)._x000D_
_x000D_
+ They have listed concrete themes for each of the three summers. The first summer will be on graph partitioning, community detection, and regularization in graph-learning problems. The second one on Large-scale ML and Graph Optimization, and the last one on Learning Geometric Structure._x000D_
_x000D_
In the context of the five review elements, please _x000D_
evaluate the strengths and weaknesses of the proposal with respect to broader impacts._x000D_
_x000D_
The program will lead to new curriculum on the Foundations of Data Science involving all three disciplines. The summer programs will include many graduate students, and also involve some high school students._x000D_
_x000D_
Please evaluate the strengths and _x000D_
weaknesses of the proposal with respect to any additional solicitation-specific review criteria, if _x000D_
applicable_x000D_
_x000D_
+ Has a clear collaboration plan_x000D_
+ Has concrete steps in their evaluation plan including surveys, measures of progress through counting collaborative works, external evaluation team etc. _x000D_
_x000D_
- Many of the collaborations outlined in the proposal seem to be centered around PI Orecchia. I would have to liked to see more proposed collaborations between the statisticians and mathematicians._x000D_
_x000D_
- I am not sure what Phase II will comprise of (it seems to mainly indicate larger summer programs)._x000D_
_x000D_
Summary Statement_x000D_
_x000D_
This proposed TRIPODS program at Boston University will focus on foundational graph-theoretic aspects of data science. It will primarily be an intensive summer research program consisting of many workshops. I like the focus on the graph-theoretic aspects. However apart from the graph optimization (TCS) aspects, I am not convinced about transformational research on the more machine learning aspects of these graph problems._x000D_
_x000D_
</t>
  </si>
  <si>
    <t xml:space="preserve"> Panel Summary       
  _x000D_
Description: _x000D_
The project proposes to address fundamental problems related to missing data. Current approaches assume data are missing randomly. In many real cases data can come from various sources, and data may be missing in blocks. A generalization of this problem is when 'all data is missing' or "completion from cold start", i.e. one wants to probe unknown data in a manner that increases their utility. To support these research goal, the proposal will leverage and extend an existing data science institute at RPI. However the description of how the TRIPODS institute will be integrated to the existing one is very limited. _x000D_
_x000D_
_x000D_
Intellectual Merit: _x000D_
_x000D_
Strengths _x000D_
+ The proposed research work is interesting. The first problem presents an interesting balance question between linear-algebra and matrix-completion techniques, topics that are being pursued by relatively disjoint sets of people. _x000D_
+ The second problem is harder, and the proposed research more ambitious, but reasonable. _x000D_
+ Certain approaches for the first topic have appeared in both CS and statistics. _x000D_
+ The PIs are well-qualified to perform the proposed research. _x000D_
_x000D_
Weaknesses _x000D_
- While TCS/machine learning and statistics are represented in the senior personnel, some concerns were expressed about mathematics. _x000D_
- The proposal includes passing references to the potential for synergies among the three communities, but lacks a concrete example illustrating such synergies. _x000D_
- The description is very limited on institute building/integration activities._x000D_
_x000D_
_x000D_
_x000D_
Broader Impact: _x000D_
_x000D_
Strengths _x000D_
+ The proposed research topics draw directly from industrial and domain science applications._x000D_
+ Domain sciences are represented in the senior personnel, and the collaboration with industry seems to be active. This is expected to produce broader impacts. _x000D_
_x000D_
Weaknesses _x000D_
- Broader impacts in education are fairly standard. _x000D_
_x000D_
TRIPODS-specific criteria: _x000D_
_x000D_
Strengths: _x000D_
+ The proposal addresses two of the broad themes of the solicitation, application-aware foundational research and industry engagement. _x000D_
+ The TRIPODS institute will be part of an umbrella institute, leveraging existing experience and infrastructure._x000D_
_x000D_
Weaknesses _x000D_
- Very little attention has been given to the center-like activities of the project._x000D_
- The plans for integration and interaction with the umbrella institute are not adequately described. _x000D_
_x000D_
Collaboration and Evaluation Plan: _x000D_
The collaboration plan is adequate, although the plan is not very concrete about the synergies among the communities. The evaluation plan for the center is very short and not well thought-out. _x000D_
_x000D_
Data Management Plan: _x000D_
The data management plan, including plans for public dissemination, is satisfactory.  _x000D_
_x000D_
What is bold, exciting, high risk/reward, or potentially transformative? _x000D_
The proposed research includes interesting and exciting topics, as well as some higher-risk endeavors. However, the project description does not make a case for the transformative potential of the proposed research._x000D_
_x000D_
Suggestions to PI: _x000D_
More attention on the institute-related aspects of the solicitation would have made the proposal stronger. _x000D_
_x000D_
Justification for Panel Rating:_x000D_
The proposal addresses interesting topics in the foundations of data science. However the proposal is weak in describing and preparing the institute-related aspects of the TRIPODS solicitation. _x000D_
_x000D_
_x000D_
_x000D_
Panel Rating: _x000D_
_ Highly Recommended _x000D_
_ Recommended _x000D_
x Not Recommended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</si>
  <si>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is on analyzing data with missing chunks that are not random. Within this context, the PIs from RPI and UV propose to set up a Tripods Institute jointly, with collaboration from Optum Labs (LoCs attached). The premise is that data matrices have complete portions missing, and one cannot assume that the missing elements are distributed according to some nice iid distribution -- though they do likely follow a structure, this structure does not lend itself easily to random sampling. Additionally, there are multiple related data sets, in conjunction they give information about the entity that they refer to, even though they will contain big missing parts. This problem is considered under two major questions, one referring to data coupling, and one referring to data design from cold start (which involves sampling data in an economical way in the presence of dependencies). Together, they consider finding the relationships between data from different domains (the example here is between medical and insurance data) about the same entities, as well as the analysis of cost and accuracy of prediction, given structure within data, of sampling data in order to make inferences about it.  The PIs have collaborations with MSSM and Optum Labs for obtaining medical/insurance data. as well navigating/validating it. _x000D_
_x000D_
The proposal requests four graduate students for Phase I of the project, with course development, workshops, and outreach through the lifetime of the work._x000D_
_x000D_
The project has a well defined set of problems that are tied to real life data, with commitment from the owners of the data and domain experts to assist in obtaining/managing/analyzing the data. This proposal ties its theoretical work strongly to a real life dataset and a real problem. The roles of the participants are well defined (though rationale could be explained better), and the results would help with real world data._x000D_
_x000D_
The proposal itself has a tight focus and a well defined problem. Even though the problem definition is written for a relatively general audience, reading it one feels like it's a research proposal rather than a center proposal (it seems that the funds will be used on the existing center at RPI, but this is not explicitly mentioned). While this is OK for Phase I, one thing I would have liked to see would be a longer term vision for this problem, as it is quite narrow even for a Phase I, and certainly for Phase II. The transition, if it happens, from Phase I to Phase II, in terms of research programs, could be explained a little bit to make a convincing case that this phase is not terminal for this proposal._x000D_
_x000D_
In terms of application awareness, industry engagement, and looking at the peculiar properties of domain specific data, this proposal scores high points. In this sense, it does tick the boxes of what a DS proposal should cover. The problems are discussed at a reasonable level, directions for solutions and a timeline are given in reasonable detail._x000D_
_x000D_
_x000D_
In the context of the five review elements, please _x000D_
evaluate the strengths and weaknesses of the proposal with respect to broader impacts._x000D_
_x000D_
The broader impacts for training are fairly standard, except there is mention of K-12 engagement (in a fairly cursory way). A positive point is that the PIs claim impact based on developments on analyzing and prediction data with missing portions; the applications should benefit society. If they can achieve this, it would likely be more noteworthy than a reading group and a couple of updated classes, which is fairly standard fare._x000D_
_x000D_
_x000D_
Please evaluate the strengths and _x000D_
weaknesses of the proposal with respect to any additional solicitation-specific review criteria, if _x000D_
applicable_x000D_
_x000D_
The synergy here is a bit different than the other proposals that I have read as they are starting from a data set provided and validated domain experts, and going to the theory from there. It is commendable that they will have a language not only among different disciplines, but also between academia and labs/hospitals, etc. In that sense there is an admirable vision there. On the flip side, the scientific vision, perhaps since they start out with the particular application, is more limited. It would be nice to see a balance there, where the research vision extends below this application and this general class of problems, for the future. This would also be useful for understanding the scientific terms of moving from Phase I to Phase II better. There is a plan for doing that, with some commitment, but it would be stronger with a stronger and broader philosophy._x000D_
_x000D_
Most other things are satisfactory, success criteria are laid out clearly with a generic evaluation plan._x000D_
_x000D_
_x000D_
_x000D_
Summary Statement_x000D_
_x000D_
A good proposal, tending towards a pure research proposal that could benefit from a bit more of philosophy, "position," and long term planning._x000D_
_x000D_
_x000D_
</t>
  </si>
  <si>
    <t xml:space="preserve">In the context of the five review elements, please _x000D_
evaluate the strengths and weaknesses of the proposal with respect to intellectual merit._x000D_
_x000D_
This research proposal concerns two fundamental questions in the_x000D_
area of the TRIPODS solicitation:_x000D_
_x000D_
Data Coupling:  When sampling a large population,  the missing data_x000D_
may not be random.  For example, if the population has two main_x000D_
properties, one may have data for primarily for members with one of the_x000D_
properties, but not both.  How can one deal with such a population?_x000D_
_x000D_
Dependent data: the nature of the population may induce a dependence_x000D_
between individual data points. How can this be taken into account?_x000D_
_x000D_
The proposal describes a clear and viable plan for addressing_x000D_
these important problems.  However there are some shortcomings._x000D_
An issue relevant to TRIPODS is the balance between math, stat and CS._x000D_
In my opinion, math is a minor player in the proposed work.  One could_x000D_
have a difference of opinion as to who is considered math vs. stat and_x000D_
CS, but compared to other proposals this one has a limited_x000D_
contribution from math._x000D_
_x000D_
The more severe issue is that this proposal does not describe an_x000D_
Institute in the sense of TRIPODS: it is a research proposal for_x000D_
a group to pursue specific problems over a 3-year period._x000D_
No matter how interesting and worthy are those problems, the lack_x000D_
of a clear description in the proposal for how the project_x000D_
fits TRIPODS, makes this a weak proposal._x000D_
Furthermore, the plans for Phase II are described minimally.  This_x000D_
is problematic since the whole purpose of this solicitation is to_x000D_
ramp-up to Phase II._x000D_
_x000D_
In the context of the five review elements, please _x000D_
evaluate the strengths and weaknesses of the proposal with respect to broader impacts._x000D_
_x000D_
The project intends to train graduate students, teach courses, and_x000D_
develop new courses, all of which are positive broader impacts._x000D_
_x000D_
Please evaluate the strengths and _x000D_
weaknesses of the proposal with respect to any additional solicitation-specific review criteria, if _x000D_
applicable_x000D_
_x000D_
The projects integrates research and training in the sense that PhD_x000D_
students will be involved in the research.  The integration of a_x000D_
course curriculum is less well developed, at least compared to other_x000D_
proposals._x000D_
_x000D_
The proposal touches on many of the TRIPODS themes, but a critical_x000D_
omissions is "developing the capacity of Phase II operations".  This_x000D_
aspect of the proposal is lacking because the proposal does not_x000D_
convey a vision for what are the possibilities of Phase II._x000D_
_x000D_
In addition (and not surprisingly given the previous comment), the_x000D_
evaluation plan is inadequate.  While research products and students_x000D_
are a measure of success, what is needed is an evaluation plan that_x000D_
looks at the *processes and procedures* used to ramp-up and run_x000D_
the institute.  How to you choose people?  What activities should_x000D_
happen initially?  How often should the group evaluate its progress?_x000D_
Those are the question that need to be answered if and Institute is_x000D_
to run well.  This involves frequent date collection, using a_x000D_
variety of instruments, and lots of personal contact and engagement_x000D_
with the participants.  One cannot do formative evaluation just by_x000D_
looking at final products._x000D_
_x000D_
_x000D_
_x000D_
Summary Statement_x000D_
_x000D_
This proposal concerns two interesting and important research problems_x000D_
in the general area of big data.  As a pure research proposal, it is_x000D_
very good.  But as a TRIPODS proposal is is poor because it does not_x000D_
convey a vision for what a TRIPODS Institute could become._x000D_
_x000D_
The data management plan is adequate: posting papers and talk, putting_x000D_
software on GitHub, mailing list for announcements._x000D_
_x000D_
_x000D_
</t>
  </si>
  <si>
    <t xml:space="preserve">In the context of the five review elements, please _x000D_
evaluate the strengths and weaknesses of the proposal with respect to intellectual merit._x000D_
_x000D_
Strength: +_x000D_
Weakness: - _x000D_
_x000D_
+ The proposal identifies two specific research topics that are interesting and appropriate for the solicitation. _x000D_
_x000D_
+ Certain methods about the first two topic have independently appeared in the context of randomized linear algebra and statistics. _x000D_
_x000D_
+ The PIs are well-qualified to perform the research, and they have expertise in the 3 areas. _x000D_
_x000D_
+ The research topics come from industrial applications (health insurance), and bioinformatics. Thus the proposed research addresses two of the broad themes of the solicitation, application-aware research and industry engagement. _x000D_
_x000D_
+ The proposal describes how the synergy between TCS and machine learning will work in one of the topics. _x000D_
_x000D_
- On the other hand, it is not clear how the statistics side will contribute (for instance in the CUR topic). This may reflect the fact that the statistics expertise comes from U Virginia, while the main location of the proposed institute is RPI. This probably indicates that this collaboration requires strengthening (which is however likely to happen because some of the data come from the UV side)_x000D_
_x000D_
- The proposal does include ideas on developing common terminologies and concepts (for the 3 areas), which is a significant problem for data science. In particular, the CUR example which has appeared both in TCS/Appied Math and separately in Statistics is a missed opportunity: it would be nice to come up with a way to use it as an example of breaking this language barrier._x000D_
_x000D_
In the context of the five review elements, please _x000D_
evaluate the strengths and weaknesses of the proposal with respect to broader impacts._x000D_
_x000D_
- The impact in education is standard. The proposal does mention the development of new courses, but the plan does not appear to be very concrete and it certainly does not directly address curricula unification. _x000D_
_x000D_
+ The potential for impact in industrial and scientific applications is very good._x000D_
_x000D_
Please evaluate the strengths and _x000D_
weaknesses of the proposal with respect to any additional solicitation-specific review criteria, if _x000D_
applicable_x000D_
_x000D_
+ RPI and U of Virginia already host centers whose broad mission is related to Data Science. The proposal is to create the TRIPDS institute as part of the existing one at RPI. This makes sense and frees up funds for research. _x000D_
_x000D_
- One would expect that the proposal includes a review of current activities in the host center, and a description of how the proposed institute will integrate and interact with the center. There should also be plans on how to separately advertise and highlight the activities funded by the TRIPODS grant. _x000D_
_x000D_
- The evaluation plans are not concrete. "Readiness for Phase II" is not a good metric, how do you measure it? _x000D_
_x000D_
+ The proposal includes some concrete plans for expansion into Phase II, including a collaboration with IBM and preliminary discussions with potential TRIPODS awardees._x000D_
_x000D_
Summary Statement_x000D_
_x000D_
The proposal has a strong case for intellectual merit, and broader impact to scientific and industrial applications. The proposed institute will operate as part of an existing Center (on Data Science) at RPI. The ability to utilize prior experience and infrastructure is positive. A weak point is that the proposal does not provide sufficient details about the integration and the interaction with the existing Center._x000D_
_x000D_
</t>
  </si>
  <si>
    <t>Nconfl</t>
  </si>
  <si>
    <t xml:space="preserve"> E</t>
  </si>
  <si>
    <t>AF CAREER Panel</t>
  </si>
  <si>
    <t xml:space="preserve"> E/V,V,V/G</t>
  </si>
  <si>
    <t>29 rated projects: 3 HC, 14 C, 11 LC, 1 NC</t>
  </si>
  <si>
    <t xml:space="preserve">qzhangcs@indiana.edu      </t>
  </si>
  <si>
    <t xml:space="preserve"> G</t>
  </si>
  <si>
    <t xml:space="preserve"> E/V</t>
  </si>
  <si>
    <t xml:space="preserve"> E/V ,V,V</t>
  </si>
  <si>
    <t xml:space="preserve"> V</t>
  </si>
  <si>
    <t xml:space="preserve"> E/V,E/V ,V</t>
  </si>
  <si>
    <t xml:space="preserve"> V ,P</t>
  </si>
  <si>
    <t xml:space="preserve"> E,E ,V</t>
  </si>
  <si>
    <t xml:space="preserve">virgi@mit.edu      </t>
  </si>
  <si>
    <t xml:space="preserve"> E,E/V,G</t>
  </si>
  <si>
    <t xml:space="preserve">rothvoss@uw.edu      </t>
  </si>
  <si>
    <t xml:space="preserve"> V,V,V/G</t>
  </si>
  <si>
    <t xml:space="preserve"> E/V,V ,V</t>
  </si>
  <si>
    <t xml:space="preserve">haeupler@cs.cmu.edu      </t>
  </si>
  <si>
    <t xml:space="preserve"> V/G,P</t>
  </si>
  <si>
    <t xml:space="preserve">bjuba@wustl.edu      </t>
  </si>
  <si>
    <t xml:space="preserve"> V/G</t>
  </si>
  <si>
    <t xml:space="preserve">jullman@ccs.neu.edu      </t>
  </si>
  <si>
    <t xml:space="preserve"> E,E/V ,G</t>
  </si>
  <si>
    <t xml:space="preserve">rongge@cs.duke.edu      </t>
  </si>
  <si>
    <t xml:space="preserve"> V/G,V/G,G</t>
  </si>
  <si>
    <t xml:space="preserve">rpeng@cc.gatech.edu      </t>
  </si>
  <si>
    <t xml:space="preserve">hu.nguyen@neu.edu      </t>
  </si>
  <si>
    <t xml:space="preserve"> E/V,E/V,E/V</t>
  </si>
  <si>
    <t xml:space="preserve">donald@engr.uconn.edu      </t>
  </si>
  <si>
    <t xml:space="preserve">anindya.de1@northwestern.edu      </t>
  </si>
  <si>
    <t xml:space="preserve"> E/V,V ,G</t>
  </si>
  <si>
    <t xml:space="preserve"> E/V ,V,V,V/G</t>
  </si>
  <si>
    <t xml:space="preserve">vova@cs.jhu.edu      </t>
  </si>
  <si>
    <t xml:space="preserve">barna@cs.umass.edu      </t>
  </si>
  <si>
    <t xml:space="preserve"> V ,V,V/G</t>
  </si>
  <si>
    <t xml:space="preserve">sesh@ucsc.edu      </t>
  </si>
  <si>
    <t xml:space="preserve"> E/V,E/V,V</t>
  </si>
  <si>
    <t xml:space="preserve">aravindv@northwestern.edu      </t>
  </si>
  <si>
    <t xml:space="preserve"> E  ,V</t>
  </si>
  <si>
    <t xml:space="preserve"> V,V ,P</t>
  </si>
  <si>
    <t xml:space="preserve">wzeng@cs.fiu.edu      </t>
  </si>
  <si>
    <t xml:space="preserve"> E ,V,G</t>
  </si>
  <si>
    <t xml:space="preserve">ecprice@cs.utexas.edu      </t>
  </si>
  <si>
    <t xml:space="preserve"> E ,V,F</t>
  </si>
  <si>
    <t xml:space="preserve"> E,E/V ,V/G</t>
  </si>
  <si>
    <t xml:space="preserve">diakonik@usc.edu      </t>
  </si>
  <si>
    <t xml:space="preserve"> G/F</t>
  </si>
  <si>
    <t xml:space="preserve"> G,G,G/F</t>
  </si>
  <si>
    <t xml:space="preserve"> V ,V  ,G</t>
  </si>
  <si>
    <t>CAREER Applied Math, Computational  Math &amp; Math Bio</t>
  </si>
  <si>
    <t xml:space="preserve"> V/G,G ,F</t>
  </si>
  <si>
    <t>60 rated projects: 7 HC, 17 C, 35 NC, 1 NR</t>
  </si>
  <si>
    <t>Division Of Mathematical Sciences</t>
  </si>
  <si>
    <t>COMPUTATIONAL MATHEMATICS</t>
  </si>
  <si>
    <t>MPS</t>
  </si>
  <si>
    <t>Direct For Mathematical &amp; Physical Scien</t>
  </si>
  <si>
    <t xml:space="preserve">kmcrane@cs.cmu.edu      </t>
  </si>
  <si>
    <t xml:space="preserve"> V,G</t>
  </si>
  <si>
    <t xml:space="preserve"> G,G/F,F</t>
  </si>
  <si>
    <t xml:space="preserve">lukeoeding@gmail.com      </t>
  </si>
  <si>
    <t>TRIPODS Panel 1</t>
  </si>
  <si>
    <t>30 rated projects: 2 HR, 8 R, 11 NR, 9 NDP</t>
  </si>
  <si>
    <t>Transdisciplinary Research in Principles of Data Science Phase I</t>
  </si>
  <si>
    <t>TRIPODS Transdisciplinary Rese</t>
  </si>
  <si>
    <t xml:space="preserve">mshub@ccny.cuny.edu      </t>
  </si>
  <si>
    <t xml:space="preserve"> G,G,F</t>
  </si>
  <si>
    <t xml:space="preserve">ccraini1@jhu.edu;ekaterina.smirnova@mso.umt.edu;fjafari@uwyo.edu    </t>
  </si>
  <si>
    <t xml:space="preserve"> G,F,F</t>
  </si>
  <si>
    <t xml:space="preserve">kfs7@georgetown.edu;cmontel@gwu.edu     </t>
  </si>
  <si>
    <t xml:space="preserve">nalini.ravishanker@uconn.edu;laubenbacher@uchc.edu;lavine@math.umass.edu    </t>
  </si>
  <si>
    <t xml:space="preserve"> F,P,P</t>
  </si>
  <si>
    <t xml:space="preserve">noah_daniels@uri.edu      </t>
  </si>
  <si>
    <t xml:space="preserve"> E/V,V,V</t>
  </si>
  <si>
    <t xml:space="preserve">Jeff_Brock@brown.edu      </t>
  </si>
  <si>
    <t xml:space="preserve">EDELMAN@MATH.MIT.EDU;johnq@jimmy.harvard.edu;gelman@stat.columbia.edu    </t>
  </si>
  <si>
    <t xml:space="preserve">indyk@mit.edu      </t>
  </si>
  <si>
    <t xml:space="preserve"> G/F,G/F,F</t>
  </si>
  <si>
    <t xml:space="preserve">brian@cse.lehigh.edu      </t>
  </si>
  <si>
    <t xml:space="preserve"> V/G,V/G,G/F</t>
  </si>
  <si>
    <t xml:space="preserve">larry@stat.cmu.edu      </t>
  </si>
  <si>
    <t>Nandini Kannan</t>
  </si>
  <si>
    <t xml:space="preserve">xiaoming@isye.gatech.edu      </t>
  </si>
  <si>
    <t xml:space="preserve"> G,G,P</t>
  </si>
  <si>
    <t xml:space="preserve">carbonjo@buffalostate.edu;jsperhac@buffalo.edu;ibichind@oswego.edu;lisa.walters@fredonia.edu;sdang@binghamton.edu  </t>
  </si>
  <si>
    <t xml:space="preserve"> V/G,V/G,V/G</t>
  </si>
  <si>
    <t xml:space="preserve">gmichail@ufl.edu      </t>
  </si>
  <si>
    <t xml:space="preserve">kas410@lehigh.edu;hanliu@princeton.edu;francesco@cs.stonybrook.edu    </t>
  </si>
  <si>
    <t xml:space="preserve"> V,V/G,P</t>
  </si>
  <si>
    <t xml:space="preserve">embree@vt.edu      </t>
  </si>
  <si>
    <t xml:space="preserve">rvidal@cis.jhu.edu      </t>
  </si>
  <si>
    <t xml:space="preserve"> E/V,V/G,F</t>
  </si>
  <si>
    <t xml:space="preserve">sayan@stat.duke.edu      </t>
  </si>
  <si>
    <t xml:space="preserve">eabbe@princeton.edu      </t>
  </si>
  <si>
    <t xml:space="preserve"> V,F,F</t>
  </si>
  <si>
    <t xml:space="preserve">michaelm@eecs.harvard.edu      </t>
  </si>
  <si>
    <t xml:space="preserve"> F,F,F</t>
  </si>
  <si>
    <t xml:space="preserve">mishra@cs.nyu.edu;mitter@mit.edu     </t>
  </si>
  <si>
    <t xml:space="preserve"> G,F/P,F/P</t>
  </si>
  <si>
    <t xml:space="preserve">andersonpe2@cofc.edu      </t>
  </si>
  <si>
    <t xml:space="preserve"> E,E,E/V</t>
  </si>
  <si>
    <t xml:space="preserve">kilianweinberger@cornell.edu      </t>
  </si>
  <si>
    <t xml:space="preserve"> E/V,V/G,G</t>
  </si>
  <si>
    <t xml:space="preserve">cfg3@nyu.edu      </t>
  </si>
  <si>
    <t xml:space="preserve">mcgregor@cs.umass.edu      </t>
  </si>
  <si>
    <t xml:space="preserve"> V,G,G</t>
  </si>
  <si>
    <t xml:space="preserve">plahiri@umd.edu      </t>
  </si>
  <si>
    <t xml:space="preserve"> G,G,G,F,F/P</t>
  </si>
  <si>
    <t xml:space="preserve">ram@usf.edu      </t>
  </si>
  <si>
    <t xml:space="preserve"> E/V,E/V,G</t>
  </si>
  <si>
    <t xml:space="preserve">jw2966@columbia.edu      </t>
  </si>
  <si>
    <t xml:space="preserve">mischaik@math.rutgers.edu      </t>
  </si>
  <si>
    <t xml:space="preserve">orecchia@bu.edu      </t>
  </si>
  <si>
    <t xml:space="preserve"> V,V,P</t>
  </si>
  <si>
    <t xml:space="preserve">byener@gmail.com;kk3ab@virginia.edu     </t>
  </si>
  <si>
    <t>.first line.</t>
  </si>
  <si>
    <t>.please.</t>
  </si>
  <si>
    <t>keep</t>
  </si>
  <si>
    <t>.so.</t>
  </si>
  <si>
    <t>mail</t>
  </si>
  <si>
    <t>merge</t>
  </si>
  <si>
    <t>formatting</t>
  </si>
  <si>
    <t>works..</t>
  </si>
  <si>
    <t>templateFilename_RAt.docx</t>
  </si>
  <si>
    <t>Divn</t>
  </si>
  <si>
    <t>Name for PO signature</t>
  </si>
  <si>
    <t>hum_asur</t>
  </si>
  <si>
    <t>HUM_EXPT</t>
  </si>
  <si>
    <t>vrtb_asur</t>
  </si>
  <si>
    <t>CONT</t>
  </si>
  <si>
    <t>07/13/16</t>
  </si>
  <si>
    <t>FWA00003861</t>
  </si>
  <si>
    <t xml:space="preserve">Spain; Worldwide      </t>
  </si>
  <si>
    <t xml:space="preserve">Germany; Italy; Netherlands; United Kingdom    </t>
  </si>
  <si>
    <t>FWA0001121</t>
  </si>
  <si>
    <t xml:space="preserve">Singapore; Sweden; United Kingdom     </t>
  </si>
  <si>
    <t xml:space="preserve">France; Germany; United Kingdom     </t>
  </si>
  <si>
    <t xml:space="preserve">Germany; Norway; Spain     </t>
  </si>
  <si>
    <t xml:space="preserve">Lithuania; Sweden      </t>
  </si>
  <si>
    <t xml:space="preserve">France; India; Singapore; United Kingdom    </t>
  </si>
  <si>
    <t>pObj</t>
  </si>
  <si>
    <t>bObj</t>
  </si>
  <si>
    <t>01</t>
  </si>
  <si>
    <t>01060000</t>
  </si>
  <si>
    <t>8078</t>
  </si>
  <si>
    <t>LENICHO</t>
  </si>
  <si>
    <t>02</t>
  </si>
  <si>
    <t>03</t>
  </si>
  <si>
    <t>01060100</t>
  </si>
  <si>
    <t>SWEILER</t>
  </si>
  <si>
    <t>04</t>
  </si>
  <si>
    <t>05100002</t>
  </si>
  <si>
    <t>GOWENS</t>
  </si>
  <si>
    <t>047Z 060Z 062Z</t>
  </si>
  <si>
    <t>03060000</t>
  </si>
  <si>
    <t>1253</t>
  </si>
  <si>
    <t>JROBIN</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</si>
  <si>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</si>
  <si>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</si>
  <si>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</si>
  <si>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</si>
  <si>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</si>
  <si>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</si>
  <si>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</si>
  <si>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</si>
  <si>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</si>
  <si>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</si>
  <si>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</si>
  <si>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</si>
  <si>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</si>
  <si>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RApost_note</t>
  </si>
  <si>
    <r>
      <t xml:space="preserve">Signature block: </t>
    </r>
    <r>
      <rPr>
        <sz val="10"/>
        <color theme="5" tint="-0.499984740745262"/>
        <rFont val="Calibri"/>
        <family val="2"/>
        <scheme val="minor"/>
      </rPr>
      <t xml:space="preserve"> PD=managing pgm dir, blank=draft uploader.</t>
    </r>
  </si>
  <si>
    <t>ej</t>
  </si>
  <si>
    <t>@pi</t>
  </si>
  <si>
    <t>@allPIs</t>
  </si>
  <si>
    <t>ckAwd</t>
  </si>
  <si>
    <t>Budgets</t>
  </si>
  <si>
    <t>ckCoding</t>
  </si>
  <si>
    <t>Coding for lead &amp; non-lead</t>
  </si>
  <si>
    <t>Email all PI&amp;co-Pis, or just lead</t>
  </si>
  <si>
    <t>above, or RAData</t>
  </si>
  <si>
    <t>RAData</t>
  </si>
  <si>
    <t>Abstract checked for ?</t>
  </si>
  <si>
    <t>Abstr?marks</t>
  </si>
  <si>
    <t xml:space="preserve"> Proposal has been awarded</t>
  </si>
  <si>
    <t>Proposal hasn't been awarded</t>
  </si>
  <si>
    <t>Where to find:</t>
  </si>
  <si>
    <t>Customize RA draft signer</t>
  </si>
  <si>
    <t>Advanced</t>
  </si>
  <si>
    <t>Budget splits summary</t>
  </si>
  <si>
    <t>Pivot table on ckSplits</t>
  </si>
  <si>
    <t>Proposal PRC checks</t>
  </si>
  <si>
    <t>Human/vertibrate from cover</t>
  </si>
  <si>
    <t>RAData, or edit template</t>
  </si>
  <si>
    <t>Add note to DGA</t>
  </si>
  <si>
    <t xml:space="preserve">Budgets totals, and by year </t>
  </si>
  <si>
    <t>Countries &amp; foreign travel $</t>
  </si>
  <si>
    <t>Research %age</t>
  </si>
  <si>
    <t>PO(7 letters):</t>
  </si>
  <si>
    <t>blocks to copy for RA or budget calculations</t>
  </si>
  <si>
    <t>Glossary of PRC codes</t>
  </si>
  <si>
    <t>Table of EPSCoR states</t>
  </si>
  <si>
    <t>Available RA templates</t>
  </si>
  <si>
    <t>Directory to save RA drafts</t>
  </si>
  <si>
    <t>Project revs, panel summ, etc.</t>
  </si>
  <si>
    <t>pdf from ProjText</t>
  </si>
  <si>
    <t>where to save filled-in RA drafts:</t>
  </si>
  <si>
    <t>ckSplits</t>
  </si>
  <si>
    <t>Budget splits by year/co-funding</t>
  </si>
  <si>
    <t>Count of lead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</si>
</sst>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07">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25" fillId="0" borderId="0" xfId="0" applyFont="1" applyFill="1" applyAlignment="1" applyProtection="1">
      <alignment horizontal="lef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4" fillId="3" borderId="0" xfId="0" applyFont="1" applyFill="1" applyAlignment="1">
      <alignment horizontal="center" vertical="center"/>
    </xf>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0" fillId="0" borderId="0" xfId="0" applyFill="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2">
    <dxf>
      <fill>
        <patternFill>
          <bgColor theme="6" tint="0.79998168889431442"/>
        </patternFill>
      </fill>
    </dxf>
    <dxf>
      <fill>
        <patternFill>
          <bgColor rgb="FFFEFECE"/>
        </patternFill>
      </fill>
    </dxf>
    <dxf>
      <font>
        <b val="0"/>
        <i/>
        <strike val="0"/>
        <color theme="0" tint="-0.34998626667073579"/>
      </font>
    </dxf>
    <dxf>
      <fill>
        <patternFill>
          <bgColor rgb="FFFEEFE2"/>
        </patternFill>
      </fill>
    </dxf>
    <dxf>
      <fill>
        <patternFill>
          <bgColor rgb="FFCCF8F3"/>
        </patternFill>
      </fill>
    </dxf>
    <dxf>
      <fill>
        <patternFill>
          <bgColor rgb="FFEAF3FA"/>
        </patternFill>
      </fill>
    </dxf>
    <dxf>
      <border>
        <top style="thin">
          <color auto="1"/>
        </top>
        <vertical/>
        <horizontal/>
      </border>
    </dxf>
    <dxf>
      <fill>
        <patternFill>
          <bgColor rgb="FFFCEEEE"/>
        </patternFill>
      </fill>
    </dxf>
    <dxf>
      <fill>
        <patternFill>
          <bgColor rgb="FFF9E3E4"/>
        </patternFill>
      </fill>
    </dxf>
    <dxf>
      <fill>
        <patternFill>
          <bgColor rgb="FFDFF5E2"/>
        </patternFill>
      </fill>
    </dxf>
    <dxf>
      <fill>
        <patternFill>
          <bgColor rgb="FFFFD5D5"/>
        </patternFill>
      </fill>
    </dxf>
    <dxf>
      <border>
        <top style="thin">
          <color auto="1"/>
        </top>
        <bottom style="thin">
          <color auto="1"/>
        </bottom>
        <vertical/>
        <horizontal/>
      </border>
    </dxf>
    <dxf>
      <fill>
        <patternFill>
          <bgColor rgb="FFFFFCF3"/>
        </patternFill>
      </fill>
    </dxf>
    <dxf>
      <fill>
        <patternFill>
          <bgColor rgb="FFFCF1C8"/>
        </patternFill>
      </fill>
    </dxf>
    <dxf>
      <fill>
        <patternFill>
          <bgColor theme="5" tint="0.79998168889431442"/>
        </patternFill>
      </fill>
    </dxf>
    <dxf>
      <fill>
        <patternFill>
          <bgColor rgb="FFDDECF7"/>
        </patternFill>
      </fill>
    </dxf>
    <dxf>
      <fill>
        <patternFill>
          <bgColor rgb="FFFFB9B9"/>
        </patternFill>
      </fill>
    </dxf>
    <dxf>
      <fill>
        <patternFill>
          <bgColor rgb="FFFFB9B9"/>
        </patternFill>
      </fill>
    </dxf>
    <dxf>
      <fill>
        <patternFill>
          <bgColor theme="5" tint="0.79998168889431442"/>
        </patternFill>
      </fill>
    </dxf>
    <dxf>
      <fill>
        <patternFill>
          <bgColor rgb="FFFFD1A3"/>
        </patternFill>
      </fill>
    </dxf>
    <dxf>
      <fill>
        <patternFill>
          <bgColor rgb="FFFFAFAF"/>
        </patternFill>
      </fill>
    </dxf>
    <dxf>
      <numFmt numFmtId="0" formatCode="Genera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numFmt numFmtId="0" formatCode="Genera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numFmt numFmtId="27" formatCode="m/d/yyyy\ h:mm"/>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27" formatCode="m/d/yyyy\ h:mm"/>
    </dxf>
    <dxf>
      <numFmt numFmtId="27" formatCode="m/d/yyyy\ h:mm"/>
    </dxf>
    <dxf>
      <numFmt numFmtId="0" formatCode="General"/>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family val="2"/>
        <scheme val="none"/>
      </font>
      <numFmt numFmtId="0" formatCode="General"/>
    </dxf>
    <dxf>
      <font>
        <b val="0"/>
        <i val="0"/>
        <strike val="0"/>
        <condense val="0"/>
        <extend val="0"/>
        <outline val="0"/>
        <shadow val="0"/>
        <u val="none"/>
        <vertAlign val="baseline"/>
        <sz val="11"/>
        <color auto="1"/>
        <name val="Calibri"/>
        <family val="2"/>
        <scheme val="none"/>
      </font>
      <numFmt numFmtId="0" formatCode="General"/>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8" formatCode="mm/dd/yy\ hh:mm"/>
    </dxf>
    <dxf>
      <numFmt numFmtId="168" formatCode="mm/dd/yy\ hh:mm"/>
    </dxf>
    <dxf>
      <numFmt numFmtId="2" formatCode="0.00"/>
    </dxf>
    <dxf>
      <numFmt numFmtId="0" formatCode="General"/>
    </dxf>
    <dxf>
      <numFmt numFmtId="165" formatCode="mm/dd/yy;@"/>
    </dxf>
    <dxf>
      <numFmt numFmtId="0" formatCode="General"/>
    </dxf>
    <dxf>
      <numFmt numFmtId="0" formatCode="General"/>
    </dxf>
    <dxf>
      <numFmt numFmtId="0" formatCode="General"/>
    </dxf>
    <dxf>
      <numFmt numFmtId="168" formatCode="mm/dd/yy\ hh:mm"/>
    </dxf>
    <dxf>
      <numFmt numFmtId="0" formatCode="General"/>
    </dxf>
    <dxf>
      <numFmt numFmtId="0" formatCode="General"/>
    </dxf>
    <dxf>
      <numFmt numFmtId="0" formatCode="General"/>
    </dxf>
    <dxf>
      <numFmt numFmtId="13" formatCode="0%"/>
    </dxf>
    <dxf>
      <numFmt numFmtId="13" formatCode="0%"/>
    </dxf>
    <dxf>
      <numFmt numFmtId="0" formatCode="General"/>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1"/>
      <tableStyleElement type="headerRow" dxfId="280"/>
      <tableStyleElement type="totalRow" dxfId="279"/>
      <tableStyleElement type="firstRowStripe" dxfId="278"/>
    </tableStyle>
    <tableStyle name="OmitTableStyle" pivot="0" count="6">
      <tableStyleElement type="wholeTable" dxfId="277"/>
      <tableStyleElement type="headerRow" dxfId="276"/>
      <tableStyleElement type="totalRow" dxfId="275"/>
      <tableStyleElement type="firstColumn" dxfId="274"/>
      <tableStyleElement type="lastColumn" dxfId="273"/>
      <tableStyleElement type="firstRowStripe" dxfId="272"/>
    </tableStyle>
    <tableStyle name="TableFall" pivot="0" count="4">
      <tableStyleElement type="wholeTable" dxfId="271"/>
      <tableStyleElement type="headerRow" dxfId="270"/>
      <tableStyleElement type="totalRow" dxfId="269"/>
      <tableStyleElement type="firstRowStripe" dxfId="268"/>
    </tableStyle>
    <tableStyle name="TableStyleMedium3 2" pivot="0" count="7">
      <tableStyleElement type="wholeTable" dxfId="267"/>
      <tableStyleElement type="headerRow" dxfId="266"/>
      <tableStyleElement type="totalRow" dxfId="265"/>
      <tableStyleElement type="firstColumn" dxfId="264"/>
      <tableStyleElement type="lastColumn" dxfId="263"/>
      <tableStyleElement type="firstRowStripe" dxfId="262"/>
      <tableStyleElement type="firstColumnStripe" dxfId="261"/>
    </tableStyle>
    <tableStyle name="TableStyleMedium7 2" pivot="0" count="7">
      <tableStyleElement type="wholeTable" dxfId="260"/>
      <tableStyleElement type="headerRow" dxfId="259"/>
      <tableStyleElement type="totalRow" dxfId="258"/>
      <tableStyleElement type="firstColumn" dxfId="257"/>
      <tableStyleElement type="lastColumn" dxfId="256"/>
      <tableStyleElement type="firstRowStripe" dxfId="255"/>
      <tableStyleElement type="firstColumnStripe" dxfId="254"/>
    </tableStyle>
  </tableStyles>
  <colors>
    <mruColors>
      <color rgb="FFFCF1C8"/>
      <color rgb="FFFFAFAF"/>
      <color rgb="FFFFD5D5"/>
      <color rgb="FFFCEEEE"/>
      <color rgb="FFF9E3E4"/>
      <color rgb="FFFFC5C5"/>
      <color rgb="FFFFE1E1"/>
      <color rgb="FFEAF3FA"/>
      <color rgb="FFCCF8F3"/>
      <color rgb="FFDFF5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484414</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12</xdr:col>
          <xdr:colOff>32657</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12</xdr:col>
          <xdr:colOff>136071</xdr:colOff>
          <xdr:row>6</xdr:row>
          <xdr:rowOff>76200</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12</xdr:col>
          <xdr:colOff>32657</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119743</xdr:colOff>
      <xdr:row>0</xdr:row>
      <xdr:rowOff>70758</xdr:rowOff>
    </xdr:from>
    <xdr:to>
      <xdr:col>17</xdr:col>
      <xdr:colOff>234043</xdr:colOff>
      <xdr:row>0</xdr:row>
      <xdr:rowOff>206829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786" y="70758"/>
          <a:ext cx="7658100" cy="1360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you see if there are missing context statements, RAs, differences between the leads&amp;non-leads, or miscodes.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EBC8D272-A27D-4500-B036-CAE02D3AE0C1}"/>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27EC24DC-9F14-40C8-9E6A-95753271E5C6}"/>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E938E8B-5C82-478B-AAD6-3290ED08487C}"/>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489857</xdr:colOff>
      <xdr:row>0</xdr:row>
      <xdr:rowOff>32658</xdr:rowOff>
    </xdr:from>
    <xdr:to>
      <xdr:col>11</xdr:col>
      <xdr:colOff>97971</xdr:colOff>
      <xdr:row>0</xdr:row>
      <xdr:rowOff>195944</xdr:rowOff>
    </xdr:to>
    <xdr:grpSp>
      <xdr:nvGrpSpPr>
        <xdr:cNvPr id="6" name="Group 5">
          <a:extLst>
            <a:ext uri="{FF2B5EF4-FFF2-40B4-BE49-F238E27FC236}">
              <a16:creationId xmlns:a16="http://schemas.microsoft.com/office/drawing/2014/main" id="{B6BEA8B1-3F8B-4D6D-B03D-410E03C66C33}"/>
            </a:ext>
          </a:extLst>
        </xdr:cNvPr>
        <xdr:cNvGrpSpPr/>
      </xdr:nvGrpSpPr>
      <xdr:grpSpPr>
        <a:xfrm>
          <a:off x="489857" y="32658"/>
          <a:ext cx="6003471" cy="163286"/>
          <a:chOff x="293914" y="32658"/>
          <a:chExt cx="6003471" cy="163286"/>
        </a:xfrm>
      </xdr:grpSpPr>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93914" y="32658"/>
            <a:ext cx="5867400" cy="163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a:t>
            </a:r>
            <a:r>
              <a:rPr lang="en-US" sz="1100" baseline="0"/>
              <a:t>check for differences to proposal info. Summary in pivot table at right </a:t>
            </a:r>
            <a:endParaRPr lang="en-US" sz="1100"/>
          </a:p>
        </xdr:txBody>
      </xdr:sp>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6095999" y="43542"/>
            <a:ext cx="201386"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9ADCD72F-E8CA-4AAC-BD1C-DFB5D8ACD967}"/>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AA8E921-DCBD-4758-9F1B-8AE0ECF815B4}"/>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F1DF2A9F-A434-4379-9079-F9CA0767DA9C}"/>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macro="[0]!ClearQueryParams">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163286</xdr:colOff>
          <xdr:row>0</xdr:row>
          <xdr:rowOff>65314</xdr:rowOff>
        </xdr:from>
        <xdr:to>
          <xdr:col>16</xdr:col>
          <xdr:colOff>892629</xdr:colOff>
          <xdr:row>0</xdr:row>
          <xdr:rowOff>321129</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D1ABA032-AD6F-4B01-A0FE-F286B10417B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3.705098032406" createdVersion="6" refreshedVersion="6" minRefreshableVersion="3" recordCount="72">
  <cacheSource type="worksheet">
    <worksheetSource name="ckSplitTable"/>
  </cacheSource>
  <cacheFields count="34">
    <cacheField name="dd_rcom_date" numFmtId="165">
      <sharedItems containsSemiMixedTypes="0" containsNonDate="0" containsDate="1" containsString="0" minDate="2016-12-20T11:43:13" maxDate="2017-07-20T16:48:52"/>
    </cacheField>
    <cacheField name="nsf_rcvd_date" numFmtId="165">
      <sharedItems containsSemiMixedTypes="0" containsNonDate="0" containsDate="1" containsString="0" minDate="2016-07-19T18:40:00" maxDate="2017-03-15T16:52:00"/>
    </cacheField>
    <cacheField name="cntx_stmt_id" numFmtId="0">
      <sharedItems/>
    </cacheField>
    <cacheField name="pgm_annc_id" numFmtId="0">
      <sharedItems/>
    </cacheField>
    <cacheField name="pOrg" numFmtId="0">
      <sharedItems/>
    </cacheField>
    <cacheField name="bOrg" numFmtId="0">
      <sharedItems/>
    </cacheField>
    <cacheField name="pPEC" numFmtId="0">
      <sharedItems/>
    </cacheField>
    <cacheField name="bPEC" numFmtId="0">
      <sharedItems count="5">
        <s v="7796"/>
        <s v="8078"/>
        <s v="041Y"/>
        <s v="9150"/>
        <s v="1253"/>
      </sharedItems>
    </cacheField>
    <cacheField name="pPO" numFmtId="0">
      <sharedItems/>
    </cacheField>
    <cacheField name="bPO" numFmtId="0">
      <sharedItems/>
    </cacheField>
    <cacheField name="prop_stts_abbr" numFmtId="0">
      <sharedItems/>
    </cacheField>
    <cacheField name="natr_rqst_abbr" numFmtId="22">
      <sharedItems/>
    </cacheField>
    <cacheField name="pObj" numFmtId="22">
      <sharedItems/>
    </cacheField>
    <cacheField name="bObj" numFmtId="22">
      <sharedItems/>
    </cacheField>
    <cacheField name="rcom_istr_abbr" numFmtId="22">
      <sharedItems/>
    </cacheField>
    <cacheField name="0" numFmtId="0">
      <sharedItems containsSemiMixedTypes="0" containsString="0" containsNumber="1" containsInteger="1" minValue="1" maxValue="15"/>
    </cacheField>
    <cacheField name="ILN" numFmtId="22">
      <sharedItems/>
    </cacheField>
    <cacheField name="lead" numFmtId="22">
      <sharedItems/>
    </cacheField>
    <cacheField name="eJ" numFmtId="22">
      <sharedItems/>
    </cacheField>
    <cacheField name="Div" numFmtId="22">
      <sharedItems/>
    </cacheField>
    <cacheField name="prop_id" numFmtId="22">
      <sharedItems count="15">
        <s v="1651838"/>
        <s v="1651861"/>
        <s v="1652218"/>
        <s v="1652257"/>
        <s v="1652303"/>
        <s v="1652491"/>
        <s v="1652862"/>
        <s v="1740741"/>
        <s v="1740751"/>
        <s v="1740776"/>
        <s v="1740796"/>
        <s v="1740735"/>
        <s v="1740762"/>
        <s v="1740822"/>
        <s v="1740833"/>
      </sharedItems>
    </cacheField>
    <cacheField name="pi_last_name" numFmtId="22">
      <sharedItems count="15">
        <s v="Williams"/>
        <s v="Rothvoss"/>
        <s v="Sheehy"/>
        <s v="Braverman"/>
        <s v="Saha"/>
        <s v="Vijayaraghavan"/>
        <s v="Diakonikolas"/>
        <s v="Brock"/>
        <s v="Indyk"/>
        <s v="Huo"/>
        <s v="Scheinberg"/>
        <s v="Liu"/>
        <s v="Orabona"/>
        <s v="Weinberger"/>
        <s v="Wright"/>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budg_yr" numFmtId="0">
      <sharedItems containsSemiMixedTypes="0" containsString="0" containsNumber="1" containsInteger="1" minValue="2017" maxValue="2021" count="5">
        <n v="2017"/>
        <n v="2019"/>
        <n v="2020"/>
        <n v="2021"/>
        <n v="2018"/>
      </sharedItems>
    </cacheField>
    <cacheField name="splt_id" numFmtId="22">
      <sharedItems/>
    </cacheField>
    <cacheField name="budg_splt_tot_dol" numFmtId="169">
      <sharedItems containsSemiMixedTypes="0" containsString="0" containsNumber="1" containsInteger="1" minValue="45538" maxValue="500000"/>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74.517261111112" createdVersion="6" refreshedVersion="6" minRefreshableVersion="3" recordCount="91">
  <cacheSource type="worksheet">
    <worksheetSource name="RADataTable"/>
  </cacheSource>
  <cacheFields count="132">
    <cacheField name="dd_rcom_date" numFmtId="165">
      <sharedItems containsNonDate="0" containsDate="1" containsString="0" containsBlank="1" minDate="2000-01-01T00:00:00" maxDate="2017-08-10T16:18:13"/>
    </cacheField>
    <cacheField name="nsf_rcvd_date" numFmtId="168">
      <sharedItems containsSemiMixedTypes="0" containsNonDate="0" containsDate="1" containsString="0" minDate="2000-01-01T00:00:00" maxDate="2017-08-09T17:5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17-08-10T14:51:09"/>
    </cacheField>
    <cacheField name="nPanl" numFmtId="0">
      <sharedItems containsSemiMixedTypes="0" containsString="0" containsNumber="1" containsInteger="1" minValue="0" maxValue="2"/>
    </cacheField>
    <cacheField name="RecRkMin" numFmtId="2">
      <sharedItems containsSemiMixedTypes="0" containsString="0" containsNumber="1" minValue="-0.99999998999999995" maxValue="4.29"/>
    </cacheField>
    <cacheField name="rec0" numFmtId="0">
      <sharedItems/>
    </cacheField>
    <cacheField name="rec1" numFmtId="0">
      <sharedItems containsBlank="1"/>
    </cacheField>
    <cacheField name="rec2" numFmtId="0">
      <sharedItems containsBlank="1"/>
    </cacheField>
    <cacheField name="RAtemplate" numFmtId="49">
      <sharedItems count="5">
        <s v="templateFilename_RAt.docx"/>
        <s v=" "/>
        <s v="Awd RAt.docx"/>
        <s v="Decline RAt.docx"/>
        <s v="Std Decline RAt.docx"/>
      </sharedItems>
    </cacheField>
    <cacheField name="Radraft_filename" numFmtId="49">
      <sharedItems/>
    </cacheField>
    <cacheField name="RApre_note" numFmtId="49">
      <sharedItems containsNonDate="0" containsString="0" containsBlank="1"/>
    </cacheField>
    <cacheField name="RApost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7"/>
    </cacheField>
    <cacheField name="Nunmkd" numFmtId="0">
      <sharedItems containsString="0" containsBlank="1" containsNumber="1" containsInteger="1" minValue="0" maxValue="5"/>
    </cacheField>
    <cacheField name="Nunrlsbl" numFmtId="0">
      <sharedItems containsString="0" containsBlank="1" containsNumber="1" containsInteger="1" minValue="0" maxValue="1"/>
    </cacheField>
    <cacheField name="minScore" numFmtId="0">
      <sharedItems containsSemiMixedTypes="0" containsString="0" containsNumber="1" containsInteger="1" minValue="1" maxValue="8"/>
    </cacheField>
    <cacheField name="avg_score" numFmtId="2">
      <sharedItems containsSemiMixedTypes="0" containsString="0" containsNumber="1" minValue="1.6666666666666667" maxValue="8.6666666666666661"/>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0-24T16:13:00"/>
    </cacheField>
    <cacheField name="rqst_tot" numFmtId="166">
      <sharedItems containsSemiMixedTypes="0" containsString="0" containsNumber="1" containsInteger="1" minValue="148477" maxValue="99999999"/>
    </cacheField>
    <cacheField name="budg_tot" numFmtId="166">
      <sharedItems containsSemiMixedTypes="0" containsString="0" containsNumber="1" containsInteger="1" minValue="148477" maxValue="99999999"/>
    </cacheField>
    <cacheField name="budRevnMax" numFmtId="0">
      <sharedItems containsSemiMixedTypes="0" containsString="0" containsNumber="1" containsInteger="1" minValue="0" maxValue="2"/>
    </cacheField>
    <cacheField name="rqst_eff_date" numFmtId="165">
      <sharedItems containsSemiMixedTypes="0" containsNonDate="0" containsDate="1" containsString="0" minDate="2000-01-01T00:00:00" maxDate="2018-09-02T00:00:00"/>
    </cacheField>
    <cacheField name="rqst_mnth_cnt" numFmtId="0">
      <sharedItems containsSemiMixedTypes="0" containsString="0" containsNumber="1" containsInteger="1" minValue="24" maxValue="60"/>
    </cacheField>
    <cacheField name="prop_titl_txt" numFmtId="0">
      <sharedItems/>
    </cacheField>
    <cacheField name="AhNrev" numFmtId="0">
      <sharedItems containsString="0" containsBlank="1" containsNumber="1" containsInteger="1" minValue="0" maxValue="2"/>
    </cacheField>
    <cacheField name="AhRevs" numFmtId="0">
      <sharedItems containsBlank="1"/>
    </cacheField>
    <cacheField name="AhLast" numFmtId="165">
      <sharedItems containsNonDate="0" containsDate="1" containsString="0" containsBlank="1" minDate="2000-01-01T00:00:00" maxDate="2016-10-17T01:45:00"/>
    </cacheField>
    <cacheField name="panl_id0" numFmtId="0">
      <sharedItems/>
    </cacheField>
    <cacheField name="RCOM_TXT0" numFmtId="0">
      <sharedItems/>
    </cacheField>
    <cacheField name="rank0" numFmtId="0">
      <sharedItems containsSemiMixedTypes="0" containsString="0" containsNumber="1" containsInteger="1" minValue="1" maxValue="99"/>
    </cacheField>
    <cacheField name="panl_name0" numFmtId="0">
      <sharedItems/>
    </cacheField>
    <cacheField name="panl_end0" numFmtId="165">
      <sharedItems containsSemiMixedTypes="0" containsNonDate="0" containsDate="1" containsString="0" minDate="2000-01-01T00:00:00" maxDate="2017-10-25T00:00:00"/>
    </cacheField>
    <cacheField name="revs0" numFmtId="0">
      <sharedItems/>
    </cacheField>
    <cacheField name="PanlString0" numFmtId="0">
      <sharedItems/>
    </cacheField>
    <cacheField name="pnlst0" numFmtId="0">
      <sharedItems containsSemiMixedTypes="0" containsString="0" containsNumber="1" containsInteger="1" minValue="0" maxValue="14"/>
    </cacheField>
    <cacheField name="confl0" numFmtId="0">
      <sharedItems containsSemiMixedTypes="0" containsString="0" containsNumber="1" containsInteger="1" minValue="0" maxValue="3"/>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6-10-29T00:00:00"/>
    </cacheField>
    <cacheField name="revs1" numFmtId="0">
      <sharedItems containsBlank="1"/>
    </cacheField>
    <cacheField name="PanlString1" numFmtId="0">
      <sharedItems containsBlank="1"/>
    </cacheField>
    <cacheField name="pnlst1" numFmtId="0">
      <sharedItems containsSemiMixedTypes="0" containsString="0" containsNumber="1" containsInteger="1" minValue="0" maxValue="14"/>
    </cacheField>
    <cacheField name="confl1" numFmtId="0">
      <sharedItems containsSemiMixedTypes="0" containsString="0" containsNumber="1" containsInteger="1" minValue="0" maxValue="3"/>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emiMixedTypes="0" containsString="0" containsNumber="1" containsInteger="1" minValue="0" maxValue="14"/>
    </cacheField>
    <cacheField name="confl2" numFmtId="0">
      <sharedItems containsSemiMixedTypes="0" containsString="0" containsNumber="1" containsInteger="1" minValue="0" maxValue="3"/>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148477" maxValue="99999999"/>
    </cacheField>
    <cacheField name="b0tot" numFmtId="166">
      <sharedItems containsSemiMixedTypes="0" containsString="0" containsNumber="1" containsInteger="1" minValue="148477"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209549" maxValue="99999999"/>
    </cacheField>
    <cacheField name="b1tot" numFmtId="166">
      <sharedItems containsString="0" containsBlank="1" containsNumber="1" containsInteger="1" minValue="209549"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288482" maxValue="99999999"/>
    </cacheField>
    <cacheField name="b2tot" numFmtId="166">
      <sharedItems containsString="0" containsBlank="1" containsNumber="1" containsInteger="1" minValue="288482"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248472" maxValue="99999999"/>
    </cacheField>
    <cacheField name="b3tot" numFmtId="166">
      <sharedItems containsString="0" containsBlank="1" containsNumber="1" containsInteger="1" minValue="248472"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393365" maxValue="99999999"/>
    </cacheField>
    <cacheField name="b4tot" numFmtId="166">
      <sharedItems containsString="0" containsBlank="1" containsNumber="1" containsInteger="1" minValue="393365"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ontainsBlank="1"/>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04T22:07:29"/>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0"/>
    <s v="01"/>
    <n v="179656"/>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1"/>
    <s v="01"/>
    <n v="71041"/>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2"/>
    <s v="01"/>
    <n v="73514"/>
    <s v="Proposal has been awarded"/>
    <s v="CAREER:Matrix Products: Algorithms and Applications"/>
  </r>
  <r>
    <d v="2017-03-21T15:02:30"/>
    <d v="2016-07-19T18:40:00"/>
    <s v="CAR16-17"/>
    <s v="NSF 15-555"/>
    <s v="05010000"/>
    <s v="05010000"/>
    <s v="7796"/>
    <x v="0"/>
    <s v="TKIMBRE"/>
    <s v="TKIMBRE"/>
    <s v="AWD"/>
    <s v="NEW"/>
    <s v="4110"/>
    <s v="4110"/>
    <s v="CONT"/>
    <n v="1"/>
    <s v="I"/>
    <s v="1651838"/>
    <s v="eJ"/>
    <s v="CCF"/>
    <x v="0"/>
    <x v="0"/>
    <s v="Virginia"/>
    <s v="MIT"/>
    <s v="virgi@mit.edu"/>
    <s v="virgi@mit.edu"/>
    <s v="1045 7926"/>
    <s v="1045 7926"/>
    <s v="1651838"/>
    <x v="3"/>
    <s v="01"/>
    <n v="75789"/>
    <s v="Proposal has been awarded"/>
    <s v="CAREER:Matrix Products: Algorithms and Application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0"/>
    <s v="01"/>
    <n v="17829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1"/>
    <s v="01"/>
    <n v="111530"/>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2"/>
    <s v="01"/>
    <n v="114613"/>
    <s v="Proposal has been awarded"/>
    <s v="CAREER: Approximation Algorithms via SDP hierarchies"/>
  </r>
  <r>
    <d v="2016-12-20T12:14:14"/>
    <d v="2016-07-19T20:10:00"/>
    <s v="CAR16-17"/>
    <s v="NSF 15-555"/>
    <s v="05010000"/>
    <s v="05010000"/>
    <s v="7796"/>
    <x v="0"/>
    <s v="RSHAH"/>
    <s v="RSHAH"/>
    <s v="AWD"/>
    <s v="NEW"/>
    <s v="4110"/>
    <s v="4110"/>
    <s v="CONT"/>
    <n v="2"/>
    <s v="I"/>
    <s v="1651861"/>
    <s v="eJ"/>
    <s v="CCF"/>
    <x v="1"/>
    <x v="1"/>
    <s v="Thomas"/>
    <s v="U of Washington"/>
    <s v="rothvoss@uw.edu"/>
    <s v="rothvoss@uw.edu"/>
    <s v="1045 7926"/>
    <s v="1045 7926"/>
    <s v="1651861"/>
    <x v="3"/>
    <s v="01"/>
    <n v="117803"/>
    <s v="Proposal has been awarded"/>
    <s v="CAREER: Approximation Algorithms via SDP hierarchie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0"/>
    <s v="01"/>
    <n v="223632"/>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1"/>
    <s v="01"/>
    <n v="118221"/>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2"/>
    <s v="01"/>
    <n v="117257"/>
    <s v="Proposal has been awarded"/>
    <s v="CAREER: Algorithmic Challenges and Opportunities in Spatial Data Analysis"/>
  </r>
  <r>
    <d v="2017-01-05T09:43:11"/>
    <d v="2016-07-20T13:32:00"/>
    <s v="CAR16-17"/>
    <s v="NSF 15-555"/>
    <s v="05010000"/>
    <s v="05010000"/>
    <s v="7796"/>
    <x v="0"/>
    <s v="JSNOEYI"/>
    <s v="JSNOEYI"/>
    <s v="AWD"/>
    <s v="NEW"/>
    <s v="4110"/>
    <s v="4110"/>
    <s v="CONT"/>
    <n v="3"/>
    <s v="I"/>
    <s v="1652218"/>
    <s v="eJ"/>
    <s v="CCF"/>
    <x v="2"/>
    <x v="2"/>
    <s v="Donald"/>
    <s v="Univ of Connecticut"/>
    <s v="donald@engr.uconn.edu"/>
    <s v="donald@engr.uconn.edu"/>
    <s v="1045 7929"/>
    <s v="1045 7929"/>
    <s v="1652218"/>
    <x v="3"/>
    <s v="01"/>
    <n v="52319"/>
    <s v="Proposal has been awarded"/>
    <s v="CAREER: Algorithmic Challenges and Opportunities in Spatial Data Analysi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0"/>
    <s v="01"/>
    <n v="106359"/>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4"/>
    <s v="01"/>
    <n v="106836"/>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1"/>
    <s v="01"/>
    <n v="109771"/>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2"/>
    <s v="01"/>
    <n v="112792"/>
    <s v="Proposal has been awarded"/>
    <s v="CAREER: New Methods for Central Streaming Problems"/>
  </r>
  <r>
    <d v="2016-12-20T12:57:18"/>
    <d v="2016-07-20T13:50:00"/>
    <s v="CAR16-17"/>
    <s v="NSF 15-555"/>
    <s v="05010000"/>
    <s v="05010000"/>
    <s v="7796"/>
    <x v="0"/>
    <s v="RSHAH"/>
    <s v="RSHAH"/>
    <s v="AWD"/>
    <s v="NEW"/>
    <s v="4110"/>
    <s v="4110"/>
    <s v="CONT"/>
    <n v="4"/>
    <s v="I"/>
    <s v="1652257"/>
    <s v="eJ"/>
    <s v="CCF"/>
    <x v="3"/>
    <x v="3"/>
    <s v="Vladimir"/>
    <s v="Johns Hopkins University"/>
    <s v="vova@cs.jhu.edu"/>
    <s v="vova@cs.jhu.edu"/>
    <s v="1045 7926"/>
    <s v="1045 7926"/>
    <s v="1652257"/>
    <x v="3"/>
    <s v="01"/>
    <n v="64242"/>
    <s v="Proposal has been awarded"/>
    <s v="CAREER: New Methods for Central Streaming Proble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0"/>
    <s v="01"/>
    <n v="207336"/>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1"/>
    <s v="01"/>
    <n v="11051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2"/>
    <s v="01"/>
    <n v="114184"/>
    <s v="Proposal has been awarded"/>
    <s v="CAREER: Efficient Fine-grained Algorithms"/>
  </r>
  <r>
    <d v="2016-12-20T11:43:13"/>
    <d v="2016-07-20T14:13:00"/>
    <s v="CAR16-17"/>
    <s v="NSF 15-555"/>
    <s v="05010000"/>
    <s v="05010000"/>
    <s v="7796"/>
    <x v="0"/>
    <s v="RSHAH"/>
    <s v="RSHAH"/>
    <s v="AWD"/>
    <s v="NEW"/>
    <s v="4110"/>
    <s v="4110"/>
    <s v="CONT"/>
    <n v="5"/>
    <s v="I"/>
    <s v="1652303"/>
    <s v="eJ"/>
    <s v="CCF"/>
    <x v="4"/>
    <x v="4"/>
    <s v="Barna"/>
    <s v="U of Massachusetts Amherst"/>
    <s v="barna@cs.umass.edu"/>
    <s v="barna@cs.umass.edu"/>
    <s v="1045 7926"/>
    <s v="1045 7926"/>
    <s v="1652303"/>
    <x v="3"/>
    <s v="01"/>
    <n v="117952"/>
    <s v="Proposal has been awarded"/>
    <s v="CAREER: Efficient Fine-grained Algorithms"/>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0"/>
    <s v="01"/>
    <n v="55436"/>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4"/>
    <s v="01"/>
    <n v="100269"/>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1"/>
    <s v="01"/>
    <n v="106032"/>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2"/>
    <s v="01"/>
    <n v="106795"/>
    <s v="Proposal has been awarded"/>
    <s v="CAREER: Beyond Worst-Case Analysis: New Approaches in Approximation Algorithms and Machine Learning"/>
  </r>
  <r>
    <d v="2017-03-08T16:47:54"/>
    <d v="2016-07-20T15:23:00"/>
    <s v="CAR16-17"/>
    <s v="NSF 15-555"/>
    <s v="05010000"/>
    <s v="05010000"/>
    <s v="7796"/>
    <x v="0"/>
    <s v="TKIMBRE"/>
    <s v="TKIMBRE"/>
    <s v="AWD"/>
    <s v="NEW"/>
    <s v="4110"/>
    <s v="4110"/>
    <s v="CONT"/>
    <n v="6"/>
    <s v="I"/>
    <s v="1652491"/>
    <s v="eJ"/>
    <s v="CCF"/>
    <x v="5"/>
    <x v="5"/>
    <s v="Aravindan"/>
    <s v="Northwestern University"/>
    <s v="aravindv@northwestern.edu"/>
    <s v="aravindv@northwestern.edu"/>
    <s v="1045 7926"/>
    <s v="1045 7926"/>
    <s v="1652491"/>
    <x v="3"/>
    <s v="01"/>
    <n v="136719"/>
    <s v="Proposal has been awarded"/>
    <s v="CAREER: Beyond Worst-Case Analysis: New Approaches in Approximation Algorithms and Machine Learning"/>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0"/>
    <s v="01"/>
    <n v="20675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1"/>
    <s v="01"/>
    <n v="108540"/>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2"/>
    <s v="01"/>
    <n v="110517"/>
    <s v="Proposal has been awarded"/>
    <s v="CAREER: Efficient Algorithms for Learning and Testing Structured Probabilistic Models"/>
  </r>
  <r>
    <d v="2016-12-20T15:27:38"/>
    <d v="2016-07-20T17:37:00"/>
    <s v="CAR16-17"/>
    <s v="NSF 15-555"/>
    <s v="05010000"/>
    <s v="05010000"/>
    <s v="7796"/>
    <x v="0"/>
    <s v="TKIMBRE"/>
    <s v="TKIMBRE"/>
    <s v="AWD"/>
    <s v="NEW"/>
    <s v="4110"/>
    <s v="4110"/>
    <s v="CONT"/>
    <n v="7"/>
    <s v="I"/>
    <s v="1652862"/>
    <s v="eJ"/>
    <s v="CCF"/>
    <x v="6"/>
    <x v="6"/>
    <s v="Ilias"/>
    <s v="U of Southern California"/>
    <s v="diakonik@usc.edu"/>
    <s v="diakonik@usc.edu"/>
    <s v="1045 7926"/>
    <s v="1045 7926"/>
    <s v="1652862"/>
    <x v="3"/>
    <s v="01"/>
    <n v="114193"/>
    <s v="Proposal has been awarded"/>
    <s v="CAREER: Efficient Algorithms for Learning and Testing Structured Probabilistic Models"/>
  </r>
  <r>
    <d v="2017-07-17T11:25:15"/>
    <d v="2017-03-15T11:24:00"/>
    <s v="FY17TRIPOD"/>
    <s v="NSF 16-615"/>
    <s v="05010000"/>
    <s v="01060000"/>
    <s v="041Y"/>
    <x v="1"/>
    <s v="JSNOEYI"/>
    <s v="LENICHO"/>
    <s v="AWD"/>
    <s v="NEW"/>
    <s v="4110"/>
    <s v="4110"/>
    <s v="STND"/>
    <n v="8"/>
    <s v="I"/>
    <s v="1740741"/>
    <s v="eJ"/>
    <s v="CCF"/>
    <x v="7"/>
    <x v="7"/>
    <s v="Jeffrey"/>
    <s v="Brown University"/>
    <s v="Jeff_Brock@brown.edu"/>
    <s v="Jeff_Brock@brown.edu"/>
    <s v="047Z 060Z 062Z 9150"/>
    <s v="047Z 060Z 062Z 9150"/>
    <s v="1740741"/>
    <x v="0"/>
    <s v="01"/>
    <n v="300000"/>
    <s v="Proposal has been awarded"/>
    <s v="Foundations of Model Driven Discovery from Massive Data"/>
  </r>
  <r>
    <d v="2017-07-17T11:25:15"/>
    <d v="2017-03-15T11:24:00"/>
    <s v="FY17TRIPOD"/>
    <s v="NSF 16-615"/>
    <s v="05010000"/>
    <s v="05010000"/>
    <s v="041Y"/>
    <x v="2"/>
    <s v="JSNOEYI"/>
    <s v="JSNOEYI"/>
    <s v="AWD"/>
    <s v="NEW"/>
    <s v="4110"/>
    <s v="4110"/>
    <s v="STND"/>
    <n v="8"/>
    <s v="I"/>
    <s v="1740741"/>
    <s v="eJ"/>
    <s v="CCF"/>
    <x v="7"/>
    <x v="7"/>
    <s v="Jeffrey"/>
    <s v="Brown University"/>
    <s v="Jeff_Brock@brown.edu"/>
    <s v="Jeff_Brock@brown.edu"/>
    <s v="047Z 060Z 062Z 9150"/>
    <s v="047Z 060Z 062Z 9150"/>
    <s v="1740741"/>
    <x v="0"/>
    <s v="02"/>
    <n v="441088"/>
    <s v="Proposal has been awarded"/>
    <s v="Foundations of Model Driven Discovery from Massive Data"/>
  </r>
  <r>
    <d v="2017-07-17T11:25:15"/>
    <d v="2017-03-15T11:24:00"/>
    <s v="FY17TRIPOD"/>
    <s v="NSF 16-615"/>
    <s v="05010000"/>
    <s v="03040000"/>
    <s v="041Y"/>
    <x v="2"/>
    <s v="JSNOEYI"/>
    <s v="NAKANNA"/>
    <s v="AWD"/>
    <s v="NEW"/>
    <s v="4110"/>
    <s v="4110"/>
    <s v="STND"/>
    <n v="8"/>
    <s v="I"/>
    <s v="1740741"/>
    <s v="eJ"/>
    <s v="CCF"/>
    <x v="7"/>
    <x v="7"/>
    <s v="Jeffrey"/>
    <s v="Brown University"/>
    <s v="Jeff_Brock@brown.edu"/>
    <s v="Jeff_Brock@brown.edu"/>
    <s v="047Z 060Z 062Z 9150"/>
    <s v="047Z 060Z 062Z 9150"/>
    <s v="1740741"/>
    <x v="0"/>
    <s v="03"/>
    <n v="441089"/>
    <s v="Proposal has been awarded"/>
    <s v="Foundations of Model Driven Discovery from Massive Data"/>
  </r>
  <r>
    <d v="2017-07-17T11:25:15"/>
    <d v="2017-03-15T11:24:00"/>
    <s v="FY17TRIPOD"/>
    <s v="NSF 16-615"/>
    <s v="05010000"/>
    <s v="01060100"/>
    <s v="041Y"/>
    <x v="3"/>
    <s v="JSNOEYI"/>
    <s v="SWEILER"/>
    <s v="AWD"/>
    <s v="NEW"/>
    <s v="4110"/>
    <s v="4110"/>
    <s v="STND"/>
    <n v="8"/>
    <s v="I"/>
    <s v="1740741"/>
    <s v="eJ"/>
    <s v="CCF"/>
    <x v="7"/>
    <x v="7"/>
    <s v="Jeffrey"/>
    <s v="Brown University"/>
    <s v="Jeff_Brock@brown.edu"/>
    <s v="Jeff_Brock@brown.edu"/>
    <s v="047Z 060Z 062Z 9150"/>
    <s v="047Z 060Z 062Z 9150"/>
    <s v="1740741"/>
    <x v="0"/>
    <s v="04"/>
    <n v="300000"/>
    <s v="Proposal has been awarded"/>
    <s v="Foundations of Model Driven Discovery from Massive Data"/>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0"/>
    <s v="01"/>
    <n v="18425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0"/>
    <s v="02"/>
    <n v="18425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4"/>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4"/>
    <s v="02"/>
    <n v="250000"/>
    <s v="Proposal has been awarded"/>
    <s v="TRIPODS: Institute for Foundations of Data Science (IFDS)"/>
  </r>
  <r>
    <d v="2017-07-18T12:25:55"/>
    <d v="2017-03-15T12:08:00"/>
    <s v="FY17TRIPOD"/>
    <s v="NSF 16-615"/>
    <s v="05010000"/>
    <s v="05010000"/>
    <s v="041Y"/>
    <x v="2"/>
    <s v="TKIMBRE"/>
    <s v="TKIMBRE"/>
    <s v="AWD"/>
    <s v="NEW"/>
    <s v="4110"/>
    <s v="4110"/>
    <s v="CONT"/>
    <n v="9"/>
    <s v="I"/>
    <s v="1740751"/>
    <s v="eJ"/>
    <s v="CCF"/>
    <x v="8"/>
    <x v="8"/>
    <s v="Piotr"/>
    <s v="MIT"/>
    <s v="indyk@mit.edu"/>
    <s v="indyk@mit.edu"/>
    <s v="047Z 062Z"/>
    <s v="047Z 062Z"/>
    <s v="1740751"/>
    <x v="1"/>
    <s v="01"/>
    <n v="250000"/>
    <s v="Proposal has been awarded"/>
    <s v="TRIPODS: Institute for Foundations of Data Science (IFDS)"/>
  </r>
  <r>
    <d v="2017-07-18T12:25:55"/>
    <d v="2017-03-15T12:08:00"/>
    <s v="FY17TRIPOD"/>
    <s v="NSF 16-615"/>
    <s v="05010000"/>
    <s v="03040000"/>
    <s v="041Y"/>
    <x v="2"/>
    <s v="TKIMBRE"/>
    <s v="NAKANNA"/>
    <s v="AWD"/>
    <s v="NEW"/>
    <s v="4110"/>
    <s v="4110"/>
    <s v="CONT"/>
    <n v="9"/>
    <s v="I"/>
    <s v="1740751"/>
    <s v="eJ"/>
    <s v="CCF"/>
    <x v="8"/>
    <x v="8"/>
    <s v="Piotr"/>
    <s v="MIT"/>
    <s v="indyk@mit.edu"/>
    <s v="indyk@mit.edu"/>
    <s v="047Z 062Z"/>
    <s v="047Z 062Z"/>
    <s v="1740751"/>
    <x v="1"/>
    <s v="02"/>
    <n v="250000"/>
    <s v="Proposal has been awarded"/>
    <s v="TRIPODS: Institute for Foundations of Data Science (IFDS)"/>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0"/>
    <s v="01"/>
    <n v="50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4"/>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4"/>
    <s v="02"/>
    <n v="250000"/>
    <s v="Proposal has been awarded"/>
    <s v="TRIPODS: Transdisciplinary Research Institute for Advancing Data Science (TRIAD)"/>
  </r>
  <r>
    <d v="2017-07-14T10:52:10"/>
    <d v="2017-03-15T14:14:00"/>
    <s v="FY17TRIPOD"/>
    <s v="NSF 16-615"/>
    <s v="05010000"/>
    <s v="05100002"/>
    <s v="041Y"/>
    <x v="2"/>
    <s v="NAKANNA"/>
    <s v="GOWENS"/>
    <s v="AWD"/>
    <s v="NEW"/>
    <s v="4110"/>
    <s v="4110"/>
    <s v="CONT"/>
    <n v="10"/>
    <s v="I"/>
    <s v="1740776"/>
    <s v="eJ"/>
    <s v="CCF"/>
    <x v="9"/>
    <x v="9"/>
    <s v="Xiaoming"/>
    <s v="Georgia Tech Research Corp"/>
    <s v="xiaoming@isye.gatech.edu"/>
    <s v="xiaoming@isye.gatech.edu"/>
    <s v="047Z 062Z"/>
    <s v="047Z 062Z"/>
    <s v="1740776"/>
    <x v="1"/>
    <s v="01"/>
    <n v="250000"/>
    <s v="Proposal has been awarded"/>
    <s v="TRIPODS: Transdisciplinary Research Institute for Advancing Data Science (TRIAD)"/>
  </r>
  <r>
    <d v="2017-07-14T10:52:10"/>
    <d v="2017-03-15T14:14:00"/>
    <s v="FY17TRIPOD"/>
    <s v="NSF 16-615"/>
    <s v="05010000"/>
    <s v="03040000"/>
    <s v="041Y"/>
    <x v="2"/>
    <s v="NAKANNA"/>
    <s v="NAKANNA"/>
    <s v="AWD"/>
    <s v="NEW"/>
    <s v="4110"/>
    <s v="4110"/>
    <s v="CONT"/>
    <n v="10"/>
    <s v="I"/>
    <s v="1740776"/>
    <s v="eJ"/>
    <s v="CCF"/>
    <x v="9"/>
    <x v="9"/>
    <s v="Xiaoming"/>
    <s v="Georgia Tech Research Corp"/>
    <s v="xiaoming@isye.gatech.edu"/>
    <s v="xiaoming@isye.gatech.edu"/>
    <s v="047Z 062Z"/>
    <s v="047Z 062Z"/>
    <s v="1740776"/>
    <x v="1"/>
    <s v="02"/>
    <n v="250000"/>
    <s v="Proposal has been awarded"/>
    <s v="TRIPODS: Transdisciplinary Research Institute for Advancing Data Science (TRIAD)"/>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0"/>
    <s v="01"/>
    <n v="150257"/>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0"/>
    <s v="02"/>
    <n v="15025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4"/>
    <s v="01"/>
    <n v="148648"/>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4"/>
    <s v="02"/>
    <n v="148648"/>
    <s v="Proposal has been awarded"/>
    <s v="Collaborative Research:  TRIPODS Institute for Optimization and Learning"/>
  </r>
  <r>
    <d v="2017-07-20T16:37:27"/>
    <d v="2017-03-15T15:24:00"/>
    <s v="FY17TRIPOD"/>
    <s v="NSF 16-615"/>
    <s v="05010000"/>
    <s v="05010000"/>
    <s v="041Y"/>
    <x v="2"/>
    <s v="JSNOEYI"/>
    <s v="JSNOEYI"/>
    <s v="AWD"/>
    <s v="NEW"/>
    <s v="4110"/>
    <s v="4110"/>
    <s v="CONT"/>
    <n v="11"/>
    <s v="L"/>
    <s v="1740796"/>
    <s v="eJ"/>
    <s v="CCF"/>
    <x v="10"/>
    <x v="10"/>
    <s v="Katya"/>
    <s v="Lehigh University"/>
    <s v="kas410@lehigh.edu"/>
    <s v="kas410@lehigh.edu"/>
    <s v="047Z 062Z 9102"/>
    <s v="047Z 062Z 9102"/>
    <s v="1740796"/>
    <x v="1"/>
    <s v="01"/>
    <n v="148930"/>
    <s v="Proposal has been awarded"/>
    <s v="Collaborative Research:  TRIPODS Institute for Optimization and Learning"/>
  </r>
  <r>
    <d v="2017-07-20T16:37:27"/>
    <d v="2017-03-15T15:24:00"/>
    <s v="FY17TRIPOD"/>
    <s v="NSF 16-615"/>
    <s v="05010000"/>
    <s v="03040000"/>
    <s v="041Y"/>
    <x v="2"/>
    <s v="JSNOEYI"/>
    <s v="NAKANNA"/>
    <s v="AWD"/>
    <s v="NEW"/>
    <s v="4110"/>
    <s v="4110"/>
    <s v="CONT"/>
    <n v="11"/>
    <s v="L"/>
    <s v="1740796"/>
    <s v="eJ"/>
    <s v="CCF"/>
    <x v="10"/>
    <x v="10"/>
    <s v="Katya"/>
    <s v="Lehigh University"/>
    <s v="kas410@lehigh.edu"/>
    <s v="kas410@lehigh.edu"/>
    <s v="047Z 062Z 9102"/>
    <s v="047Z 062Z 9102"/>
    <s v="1740796"/>
    <x v="1"/>
    <s v="02"/>
    <n v="14892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0"/>
    <s v="01"/>
    <n v="4553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0"/>
    <s v="02"/>
    <n v="45538"/>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4"/>
    <s v="01"/>
    <n v="52819"/>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4"/>
    <s v="02"/>
    <n v="52819"/>
    <s v="Proposal has been awarded"/>
    <s v="Collaborative Research: TRIPODS Institute for Optimization and Learning"/>
  </r>
  <r>
    <d v="2017-07-20T16:37:56"/>
    <d v="2017-03-15T10:34:00"/>
    <s v="FY17TRIPOD"/>
    <s v="NSF 16-615"/>
    <s v="05010000"/>
    <s v="05010000"/>
    <s v="041Y"/>
    <x v="2"/>
    <s v="JSNOEYI"/>
    <s v="JSNOEYI"/>
    <s v="AWD"/>
    <s v="NEW"/>
    <s v="4110"/>
    <s v="4110"/>
    <s v="CONT"/>
    <n v="12"/>
    <s v="N"/>
    <s v="1740796"/>
    <s v="eJ"/>
    <s v="CCF"/>
    <x v="11"/>
    <x v="11"/>
    <s v="Han"/>
    <s v="Northwestern University"/>
    <s v="hanliu@princeton.edu"/>
    <s v="hanliu@princeton.edu"/>
    <s v="047Z 062Z"/>
    <s v="047Z 062Z"/>
    <s v="1740735"/>
    <x v="1"/>
    <s v="01"/>
    <n v="51643"/>
    <s v="Proposal has been awarded"/>
    <s v="Collaborative Research: TRIPODS Institute for Optimization and Learning"/>
  </r>
  <r>
    <d v="2017-07-20T16:37:56"/>
    <d v="2017-03-15T10:34:00"/>
    <s v="FY17TRIPOD"/>
    <s v="NSF 16-615"/>
    <s v="05010000"/>
    <s v="03040000"/>
    <s v="041Y"/>
    <x v="2"/>
    <s v="JSNOEYI"/>
    <s v="NAKANNA"/>
    <s v="AWD"/>
    <s v="NEW"/>
    <s v="4110"/>
    <s v="4110"/>
    <s v="CONT"/>
    <n v="12"/>
    <s v="N"/>
    <s v="1740796"/>
    <s v="eJ"/>
    <s v="CCF"/>
    <x v="11"/>
    <x v="11"/>
    <s v="Han"/>
    <s v="Northwestern University"/>
    <s v="hanliu@princeton.edu"/>
    <s v="hanliu@princeton.edu"/>
    <s v="047Z 062Z"/>
    <s v="047Z 062Z"/>
    <s v="1740735"/>
    <x v="1"/>
    <s v="02"/>
    <n v="51642"/>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0"/>
    <s v="01"/>
    <n v="46821"/>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0"/>
    <s v="02"/>
    <n v="46820"/>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4"/>
    <s v="01"/>
    <n v="4811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4"/>
    <s v="02"/>
    <n v="48116"/>
    <s v="Proposal has been awarded"/>
    <s v="Collaborative Research:  TRIPODS Institute for Optimization and Learning"/>
  </r>
  <r>
    <d v="2017-07-20T16:48:52"/>
    <d v="2017-03-15T13:20:00"/>
    <s v="FY17TRIPOD"/>
    <s v="NSF 16-615"/>
    <s v="05010000"/>
    <s v="05010000"/>
    <s v="041Y"/>
    <x v="2"/>
    <s v="JSNOEYI"/>
    <s v="JSNOEYI"/>
    <s v="AWD"/>
    <s v="NEW"/>
    <s v="4110"/>
    <s v="4110"/>
    <s v="CONT"/>
    <n v="13"/>
    <s v="N"/>
    <s v="1740796"/>
    <s v="eJ"/>
    <s v="CCF"/>
    <x v="12"/>
    <x v="12"/>
    <s v=" Francesco"/>
    <s v="SUNY Stony Brook"/>
    <s v="francesco@cs.stonybrook.edu"/>
    <s v="francesco@cs.stonybrook.edu"/>
    <s v="047Z 062Z"/>
    <s v="047Z 062Z"/>
    <s v="1740762"/>
    <x v="1"/>
    <s v="01"/>
    <n v="49305"/>
    <s v="Proposal has been awarded"/>
    <s v="Collaborative Research:  TRIPODS Institute for Optimization and Learning"/>
  </r>
  <r>
    <d v="2017-07-20T16:48:52"/>
    <d v="2017-03-15T13:20:00"/>
    <s v="FY17TRIPOD"/>
    <s v="NSF 16-615"/>
    <s v="05010000"/>
    <s v="03040000"/>
    <s v="041Y"/>
    <x v="2"/>
    <s v="JSNOEYI"/>
    <s v="NAKANNA"/>
    <s v="AWD"/>
    <s v="NEW"/>
    <s v="4110"/>
    <s v="4110"/>
    <s v="CONT"/>
    <n v="13"/>
    <s v="N"/>
    <s v="1740796"/>
    <s v="eJ"/>
    <s v="CCF"/>
    <x v="12"/>
    <x v="12"/>
    <s v=" Francesco"/>
    <s v="SUNY Stony Brook"/>
    <s v="francesco@cs.stonybrook.edu"/>
    <s v="francesco@cs.stonybrook.edu"/>
    <s v="047Z 062Z"/>
    <s v="047Z 062Z"/>
    <s v="1740762"/>
    <x v="1"/>
    <s v="02"/>
    <n v="49305"/>
    <s v="Proposal has been awarded"/>
    <s v="Collaborative Research:  TRIPODS Institute for Optimization and Learning"/>
  </r>
  <r>
    <d v="2017-07-17T09:55:39"/>
    <d v="2017-03-15T16:24:00"/>
    <s v="FY17TRIPOD"/>
    <s v="NSF 16-615"/>
    <s v="05010000"/>
    <s v="01060000"/>
    <s v="041Y"/>
    <x v="1"/>
    <s v="TKIMBRE"/>
    <s v="LENICHO"/>
    <s v="AWD"/>
    <s v="NEW"/>
    <s v="4110"/>
    <s v="4110"/>
    <s v="STND"/>
    <n v="14"/>
    <s v="I"/>
    <s v="1740822"/>
    <s v="eJ"/>
    <s v="CCF"/>
    <x v="13"/>
    <x v="13"/>
    <s v="Kilian"/>
    <s v="Cornell University"/>
    <s v="kilianweinberger@cornell.edu"/>
    <s v="kilianweinberger@cornell.edu"/>
    <s v="047Z 062Z"/>
    <s v="047Z 060Z 062Z"/>
    <s v="1740822"/>
    <x v="0"/>
    <s v="01"/>
    <n v="400033"/>
    <s v="Proposal has been awarded"/>
    <s v="TRIPODS: Data Science for Improved Decision-Making: Learning in the Context of Uncertainty, Causality, Privacy, and Network Structures"/>
  </r>
  <r>
    <d v="2017-07-17T09:55:39"/>
    <d v="2017-03-15T16:24:00"/>
    <s v="FY17TRIPOD"/>
    <s v="NSF 16-615"/>
    <s v="05010000"/>
    <s v="05010000"/>
    <s v="041Y"/>
    <x v="2"/>
    <s v="TKIMBRE"/>
    <s v="TKIMBRE"/>
    <s v="AWD"/>
    <s v="NEW"/>
    <s v="4110"/>
    <s v="4110"/>
    <s v="STND"/>
    <n v="14"/>
    <s v="I"/>
    <s v="1740822"/>
    <s v="eJ"/>
    <s v="CCF"/>
    <x v="13"/>
    <x v="13"/>
    <s v="Kilian"/>
    <s v="Cornell University"/>
    <s v="kilianweinberger@cornell.edu"/>
    <s v="kilianweinberger@cornell.edu"/>
    <s v="047Z 062Z"/>
    <s v="047Z 060Z 062Z"/>
    <s v="1740822"/>
    <x v="0"/>
    <s v="02"/>
    <n v="298311"/>
    <s v="Proposal has been awarded"/>
    <s v="TRIPODS: Data Science for Improved Decision-Making: Learning in the Context of Uncertainty, Causality, Privacy, and Network Structures"/>
  </r>
  <r>
    <d v="2017-07-17T09:55:39"/>
    <d v="2017-03-15T16:24:00"/>
    <s v="FY17TRIPOD"/>
    <s v="NSF 16-615"/>
    <s v="05010000"/>
    <s v="03040000"/>
    <s v="041Y"/>
    <x v="2"/>
    <s v="TKIMBRE"/>
    <s v="NAKANNA"/>
    <s v="AWD"/>
    <s v="NEW"/>
    <s v="4110"/>
    <s v="4110"/>
    <s v="STND"/>
    <n v="14"/>
    <s v="I"/>
    <s v="1740822"/>
    <s v="eJ"/>
    <s v="CCF"/>
    <x v="13"/>
    <x v="13"/>
    <s v="Kilian"/>
    <s v="Cornell University"/>
    <s v="kilianweinberger@cornell.edu"/>
    <s v="kilianweinberger@cornell.edu"/>
    <s v="047Z 062Z"/>
    <s v="047Z 060Z 062Z"/>
    <s v="1740822"/>
    <x v="0"/>
    <s v="03"/>
    <n v="298311"/>
    <s v="Proposal has been awarded"/>
    <s v="TRIPODS: Data Science for Improved Decision-Making: Learning in the Context of Uncertainty, Causality, Privacy, and Network Structures"/>
  </r>
  <r>
    <d v="2017-07-17T09:55:39"/>
    <d v="2017-03-15T16:24:00"/>
    <s v="FY17TRIPOD"/>
    <s v="NSF 16-615"/>
    <s v="05010000"/>
    <s v="03060000"/>
    <s v="041Y"/>
    <x v="4"/>
    <s v="TKIMBRE"/>
    <s v="JROBIN"/>
    <s v="AWD"/>
    <s v="NEW"/>
    <s v="4110"/>
    <s v="4110"/>
    <s v="STND"/>
    <n v="14"/>
    <s v="I"/>
    <s v="1740822"/>
    <s v="eJ"/>
    <s v="CCF"/>
    <x v="13"/>
    <x v="13"/>
    <s v="Kilian"/>
    <s v="Cornell University"/>
    <s v="kilianweinberger@cornell.edu"/>
    <s v="kilianweinberger@cornell.edu"/>
    <s v="047Z 062Z"/>
    <s v="047Z 060Z 062Z"/>
    <s v="1740822"/>
    <x v="0"/>
    <s v="04"/>
    <n v="500000"/>
    <s v="Proposal has been awarded"/>
    <s v="TRIPODS: Data Science for Improved Decision-Making: Learning in the Context of Uncertainty, Causality, Privacy, and Network Structures"/>
  </r>
  <r>
    <d v="2017-07-14T13:28:43"/>
    <d v="2017-03-15T16:52:00"/>
    <s v="FY17TRIPOD"/>
    <s v="NSF 16-615"/>
    <s v="05010000"/>
    <s v="03060000"/>
    <s v="041Y"/>
    <x v="4"/>
    <s v="NAKANNA"/>
    <s v="JROBIN"/>
    <s v="AWD"/>
    <s v="NEW"/>
    <s v="4110"/>
    <s v="4110"/>
    <s v="CONT"/>
    <n v="15"/>
    <s v="I"/>
    <s v="1740833"/>
    <s v="eJ"/>
    <s v="CCF"/>
    <x v="14"/>
    <x v="14"/>
    <s v="John"/>
    <s v="Columbia University"/>
    <s v="jw2966@columbia.edu"/>
    <s v="jw2966@columbia.edu"/>
    <s v="047Z 062Z"/>
    <s v="047Z 062Z"/>
    <s v="1740833"/>
    <x v="0"/>
    <s v="01"/>
    <n v="50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4"/>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4"/>
    <s v="02"/>
    <n v="250000"/>
    <s v="Proposal has been awarded"/>
    <s v="TRIPODS: From Foundations to Practice of Data Science and Back"/>
  </r>
  <r>
    <d v="2017-07-14T13:28:43"/>
    <d v="2017-03-15T16:52:00"/>
    <s v="FY17TRIPOD"/>
    <s v="NSF 16-615"/>
    <s v="05010000"/>
    <s v="03040000"/>
    <s v="041Y"/>
    <x v="2"/>
    <s v="NAKANNA"/>
    <s v="NAKANNA"/>
    <s v="AWD"/>
    <s v="NEW"/>
    <s v="4110"/>
    <s v="4110"/>
    <s v="CONT"/>
    <n v="15"/>
    <s v="I"/>
    <s v="1740833"/>
    <s v="eJ"/>
    <s v="CCF"/>
    <x v="14"/>
    <x v="14"/>
    <s v="John"/>
    <s v="Columbia University"/>
    <s v="jw2966@columbia.edu"/>
    <s v="jw2966@columbia.edu"/>
    <s v="047Z 062Z"/>
    <s v="047Z 062Z"/>
    <s v="1740833"/>
    <x v="1"/>
    <s v="01"/>
    <n v="250000"/>
    <s v="Proposal has been awarded"/>
    <s v="TRIPODS: From Foundations to Practice of Data Science and Back"/>
  </r>
  <r>
    <d v="2017-07-14T13:28:43"/>
    <d v="2017-03-15T16:52:00"/>
    <s v="FY17TRIPOD"/>
    <s v="NSF 16-615"/>
    <s v="05010000"/>
    <s v="05100002"/>
    <s v="041Y"/>
    <x v="2"/>
    <s v="NAKANNA"/>
    <s v="GOWENS"/>
    <s v="AWD"/>
    <s v="NEW"/>
    <s v="4110"/>
    <s v="4110"/>
    <s v="CONT"/>
    <n v="15"/>
    <s v="I"/>
    <s v="1740833"/>
    <s v="eJ"/>
    <s v="CCF"/>
    <x v="14"/>
    <x v="14"/>
    <s v="John"/>
    <s v="Columbia University"/>
    <s v="jw2966@columbia.edu"/>
    <s v="jw2966@columbia.edu"/>
    <s v="047Z 062Z"/>
    <s v="047Z 062Z"/>
    <s v="1740833"/>
    <x v="1"/>
    <s v="02"/>
    <n v="250000"/>
    <s v="Proposal has been awarded"/>
    <s v="TRIPODS: From Foundations to Practice of Data Science and Back"/>
  </r>
</pivotCacheRecords>
</file>

<file path=xl/pivotCache/pivotCacheRecords2.xml><?xml version="1.0" encoding="utf-8"?>
<pivotCacheRecords xmlns="http://schemas.openxmlformats.org/spreadsheetml/2006/main" xmlns:r="http://schemas.openxmlformats.org/officeDocument/2006/relationships" count="91">
  <r>
    <d v="2000-01-01T00:00:00"/>
    <d v="2000-01-01T00:00:00"/>
    <s v=".first line."/>
    <s v=".please."/>
    <s v="keep"/>
    <s v=".so."/>
    <s v="mail"/>
    <s v="merge"/>
    <s v="formatting"/>
    <s v="works.."/>
    <d v="2000-01-01T00:00:00"/>
    <n v="0"/>
    <n v="-0.99999998999999995"/>
    <s v="NRFP"/>
    <s v="NRFP"/>
    <s v="NRFP"/>
    <x v="0"/>
    <s v="templateFilename_ 1234567 PI last name for format."/>
    <m/>
    <m/>
    <s v="Name for PO signature"/>
    <s v="Cognisant Program Director"/>
    <s v="eJ"/>
    <s v="Email of lead PI on the project"/>
    <s v="PIs@"/>
    <s v="Divn"/>
    <s v="1234567"/>
    <n v="0"/>
    <n v="0"/>
    <n v="0"/>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7"/>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7"/>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7"/>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d v="2016-12-20T11:43:13"/>
    <d v="2016-07-20T14:13:00"/>
    <s v="NSF 15-555"/>
    <s v="05010000"/>
    <s v="7796"/>
    <s v="NEW"/>
    <s v="AWD"/>
    <s v="4110"/>
    <s v="CAR16-17"/>
    <s v="RSHAH"/>
    <d v="2016-12-19T11:02:16"/>
    <n v="1"/>
    <n v="1.01"/>
    <s v="HC"/>
    <m/>
    <m/>
    <x v="1"/>
    <s v="RA 1652303 Saha"/>
    <m/>
    <m/>
    <s v="Rahul Shah"/>
    <s v="Cognisant Program Director"/>
    <s v="eJ"/>
    <s v="barna@cs.umass.edu"/>
    <s v="PIs@"/>
    <s v="CCF"/>
    <s v="1652303"/>
    <n v="4"/>
    <m/>
    <m/>
    <n v="7"/>
    <n v="7.75"/>
    <n v="8"/>
    <s v="E/V,E/V,E/V,V"/>
    <d v="2016-10-16T18:31:00"/>
    <n v="597084"/>
    <n v="549986"/>
    <n v="1"/>
    <d v="2017-07-01T00:00:00"/>
    <n v="60"/>
    <s v="CAREER: Efficient Fine-grained Algorithms"/>
    <n v="1"/>
    <s v=" E/V"/>
    <d v="2016-10-13T01:04:00"/>
    <s v="P170288"/>
    <s v="Highly Competitive"/>
    <n v="1"/>
    <s v="AF CAREER Panel"/>
    <d v="2016-10-18T00:00:00"/>
    <s v=" E/V,E/V ,V"/>
    <s v="29 rated projects: 3 HC, 14 C, 11 LC, 1 NC"/>
    <n v="12"/>
    <n v="2"/>
    <m/>
    <m/>
    <m/>
    <m/>
    <m/>
    <m/>
    <m/>
    <n v="12"/>
    <n v="2"/>
    <m/>
    <m/>
    <m/>
    <m/>
    <m/>
    <m/>
    <m/>
    <n v="12"/>
    <n v="2"/>
    <s v="1652303"/>
    <s v="Saha"/>
    <s v="Barna"/>
    <s v="U of Massachusetts Amherst"/>
    <n v="597084"/>
    <n v="549986"/>
    <s v="1045 7926"/>
    <m/>
    <m/>
    <m/>
    <m/>
    <m/>
    <m/>
    <m/>
    <m/>
    <m/>
    <m/>
    <m/>
    <m/>
    <m/>
    <m/>
    <m/>
    <m/>
    <m/>
    <m/>
    <m/>
    <m/>
    <m/>
    <m/>
    <m/>
    <m/>
    <m/>
    <m/>
    <m/>
    <m/>
    <m/>
    <m/>
    <m/>
    <m/>
    <m/>
    <m/>
    <m/>
    <m/>
    <m/>
    <m/>
    <m/>
    <m/>
    <m/>
    <m/>
    <s v="Faculty Early Career Development Program"/>
    <s v="Division of Computing and Communication Foundations"/>
    <s v="ALGORITHMIC FOUNDATIONS"/>
    <s v="Rahul Shah"/>
    <s v="Proposal has been awarded"/>
    <s v="New Project"/>
    <s v="Research Grants-Not Elsewh Cla"/>
    <s v="CSE"/>
    <s v="Direct For Computer &amp; Info Scie &amp; Enginr"/>
    <d v="2017-12-04T22:07:29"/>
    <s v="barna@cs.umass.edu"/>
    <s v="barna@cs.umass.edu      "/>
  </r>
  <r>
    <d v="2017-07-17T09:55:39"/>
    <d v="2017-03-15T16:24:00"/>
    <s v="NSF 16-615"/>
    <s v="05010000"/>
    <s v="041Y"/>
    <s v="NEW"/>
    <s v="AWD"/>
    <s v="4110"/>
    <s v="FY17TRIPOD"/>
    <s v="TKIMBRE"/>
    <d v="2017-07-13T10:42:26"/>
    <n v="1"/>
    <n v="1.01"/>
    <s v="HR"/>
    <m/>
    <m/>
    <x v="1"/>
    <s v="RA 1740822 Weinberger"/>
    <m/>
    <m/>
    <s v="Tracy J. Kimbrel"/>
    <s v="Cognisant Program Director"/>
    <s v="eJ"/>
    <s v="kilianweinberger@cornell.edu"/>
    <s v="PIs@"/>
    <s v="CCF"/>
    <s v="1740822"/>
    <n v="3"/>
    <m/>
    <m/>
    <n v="8"/>
    <n v="8.6666666666666661"/>
    <n v="9"/>
    <s v="E,E,E/V"/>
    <d v="2017-05-15T15:23:00"/>
    <n v="1497238"/>
    <n v="1496655"/>
    <n v="1"/>
    <d v="2017-10-01T00:00:00"/>
    <n v="36"/>
    <s v="TRIPODS: Data Science for Improved Decision-Making: Learning in the Context of Uncertainty, Causality, Privacy, and Network Structures"/>
    <m/>
    <m/>
    <m/>
    <s v="P172027"/>
    <s v="Highly Recommended"/>
    <n v="1"/>
    <s v="TRIPODS Panel 1"/>
    <d v="2017-05-17T00:00:00"/>
    <s v=" E,E,E/V"/>
    <s v="30 rated projects: 2 HR, 8 R, 11 NR, 9 NDP"/>
    <n v="12"/>
    <n v="1"/>
    <m/>
    <m/>
    <m/>
    <m/>
    <m/>
    <m/>
    <m/>
    <n v="12"/>
    <n v="1"/>
    <m/>
    <m/>
    <m/>
    <m/>
    <m/>
    <m/>
    <m/>
    <n v="12"/>
    <n v="1"/>
    <s v="1740822"/>
    <s v="Weinberger"/>
    <s v="Kilian"/>
    <s v="Cornell University"/>
    <n v="1497238"/>
    <n v="1496655"/>
    <s v="047Z 062Z"/>
    <m/>
    <m/>
    <m/>
    <m/>
    <m/>
    <m/>
    <m/>
    <m/>
    <m/>
    <m/>
    <m/>
    <m/>
    <m/>
    <m/>
    <m/>
    <m/>
    <m/>
    <m/>
    <m/>
    <m/>
    <m/>
    <m/>
    <m/>
    <m/>
    <m/>
    <m/>
    <m/>
    <m/>
    <m/>
    <m/>
    <m/>
    <m/>
    <m/>
    <m/>
    <m/>
    <m/>
    <m/>
    <m/>
    <m/>
    <m/>
    <m/>
    <m/>
    <s v="Transdisciplinary Research in Principles of Data Science Phase I"/>
    <s v="Division of Computing and Communication Foundations"/>
    <s v="TRIPODS Transdisciplinary Rese"/>
    <s v="Tracy J. Kimbrel"/>
    <s v="Proposal has been awarded"/>
    <s v="New Project"/>
    <s v="Research Grants-Not Elsewh Cla"/>
    <s v="CSE"/>
    <s v="Direct For Computer &amp; Info Scie &amp; Enginr"/>
    <d v="2017-12-04T22:07:29"/>
    <s v="kilianweinberger@cornell.edu"/>
    <s v="kilianweinberger@cornell.edu      "/>
  </r>
  <r>
    <m/>
    <d v="2017-07-17T19:41:00"/>
    <s v="NSF 17-537"/>
    <s v="05010000"/>
    <s v="7796"/>
    <s v="NEW"/>
    <s v="PEND"/>
    <s v="4110"/>
    <s v="CAR17-18"/>
    <s v="JSNOEYI"/>
    <m/>
    <n v="1"/>
    <n v="1.01"/>
    <s v="HC"/>
    <m/>
    <m/>
    <x v="2"/>
    <s v="Awd  1749609 Lee"/>
    <m/>
    <m/>
    <s v="Jack Snoeyink"/>
    <s v="Cognisant Program Director"/>
    <s v="eJ"/>
    <s v="yintat@uw.edu"/>
    <s v="PIs@"/>
    <s v="CCF"/>
    <s v="1749609"/>
    <n v="4"/>
    <n v="4"/>
    <m/>
    <n v="6"/>
    <n v="8"/>
    <n v="9"/>
    <s v="E,E,E/V,V/G"/>
    <d v="2017-10-23T09:01:00"/>
    <n v="549841"/>
    <n v="549841"/>
    <n v="0"/>
    <d v="2018-03-16T00:00:00"/>
    <n v="60"/>
    <s v="CAREER: The Interplay between Combinatorial Optimization and Algorithmic Convex Geometry"/>
    <m/>
    <m/>
    <m/>
    <s v="P180207"/>
    <s v="Highly Competitive"/>
    <n v="1"/>
    <s v="AF CAREER/CRII Panel A"/>
    <d v="2017-10-24T00:00:00"/>
    <s v=" E,E,E/V,V/G"/>
    <s v="31 rated projects: 3 HC, 12 C, 10 LC, 6 NC"/>
    <n v="14"/>
    <n v="3"/>
    <m/>
    <m/>
    <m/>
    <m/>
    <m/>
    <m/>
    <m/>
    <n v="14"/>
    <n v="3"/>
    <m/>
    <m/>
    <m/>
    <m/>
    <m/>
    <m/>
    <m/>
    <n v="14"/>
    <n v="3"/>
    <s v="1749609"/>
    <s v="Lee"/>
    <s v="Yin Tat"/>
    <s v="U of Washington"/>
    <n v="549841"/>
    <n v="549841"/>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yintat@uw.edu"/>
    <s v="yintat@uw.edu      "/>
  </r>
  <r>
    <m/>
    <d v="2017-07-19T11:44:00"/>
    <s v="NSF 17-537"/>
    <s v="05010000"/>
    <s v="7796"/>
    <s v="NEW"/>
    <s v="PEND"/>
    <s v="4110"/>
    <s v="CAR17-18"/>
    <s v="RSHAH"/>
    <m/>
    <n v="1"/>
    <n v="1.01"/>
    <s v="HC"/>
    <m/>
    <m/>
    <x v="2"/>
    <s v="Awd  1750333 Ene"/>
    <m/>
    <m/>
    <s v="Rahul Shah"/>
    <s v="Cognisant Program Director"/>
    <s v="eJ"/>
    <s v="aene@bu.edu"/>
    <s v="PIs@"/>
    <s v="CCF"/>
    <s v="1750333"/>
    <n v="4"/>
    <n v="4"/>
    <m/>
    <n v="5"/>
    <n v="7.5"/>
    <n v="9"/>
    <s v="E,E/V,E/V,G"/>
    <d v="2017-10-24T12:41:00"/>
    <n v="507423"/>
    <n v="507423"/>
    <n v="0"/>
    <d v="2018-01-01T00:00:00"/>
    <n v="60"/>
    <s v="CAREER: New Algorithms for Submodular Optimization"/>
    <m/>
    <m/>
    <m/>
    <s v="P180207"/>
    <s v="Highly Competitive"/>
    <n v="1"/>
    <s v="AF CAREER/CRII Panel A"/>
    <d v="2017-10-24T00:00:00"/>
    <s v=" E,E/V,E/V,G"/>
    <s v="31 rated projects: 3 HC, 12 C, 10 LC, 6 NC"/>
    <n v="14"/>
    <n v="1"/>
    <m/>
    <m/>
    <m/>
    <m/>
    <m/>
    <m/>
    <m/>
    <n v="14"/>
    <n v="1"/>
    <m/>
    <m/>
    <m/>
    <m/>
    <m/>
    <m/>
    <m/>
    <n v="14"/>
    <n v="1"/>
    <s v="1750333"/>
    <s v="Ene"/>
    <s v="Alina"/>
    <s v="Boston University"/>
    <n v="507423"/>
    <n v="507423"/>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aene@bu.edu"/>
    <s v="aene@bu.edu      "/>
  </r>
  <r>
    <m/>
    <d v="2017-08-09T13:58:00"/>
    <s v="NSF 17-552"/>
    <s v="05010000"/>
    <s v="026Y"/>
    <s v="NEW"/>
    <s v="PEND"/>
    <s v="4110"/>
    <s v="FY18CRII"/>
    <s v="RSHAH"/>
    <m/>
    <n v="1"/>
    <n v="1.01"/>
    <s v="HC"/>
    <m/>
    <m/>
    <x v="2"/>
    <s v="Awd  1755791 Goswami"/>
    <m/>
    <m/>
    <s v="Rahul Shah"/>
    <s v="Cognisant Program Director"/>
    <s v="eJ"/>
    <s v="Mayank.Goswami@qc.cuny.edu"/>
    <s v="PIs@"/>
    <s v="CCF"/>
    <s v="1755791"/>
    <n v="3"/>
    <n v="3"/>
    <m/>
    <n v="7"/>
    <n v="7"/>
    <n v="7"/>
    <s v="V,V,V"/>
    <d v="2017-10-23T08:52:00"/>
    <n v="175000"/>
    <n v="175000"/>
    <n v="0"/>
    <d v="2018-09-01T00:00:00"/>
    <n v="24"/>
    <s v="CRII: AF: RUI: Faster and Cache-Efficient Similarity Filters and Searches for Big Data"/>
    <m/>
    <m/>
    <m/>
    <s v="P180207"/>
    <s v="Highly Competitive"/>
    <n v="1"/>
    <s v="AF CAREER/CRII Panel A"/>
    <d v="2017-10-24T00:00:00"/>
    <s v=" V,V,V"/>
    <s v="31 rated projects: 3 HC, 12 C, 10 LC, 6 NC"/>
    <n v="14"/>
    <n v="1"/>
    <m/>
    <m/>
    <m/>
    <m/>
    <m/>
    <m/>
    <m/>
    <n v="14"/>
    <n v="1"/>
    <m/>
    <m/>
    <m/>
    <m/>
    <m/>
    <m/>
    <m/>
    <n v="14"/>
    <n v="1"/>
    <s v="1755791"/>
    <s v="Goswami"/>
    <s v="Mayank"/>
    <s v="CUNY Queens College"/>
    <n v="175000"/>
    <n v="175000"/>
    <s v="7926 8228"/>
    <m/>
    <m/>
    <m/>
    <m/>
    <m/>
    <m/>
    <m/>
    <m/>
    <m/>
    <m/>
    <m/>
    <m/>
    <m/>
    <m/>
    <m/>
    <m/>
    <m/>
    <m/>
    <m/>
    <m/>
    <m/>
    <m/>
    <m/>
    <m/>
    <m/>
    <m/>
    <m/>
    <m/>
    <m/>
    <m/>
    <m/>
    <m/>
    <m/>
    <m/>
    <m/>
    <m/>
    <m/>
    <m/>
    <m/>
    <m/>
    <m/>
    <m/>
    <s v="Computer and Information Science and Engineering (CISE) Research Initiation Initiative"/>
    <s v="Division of Computing and Communication Foundations"/>
    <s v="CRII CISE Research Initiation"/>
    <s v="Rahul Shah"/>
    <s v="Pending, Review Package Produced"/>
    <s v="New Project"/>
    <s v="Research Grants-Not Elsewh Cla"/>
    <s v="CSE"/>
    <s v="Direct For Computer &amp; Info Scie &amp; Enginr"/>
    <d v="2017-12-04T22:07:29"/>
    <s v="Mayank.Goswami@qc.cuny.edu"/>
    <s v="Mayank.Goswami@qc.cuny.edu      "/>
  </r>
  <r>
    <d v="2016-12-20T12:14:14"/>
    <d v="2016-07-19T20:10:00"/>
    <s v="NSF 15-555"/>
    <s v="05010000"/>
    <s v="7796"/>
    <s v="NEW"/>
    <s v="AWD"/>
    <s v="4110"/>
    <s v="CAR16-17"/>
    <s v="RSHAH"/>
    <d v="2016-12-20T12:12:36"/>
    <n v="1"/>
    <n v="1.02"/>
    <s v="HC"/>
    <m/>
    <m/>
    <x v="1"/>
    <s v="RA 1651861 Rothvoss"/>
    <m/>
    <m/>
    <s v="Rahul Shah"/>
    <s v="Cognisant Program Director"/>
    <s v="eJ"/>
    <s v="rothvoss@uw.edu"/>
    <s v="PIs@"/>
    <s v="CCF"/>
    <s v="1651861"/>
    <n v="4"/>
    <m/>
    <m/>
    <n v="5"/>
    <n v="7.75"/>
    <n v="9"/>
    <s v="E,E,E/V,G"/>
    <d v="2016-10-17T02:48:00"/>
    <n v="522239"/>
    <n v="522239"/>
    <n v="0"/>
    <d v="2017-07-01T00:00:00"/>
    <n v="60"/>
    <s v="CAREER: Approximation Algorithms via SDP hierarchies"/>
    <n v="1"/>
    <s v=" E"/>
    <d v="2016-10-09T21:52:00"/>
    <s v="P170288"/>
    <s v="Highly Competitive"/>
    <n v="2"/>
    <s v="AF CAREER Panel"/>
    <d v="2016-10-18T00:00:00"/>
    <s v=" E,E/V,G"/>
    <s v="29 rated projects: 3 HC, 14 C, 11 LC, 1 NC"/>
    <n v="12"/>
    <n v="0"/>
    <m/>
    <m/>
    <m/>
    <m/>
    <m/>
    <m/>
    <m/>
    <n v="12"/>
    <n v="0"/>
    <m/>
    <m/>
    <m/>
    <m/>
    <m/>
    <m/>
    <m/>
    <n v="12"/>
    <n v="0"/>
    <s v="1651861"/>
    <s v="Rothvoss"/>
    <s v="Thomas"/>
    <s v="U of Washington"/>
    <n v="522239"/>
    <n v="522239"/>
    <s v="1045 7926"/>
    <m/>
    <m/>
    <m/>
    <m/>
    <m/>
    <m/>
    <m/>
    <m/>
    <m/>
    <m/>
    <m/>
    <m/>
    <m/>
    <m/>
    <m/>
    <m/>
    <m/>
    <m/>
    <m/>
    <m/>
    <m/>
    <m/>
    <m/>
    <m/>
    <m/>
    <m/>
    <m/>
    <m/>
    <m/>
    <m/>
    <m/>
    <m/>
    <m/>
    <m/>
    <m/>
    <m/>
    <m/>
    <m/>
    <m/>
    <m/>
    <m/>
    <m/>
    <s v="Faculty Early Career Development Program"/>
    <s v="Division of Computing and Communication Foundations"/>
    <s v="ALGORITHMIC FOUNDATIONS"/>
    <s v="Rahul Shah"/>
    <s v="Proposal has been awarded"/>
    <s v="New Project"/>
    <s v="Research Grants-Not Elsewh Cla"/>
    <s v="CSE"/>
    <s v="Direct For Computer &amp; Info Scie &amp; Enginr"/>
    <d v="2017-12-04T22:07:29"/>
    <s v="rothvoss@uw.edu"/>
    <s v="rothvoss@uw.edu      "/>
  </r>
  <r>
    <d v="2017-01-05T09:43:11"/>
    <d v="2016-07-20T13:32:00"/>
    <s v="NSF 15-555"/>
    <s v="05010000"/>
    <s v="7796"/>
    <s v="NEW"/>
    <s v="AWD"/>
    <s v="4110"/>
    <s v="CAR16-17"/>
    <s v="JSNOEYI"/>
    <d v="2017-01-03T15:48:35"/>
    <n v="1"/>
    <n v="1.02"/>
    <s v="HC"/>
    <m/>
    <m/>
    <x v="1"/>
    <s v="RA 1652218 Sheehy"/>
    <m/>
    <m/>
    <s v="Jack Snoeyink"/>
    <s v="Cognisant Program Director"/>
    <s v="eJ"/>
    <s v="donald@engr.uconn.edu"/>
    <s v="PIs@"/>
    <s v="CCF"/>
    <s v="1652218"/>
    <n v="4"/>
    <m/>
    <m/>
    <n v="8"/>
    <n v="8"/>
    <n v="8"/>
    <s v="E/V,E/V,E/V,E/V"/>
    <d v="2016-10-18T07:34:00"/>
    <n v="511429"/>
    <n v="511429"/>
    <n v="0"/>
    <d v="2017-02-01T00:00:00"/>
    <n v="60"/>
    <s v="CAREER: Algorithmic Challenges and Opportunities in Spatial Data Analysis"/>
    <n v="1"/>
    <s v=" E/V"/>
    <d v="2016-10-11T17:26:00"/>
    <s v="P170288"/>
    <s v="Highly Competitive"/>
    <n v="2"/>
    <s v="AF CAREER Panel"/>
    <d v="2016-10-18T00:00:00"/>
    <s v=" E/V,E/V,E/V"/>
    <s v="29 rated projects: 3 HC, 14 C, 11 LC, 1 NC"/>
    <n v="12"/>
    <n v="0"/>
    <m/>
    <m/>
    <m/>
    <m/>
    <m/>
    <m/>
    <m/>
    <n v="12"/>
    <n v="0"/>
    <m/>
    <m/>
    <m/>
    <m/>
    <m/>
    <m/>
    <m/>
    <n v="12"/>
    <n v="0"/>
    <s v="1652218"/>
    <s v="Sheehy"/>
    <s v="Donald"/>
    <s v="Univ of Connecticut"/>
    <n v="511429"/>
    <n v="511429"/>
    <s v="1045 7929"/>
    <m/>
    <m/>
    <m/>
    <m/>
    <m/>
    <m/>
    <m/>
    <m/>
    <m/>
    <m/>
    <m/>
    <m/>
    <m/>
    <m/>
    <m/>
    <m/>
    <m/>
    <m/>
    <m/>
    <m/>
    <m/>
    <m/>
    <m/>
    <m/>
    <m/>
    <m/>
    <m/>
    <m/>
    <m/>
    <m/>
    <m/>
    <m/>
    <m/>
    <m/>
    <m/>
    <m/>
    <m/>
    <m/>
    <m/>
    <m/>
    <m/>
    <m/>
    <s v="Faculty Early Career Development Program"/>
    <s v="Division of Computing and Communication Foundations"/>
    <s v="ALGORITHMIC FOUNDATIONS"/>
    <s v="Jack Snoeyink"/>
    <s v="Proposal has been awarded"/>
    <s v="New Project"/>
    <s v="Research Grants-Not Elsewh Cla"/>
    <s v="CSE"/>
    <s v="Direct For Computer &amp; Info Scie &amp; Enginr"/>
    <d v="2017-12-04T22:07:29"/>
    <s v="donald@engr.uconn.edu"/>
    <s v="donald@engr.uconn.edu      "/>
  </r>
  <r>
    <d v="2017-07-14T13:28:43"/>
    <d v="2017-03-15T16:52:00"/>
    <s v="NSF 16-615"/>
    <s v="05010000"/>
    <s v="041Y"/>
    <s v="NEW"/>
    <s v="AWD"/>
    <s v="4110"/>
    <s v="FY17TRIPOD"/>
    <s v="NAKANNA"/>
    <d v="2017-07-13T08:04:26"/>
    <n v="1"/>
    <n v="1.02"/>
    <s v="HR"/>
    <m/>
    <m/>
    <x v="1"/>
    <s v="RA 1740833 Wright"/>
    <m/>
    <m/>
    <s v="Nandini Kannan"/>
    <s v="Cognisant Program Director"/>
    <s v="eJ"/>
    <s v="jw2966@columbia.edu"/>
    <s v="PIs@"/>
    <s v="CCF"/>
    <s v="1740833"/>
    <n v="3"/>
    <m/>
    <m/>
    <n v="5"/>
    <n v="7"/>
    <n v="8"/>
    <s v="E/V,E/V,G"/>
    <d v="2017-05-17T12:47:00"/>
    <n v="1500000"/>
    <n v="1500000"/>
    <n v="0"/>
    <d v="2017-09-01T00:00:00"/>
    <n v="36"/>
    <s v="TRIPODS: From Foundations to Practice of Data Science and Back"/>
    <m/>
    <m/>
    <m/>
    <s v="P172027"/>
    <s v="Highly Recommended"/>
    <n v="2"/>
    <s v="TRIPODS Panel 1"/>
    <d v="2017-05-17T00:00:00"/>
    <s v=" E/V,E/V,G"/>
    <s v="30 rated projects: 2 HR, 8 R, 11 NR, 9 NDP"/>
    <n v="12"/>
    <n v="0"/>
    <m/>
    <m/>
    <m/>
    <m/>
    <m/>
    <m/>
    <m/>
    <n v="12"/>
    <n v="0"/>
    <m/>
    <m/>
    <m/>
    <m/>
    <m/>
    <m/>
    <m/>
    <n v="12"/>
    <n v="0"/>
    <s v="1740833"/>
    <s v="Wright"/>
    <s v="John"/>
    <s v="Columbia University"/>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Nandini Kannan"/>
    <s v="Proposal has been awarded"/>
    <s v="New Project"/>
    <s v="Research Grants-Not Elsewh Cla"/>
    <s v="CSE"/>
    <s v="Direct For Computer &amp; Info Scie &amp; Enginr"/>
    <d v="2017-12-04T22:07:29"/>
    <s v="jw2966@columbia.edu"/>
    <s v="jw2966@columbia.edu      "/>
  </r>
  <r>
    <m/>
    <d v="2017-08-09T14:55:00"/>
    <s v="NSF 17-552"/>
    <s v="05010000"/>
    <s v="026Y"/>
    <s v="NEW"/>
    <s v="PEND"/>
    <s v="4110"/>
    <s v="FY18CRII"/>
    <s v="TKIMBRE"/>
    <m/>
    <n v="1"/>
    <n v="2.02"/>
    <s v="C"/>
    <m/>
    <m/>
    <x v="1"/>
    <s v="RA 1755847 Sun"/>
    <m/>
    <m/>
    <s v="Tracy J. Kimbrel"/>
    <s v="Cognisant Program Director"/>
    <s v="eJ"/>
    <s v="ruoyus@illinois.edu"/>
    <s v="PIs@"/>
    <s v="CCF"/>
    <s v="1755847"/>
    <n v="3"/>
    <n v="3"/>
    <m/>
    <n v="6"/>
    <n v="6.333333333333333"/>
    <n v="7"/>
    <s v="V,V/G,V/G"/>
    <d v="2017-10-23T18:25:00"/>
    <n v="175000"/>
    <n v="175000"/>
    <n v="0"/>
    <d v="2018-07-01T00:00:00"/>
    <n v="24"/>
    <s v="CRII: AF: Towards Faster Algorithms for Large-scale Constrained Optimization"/>
    <m/>
    <m/>
    <m/>
    <s v="P180207"/>
    <s v="Competitive"/>
    <n v="2"/>
    <s v="AF CAREER/CRII Panel A"/>
    <d v="2017-10-24T00:00:00"/>
    <s v=" V,V/G,V/G"/>
    <s v="31 rated projects: 3 HC, 12 C, 10 LC, 6 NC"/>
    <n v="14"/>
    <n v="2"/>
    <m/>
    <m/>
    <m/>
    <m/>
    <m/>
    <m/>
    <m/>
    <n v="14"/>
    <n v="2"/>
    <m/>
    <m/>
    <m/>
    <m/>
    <m/>
    <m/>
    <m/>
    <n v="14"/>
    <n v="2"/>
    <s v="1755847"/>
    <s v="Sun"/>
    <s v="Ruoyu"/>
    <s v="U of Ill Urbana-Champaign"/>
    <n v="175000"/>
    <n v="175000"/>
    <s v="7933 8228"/>
    <m/>
    <m/>
    <m/>
    <m/>
    <m/>
    <m/>
    <m/>
    <m/>
    <m/>
    <m/>
    <m/>
    <m/>
    <m/>
    <m/>
    <m/>
    <m/>
    <m/>
    <m/>
    <m/>
    <m/>
    <m/>
    <m/>
    <m/>
    <m/>
    <m/>
    <m/>
    <m/>
    <m/>
    <m/>
    <m/>
    <m/>
    <m/>
    <m/>
    <m/>
    <m/>
    <m/>
    <m/>
    <m/>
    <m/>
    <m/>
    <m/>
    <m/>
    <s v="Computer and Information Science and Engineering (CISE) Research Initiation Initiative"/>
    <s v="Division of Computing and Communication Foundations"/>
    <s v="CRII CISE Research Initiation"/>
    <s v="Tracy J. Kimbrel"/>
    <s v="Pending, Review Package Produced"/>
    <s v="New Project"/>
    <s v="Research Grants-Not Elsewh Cla"/>
    <s v="CSE"/>
    <s v="Direct For Computer &amp; Info Scie &amp; Enginr"/>
    <d v="2017-12-04T22:07:29"/>
    <s v="ruoyus@illinois.edu"/>
    <s v="ruoyus@illinois.edu      "/>
  </r>
  <r>
    <d v="2017-07-17T11:25:15"/>
    <d v="2017-03-15T11:24:00"/>
    <s v="NSF 16-615"/>
    <s v="05010000"/>
    <s v="041Y"/>
    <s v="NEW"/>
    <s v="AWD"/>
    <s v="4110"/>
    <s v="FY17TRIPOD"/>
    <s v="JSNOEYI"/>
    <d v="2017-07-11T11:12:02"/>
    <n v="1"/>
    <n v="2.0299999999999998"/>
    <s v="R"/>
    <m/>
    <m/>
    <x v="1"/>
    <s v="RA 1740741 Brock"/>
    <m/>
    <m/>
    <s v="Jack Snoeyink"/>
    <s v="Cognisant Program Director"/>
    <s v="eJ"/>
    <s v="Jeff_Brock@brown.edu"/>
    <s v="PIs@"/>
    <s v="CCF"/>
    <s v="1740741"/>
    <n v="3"/>
    <m/>
    <m/>
    <n v="7"/>
    <n v="7.333333333333333"/>
    <n v="8"/>
    <s v="E/V,V,V"/>
    <d v="2017-05-17T09:22:00"/>
    <n v="1482177"/>
    <n v="1482177"/>
    <n v="0"/>
    <d v="2017-09-01T00:00:00"/>
    <n v="36"/>
    <s v="Foundations of Model Driven Discovery from Massive Data"/>
    <m/>
    <m/>
    <m/>
    <s v="P172027"/>
    <s v="Recommended"/>
    <n v="3"/>
    <s v="TRIPODS Panel 1"/>
    <d v="2017-05-17T00:00:00"/>
    <s v=" E/V,V,V"/>
    <s v="30 rated projects: 2 HR, 8 R, 11 NR, 9 NDP"/>
    <n v="12"/>
    <n v="0"/>
    <m/>
    <m/>
    <m/>
    <m/>
    <m/>
    <m/>
    <m/>
    <n v="12"/>
    <n v="0"/>
    <m/>
    <m/>
    <m/>
    <m/>
    <m/>
    <m/>
    <m/>
    <n v="12"/>
    <n v="0"/>
    <s v="1740741"/>
    <s v="Brock"/>
    <s v="Jeffrey"/>
    <s v="Brown University"/>
    <n v="1482177"/>
    <n v="1482177"/>
    <s v="047Z 060Z 062Z 9150"/>
    <m/>
    <m/>
    <m/>
    <m/>
    <m/>
    <m/>
    <m/>
    <m/>
    <m/>
    <m/>
    <m/>
    <m/>
    <m/>
    <m/>
    <m/>
    <m/>
    <m/>
    <m/>
    <m/>
    <m/>
    <m/>
    <m/>
    <m/>
    <m/>
    <m/>
    <m/>
    <m/>
    <m/>
    <m/>
    <m/>
    <m/>
    <m/>
    <m/>
    <m/>
    <m/>
    <m/>
    <m/>
    <m/>
    <m/>
    <m/>
    <m/>
    <m/>
    <s v="Transdisciplinary Research in Principles of Data Science Phase I"/>
    <s v="Division of Computing and Communication Foundations"/>
    <s v="TRIPODS Transdisciplinary Rese"/>
    <s v="Jack Snoeyink"/>
    <s v="Proposal has been awarded"/>
    <s v="New Project"/>
    <s v="Research Grants-Not Elsewh Cla"/>
    <s v="CSE"/>
    <s v="Direct For Computer &amp; Info Scie &amp; Enginr"/>
    <d v="2017-12-04T22:07:29"/>
    <s v="Jeff_Brock@brown.edu"/>
    <s v="Jeff_Brock@brown.edu      "/>
  </r>
  <r>
    <d v="2017-07-14T10:52:10"/>
    <d v="2017-03-15T14:14:00"/>
    <s v="NSF 16-615"/>
    <s v="05010000"/>
    <s v="041Y"/>
    <s v="NEW"/>
    <s v="AWD"/>
    <s v="4110"/>
    <s v="FY17TRIPOD"/>
    <s v="NAKANNA"/>
    <d v="2017-07-10T17:13:43"/>
    <n v="1"/>
    <n v="2.0299999999999998"/>
    <s v="R"/>
    <m/>
    <m/>
    <x v="1"/>
    <s v="RA 1740776 Huo"/>
    <m/>
    <m/>
    <s v="Nandini Kannan"/>
    <s v="Cognisant Program Director"/>
    <s v="eJ"/>
    <s v="xiaoming@isye.gatech.edu"/>
    <s v="PIs@"/>
    <s v="CCF"/>
    <s v="1740776"/>
    <n v="3"/>
    <m/>
    <m/>
    <n v="6"/>
    <n v="7"/>
    <n v="8"/>
    <s v="E/V,V,V/G"/>
    <d v="2017-05-16T21:20:00"/>
    <n v="1500000"/>
    <n v="1500000"/>
    <n v="0"/>
    <d v="2017-09-01T00:00:00"/>
    <n v="36"/>
    <s v="TRIPODS: Transdisciplinary Research Institute for Advancing Data Science (TRIAD)"/>
    <m/>
    <m/>
    <m/>
    <s v="P172027"/>
    <s v="Recommended"/>
    <n v="3"/>
    <s v="TRIPODS Panel 1"/>
    <d v="2017-05-17T00:00:00"/>
    <s v=" E/V,V,V/G"/>
    <s v="30 rated projects: 2 HR, 8 R, 11 NR, 9 NDP"/>
    <n v="12"/>
    <n v="1"/>
    <m/>
    <m/>
    <m/>
    <m/>
    <m/>
    <m/>
    <m/>
    <n v="12"/>
    <n v="1"/>
    <m/>
    <m/>
    <m/>
    <m/>
    <m/>
    <m/>
    <m/>
    <n v="12"/>
    <n v="1"/>
    <s v="1740776"/>
    <s v="Huo"/>
    <s v="Xiaoming"/>
    <s v="Georgia Tech Research Corp"/>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Nandini Kannan"/>
    <s v="Proposal has been awarded"/>
    <s v="New Project"/>
    <s v="Research Grants-Not Elsewh Cla"/>
    <s v="CSE"/>
    <s v="Direct For Computer &amp; Info Scie &amp; Enginr"/>
    <d v="2017-12-04T22:07:29"/>
    <s v="xiaoming@isye.gatech.edu"/>
    <s v="xiaoming@isye.gatech.edu      "/>
  </r>
  <r>
    <d v="2017-07-20T16:37:27"/>
    <d v="2017-03-15T15:24:00"/>
    <s v="NSF 16-615"/>
    <s v="05010000"/>
    <s v="041Y"/>
    <s v="NEW"/>
    <s v="AWD"/>
    <s v="4110"/>
    <s v="FY17TRIPOD"/>
    <s v="JSNOEYI"/>
    <d v="2017-07-18T14:42:42"/>
    <n v="1"/>
    <n v="2.0299999999999998"/>
    <s v="R"/>
    <m/>
    <m/>
    <x v="1"/>
    <s v="RA 1740796 Scheinberg"/>
    <m/>
    <m/>
    <s v="Jack Snoeyink"/>
    <s v="Cognisant Program Director"/>
    <s v="eJ"/>
    <s v="kas410@lehigh.edu"/>
    <s v="PIs@"/>
    <s v="CCF"/>
    <s v="1740796"/>
    <n v="3"/>
    <m/>
    <m/>
    <n v="6"/>
    <n v="6.666666666666667"/>
    <n v="7"/>
    <s v="V,V,V/G"/>
    <d v="2017-05-17T11:55:00"/>
    <n v="1484152"/>
    <n v="1484152"/>
    <n v="1"/>
    <d v="2018-01-01T00:00:00"/>
    <n v="36"/>
    <s v="Collaborative Research:  TRIPODS Institute for Optimization and Learning"/>
    <m/>
    <m/>
    <m/>
    <s v="P172027"/>
    <s v="Recommended"/>
    <n v="3"/>
    <s v="TRIPODS Panel 1"/>
    <d v="2017-05-17T00:00:00"/>
    <s v=" V,V,V/G"/>
    <s v="30 rated projects: 2 HR, 8 R, 11 NR, 9 NDP"/>
    <n v="12"/>
    <n v="1"/>
    <m/>
    <m/>
    <m/>
    <m/>
    <m/>
    <m/>
    <m/>
    <n v="12"/>
    <n v="1"/>
    <m/>
    <m/>
    <m/>
    <m/>
    <m/>
    <m/>
    <m/>
    <n v="12"/>
    <n v="1"/>
    <s v="1740796"/>
    <s v="Scheinberg"/>
    <s v="Katya"/>
    <s v="Lehigh University"/>
    <n v="895670"/>
    <n v="895670"/>
    <s v="047Z 062Z 9102"/>
    <s v="1740735"/>
    <s v="Liu"/>
    <s v="Han"/>
    <s v="Northwestern University"/>
    <n v="300000"/>
    <n v="300000"/>
    <s v="047Z 062Z"/>
    <s v="1740762"/>
    <s v="Orabona"/>
    <s v=" Francesco"/>
    <s v="SUNY Stony Brook"/>
    <n v="288482"/>
    <n v="288482"/>
    <s v="047Z 062Z"/>
    <m/>
    <m/>
    <m/>
    <m/>
    <m/>
    <m/>
    <m/>
    <m/>
    <m/>
    <m/>
    <m/>
    <m/>
    <m/>
    <m/>
    <m/>
    <m/>
    <m/>
    <m/>
    <m/>
    <m/>
    <m/>
    <m/>
    <m/>
    <m/>
    <m/>
    <m/>
    <m/>
    <m/>
    <s v="Transdisciplinary Research in Principles of Data Science Phase I"/>
    <s v="Division of Computing and Communication Foundations"/>
    <s v="TRIPODS Transdisciplinary Rese"/>
    <s v="Jack Snoeyink"/>
    <s v="Proposal has been awarded"/>
    <s v="New Project"/>
    <s v="Research Grants-Not Elsewh Cla"/>
    <s v="CSE"/>
    <s v="Direct For Computer &amp; Info Scie &amp; Enginr"/>
    <d v="2017-12-04T22:07:29"/>
    <s v="kas410@lehigh.edu"/>
    <s v="kas410@lehigh.edu;hanliu@princeton.edu;francesco@cs.stonybrook.edu    "/>
  </r>
  <r>
    <m/>
    <d v="2017-07-17T17:08:00"/>
    <s v="NSF 17-537"/>
    <s v="05010000"/>
    <s v="7796"/>
    <s v="NEW"/>
    <s v="PEND"/>
    <s v="4110"/>
    <s v="CAR17-18"/>
    <s v="JSNOEYI"/>
    <m/>
    <n v="1"/>
    <n v="2.0299999999999998"/>
    <s v="C"/>
    <m/>
    <m/>
    <x v="1"/>
    <s v="RA 1749563 Del Pia"/>
    <m/>
    <m/>
    <s v="Jack Snoeyink"/>
    <s v="Cognisant Program Director"/>
    <s v="eJ"/>
    <s v="delpia@wisc.edu"/>
    <s v="PIs@"/>
    <s v="CCF"/>
    <s v="1749563"/>
    <n v="4"/>
    <n v="4"/>
    <m/>
    <n v="6"/>
    <n v="7"/>
    <n v="8"/>
    <s v="E/V,V,V,V/G"/>
    <d v="2017-10-23T14:01:00"/>
    <n v="500000"/>
    <n v="500000"/>
    <n v="0"/>
    <d v="2018-09-01T00:00:00"/>
    <n v="60"/>
    <s v="CAREER: Mixed-Integer Quadratic Optimization: Algorithms and Complexity"/>
    <m/>
    <m/>
    <m/>
    <s v="P180207"/>
    <s v="Competitive"/>
    <n v="3"/>
    <s v="AF CAREER/CRII Panel A"/>
    <d v="2017-10-24T00:00:00"/>
    <s v=" E/V,V,V,V/G"/>
    <s v="31 rated projects: 3 HC, 12 C, 10 LC, 6 NC"/>
    <n v="14"/>
    <n v="0"/>
    <m/>
    <m/>
    <m/>
    <m/>
    <m/>
    <m/>
    <m/>
    <n v="14"/>
    <n v="0"/>
    <m/>
    <m/>
    <m/>
    <m/>
    <m/>
    <m/>
    <m/>
    <n v="14"/>
    <n v="0"/>
    <s v="1749563"/>
    <s v="Del Pia"/>
    <s v="Alberto"/>
    <s v="U of Wisconsin Madison"/>
    <n v="500000"/>
    <n v="500000"/>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delpia@wisc.edu"/>
    <s v="delpia@wisc.edu      "/>
  </r>
  <r>
    <m/>
    <d v="2017-07-19T09:18:00"/>
    <s v="NSF 17-537"/>
    <s v="05010000"/>
    <s v="7796"/>
    <s v="NEW"/>
    <s v="PEND"/>
    <s v="4110"/>
    <s v="CAR17-18"/>
    <s v="RSHAH"/>
    <m/>
    <n v="1"/>
    <n v="2.0299999999999998"/>
    <s v="C"/>
    <m/>
    <m/>
    <x v="1"/>
    <s v="RA 1750140 Panigrahi"/>
    <m/>
    <m/>
    <s v="Rahul Shah"/>
    <s v="Cognisant Program Director"/>
    <s v="eJ"/>
    <s v="debmalya.panigrahi@gmail.com"/>
    <s v="PIs@"/>
    <s v="CCF"/>
    <s v="1750140"/>
    <n v="4"/>
    <n v="4"/>
    <m/>
    <n v="7"/>
    <n v="7.75"/>
    <n v="9"/>
    <s v="E,E/V,V,V"/>
    <d v="2017-10-24T12:29:00"/>
    <n v="602288"/>
    <n v="602288"/>
    <n v="0"/>
    <d v="2018-03-01T00:00:00"/>
    <n v="60"/>
    <s v="CAREER: New Directions in Graph Algorithms"/>
    <m/>
    <m/>
    <m/>
    <s v="P180207"/>
    <s v="Competitive"/>
    <n v="3"/>
    <s v="AF CAREER/CRII Panel A"/>
    <d v="2017-10-24T00:00:00"/>
    <s v=" E,E/V,V,V"/>
    <s v="31 rated projects: 3 HC, 12 C, 10 LC, 6 NC"/>
    <n v="14"/>
    <n v="2"/>
    <m/>
    <m/>
    <m/>
    <m/>
    <m/>
    <m/>
    <m/>
    <n v="14"/>
    <n v="2"/>
    <m/>
    <m/>
    <m/>
    <m/>
    <m/>
    <m/>
    <m/>
    <n v="14"/>
    <n v="2"/>
    <s v="1750140"/>
    <s v="Panigrahi"/>
    <s v="Debmalya"/>
    <s v="Duke University"/>
    <n v="602288"/>
    <n v="602288"/>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debmalya.panigrahi@gmail.com"/>
    <s v="debmalya.panigrahi@gmail.com      "/>
  </r>
  <r>
    <m/>
    <d v="2017-08-09T17:55:00"/>
    <s v="NSF 17-552"/>
    <s v="05010000"/>
    <s v="026Y"/>
    <s v="NEW"/>
    <s v="PEND"/>
    <s v="4110"/>
    <s v="FY18CRII"/>
    <s v="RSHAH"/>
    <m/>
    <n v="1"/>
    <n v="2.0299999999999998"/>
    <s v="C"/>
    <m/>
    <m/>
    <x v="1"/>
    <s v="RA 1756014 Chen"/>
    <m/>
    <m/>
    <s v="Rahul Shah"/>
    <s v="Cognisant Program Director"/>
    <s v="eJ"/>
    <s v="lchen49@central.uh.edu"/>
    <s v="PIs@"/>
    <s v="CCF"/>
    <s v="1756014"/>
    <n v="3"/>
    <n v="3"/>
    <m/>
    <n v="5"/>
    <n v="6"/>
    <n v="7"/>
    <s v="V,V/G,G"/>
    <d v="2017-10-23T17:37:00"/>
    <n v="148477"/>
    <n v="148477"/>
    <n v="0"/>
    <d v="2018-06-01T00:00:00"/>
    <n v="24"/>
    <s v="CRII: AF: Polynomial Time Approximation Schemes Subexponential in the Parameter"/>
    <m/>
    <m/>
    <m/>
    <s v="P180207"/>
    <s v="Competitive"/>
    <n v="3"/>
    <s v="AF CAREER/CRII Panel A"/>
    <d v="2017-10-24T00:00:00"/>
    <s v=" V,V/G,G"/>
    <s v="31 rated projects: 3 HC, 12 C, 10 LC, 6 NC"/>
    <n v="14"/>
    <n v="0"/>
    <m/>
    <m/>
    <m/>
    <m/>
    <m/>
    <m/>
    <m/>
    <n v="14"/>
    <n v="0"/>
    <m/>
    <m/>
    <m/>
    <m/>
    <m/>
    <m/>
    <m/>
    <n v="14"/>
    <n v="0"/>
    <s v="1756014"/>
    <s v="Chen"/>
    <s v="Lin"/>
    <s v="U of Houston"/>
    <n v="148477"/>
    <n v="148477"/>
    <s v="7926 8228"/>
    <m/>
    <m/>
    <m/>
    <m/>
    <m/>
    <m/>
    <m/>
    <m/>
    <m/>
    <m/>
    <m/>
    <m/>
    <m/>
    <m/>
    <m/>
    <m/>
    <m/>
    <m/>
    <m/>
    <m/>
    <m/>
    <m/>
    <m/>
    <m/>
    <m/>
    <m/>
    <m/>
    <m/>
    <m/>
    <m/>
    <m/>
    <m/>
    <m/>
    <m/>
    <m/>
    <m/>
    <m/>
    <m/>
    <m/>
    <m/>
    <m/>
    <m/>
    <s v="Computer and Information Science and Engineering (CISE) Research Initiation Initiative"/>
    <s v="Division of Computing and Communication Foundations"/>
    <s v="CRII CISE Research Initiation"/>
    <s v="Rahul Shah"/>
    <s v="Pending, Review Package Produced"/>
    <s v="New Project"/>
    <s v="Research Grants-Not Elsewh Cla"/>
    <s v="CSE"/>
    <s v="Direct For Computer &amp; Info Scie &amp; Enginr"/>
    <d v="2017-12-04T22:07:29"/>
    <s v="lchen49@central.uh.edu"/>
    <s v="lchen49@central.uh.edu      "/>
  </r>
  <r>
    <d v="2016-12-20T15:27:38"/>
    <d v="2016-07-20T17:37:00"/>
    <s v="NSF 15-555"/>
    <s v="05010000"/>
    <s v="7796"/>
    <s v="NEW"/>
    <s v="AWD"/>
    <s v="4110"/>
    <s v="CAR16-17"/>
    <s v="TKIMBRE"/>
    <d v="2016-12-15T15:51:37"/>
    <n v="1"/>
    <n v="2.04"/>
    <s v="C"/>
    <m/>
    <m/>
    <x v="1"/>
    <s v="RA 1652862 Diakonikolas"/>
    <m/>
    <m/>
    <s v="Tracy J. Kimbrel"/>
    <s v="Cognisant Program Director"/>
    <s v="eJ"/>
    <s v="diakonik@usc.edu"/>
    <s v="PIs@"/>
    <s v="CCF"/>
    <s v="1652862"/>
    <n v="4"/>
    <m/>
    <m/>
    <n v="6"/>
    <n v="7.5"/>
    <n v="9"/>
    <s v="E,E/V,V,V/G"/>
    <d v="2016-10-17T09:49:00"/>
    <n v="601594"/>
    <n v="540000"/>
    <n v="1"/>
    <d v="2017-02-01T00:00:00"/>
    <n v="60"/>
    <s v="CAREER: Efficient Algorithms for Learning and Testing Structured Probabilistic Models"/>
    <n v="1"/>
    <s v=" V"/>
    <d v="2016-10-08T08:26:00"/>
    <s v="P170288"/>
    <s v="Competitive"/>
    <n v="4"/>
    <s v="AF CAREER Panel"/>
    <d v="2016-10-18T00:00:00"/>
    <s v=" E,E/V ,V/G"/>
    <s v="29 rated projects: 3 HC, 14 C, 11 LC, 1 NC"/>
    <n v="12"/>
    <n v="1"/>
    <m/>
    <m/>
    <m/>
    <m/>
    <m/>
    <m/>
    <m/>
    <n v="12"/>
    <n v="1"/>
    <m/>
    <m/>
    <m/>
    <m/>
    <m/>
    <m/>
    <m/>
    <n v="12"/>
    <n v="1"/>
    <s v="1652862"/>
    <s v="Diakonikolas"/>
    <s v="Ilias"/>
    <s v="U of Southern California"/>
    <n v="601594"/>
    <n v="540000"/>
    <s v="1045 7926"/>
    <m/>
    <m/>
    <m/>
    <m/>
    <m/>
    <m/>
    <m/>
    <m/>
    <m/>
    <m/>
    <m/>
    <m/>
    <m/>
    <m/>
    <m/>
    <m/>
    <m/>
    <m/>
    <m/>
    <m/>
    <m/>
    <m/>
    <m/>
    <m/>
    <m/>
    <m/>
    <m/>
    <m/>
    <m/>
    <m/>
    <m/>
    <m/>
    <m/>
    <m/>
    <m/>
    <m/>
    <m/>
    <m/>
    <m/>
    <m/>
    <m/>
    <m/>
    <s v="Faculty Early Career Development Program"/>
    <s v="Division of Computing and Communication Foundations"/>
    <s v="ALGORITHMIC FOUNDATIONS"/>
    <s v="Tracy J. Kimbrel"/>
    <s v="Proposal has been awarded"/>
    <s v="New Project"/>
    <s v="Research Grants-Not Elsewh Cla"/>
    <s v="CSE"/>
    <s v="Direct For Computer &amp; Info Scie &amp; Enginr"/>
    <d v="2017-12-04T22:07:29"/>
    <s v="diakonik@usc.edu"/>
    <s v="diakonik@usc.edu      "/>
  </r>
  <r>
    <d v="2017-03-08T16:47:54"/>
    <d v="2016-07-20T15:23:00"/>
    <s v="NSF 15-555"/>
    <s v="05010000"/>
    <s v="7796"/>
    <s v="NEW"/>
    <s v="AWD"/>
    <s v="4110"/>
    <s v="CAR16-17"/>
    <s v="TKIMBRE"/>
    <d v="2017-01-27T11:58:32"/>
    <n v="1"/>
    <n v="2.0499999999999998"/>
    <s v="C"/>
    <m/>
    <m/>
    <x v="1"/>
    <s v="RA 1652491 Vijayaraghavan"/>
    <m/>
    <m/>
    <s v="Tracy J. Kimbrel"/>
    <s v="Cognisant Program Director"/>
    <s v="eJ"/>
    <s v="aravindv@northwestern.edu"/>
    <s v="PIs@"/>
    <s v="CCF"/>
    <s v="1652491"/>
    <n v="4"/>
    <m/>
    <m/>
    <n v="7"/>
    <n v="7.5"/>
    <n v="8"/>
    <s v="E/V,E/V,V,V"/>
    <d v="2016-10-17T14:04:00"/>
    <n v="505251"/>
    <n v="505251"/>
    <n v="0"/>
    <d v="2017-01-01T00:00:00"/>
    <n v="60"/>
    <s v="CAREER: Beyond Worst-Case Analysis: New Approaches in Approximation Algorithms and Machine Learning"/>
    <n v="1"/>
    <s v=" V"/>
    <d v="2016-10-07T00:56:00"/>
    <s v="P170288"/>
    <s v="Competitive"/>
    <n v="5"/>
    <s v="AF CAREER Panel"/>
    <d v="2016-10-18T00:00:00"/>
    <s v=" E/V,E/V,V"/>
    <s v="29 rated projects: 3 HC, 14 C, 11 LC, 1 NC"/>
    <n v="12"/>
    <n v="0"/>
    <m/>
    <m/>
    <m/>
    <m/>
    <m/>
    <m/>
    <m/>
    <n v="12"/>
    <n v="0"/>
    <m/>
    <m/>
    <m/>
    <m/>
    <m/>
    <m/>
    <m/>
    <n v="12"/>
    <n v="0"/>
    <s v="1652491"/>
    <s v="Vijayaraghavan"/>
    <s v="Aravindan"/>
    <s v="Northwestern University"/>
    <n v="505251"/>
    <n v="505251"/>
    <s v="1045 7926"/>
    <m/>
    <m/>
    <m/>
    <m/>
    <m/>
    <m/>
    <m/>
    <m/>
    <m/>
    <m/>
    <m/>
    <m/>
    <m/>
    <m/>
    <m/>
    <m/>
    <m/>
    <m/>
    <m/>
    <m/>
    <m/>
    <m/>
    <m/>
    <m/>
    <m/>
    <m/>
    <m/>
    <m/>
    <m/>
    <m/>
    <m/>
    <m/>
    <m/>
    <m/>
    <m/>
    <m/>
    <m/>
    <m/>
    <m/>
    <m/>
    <m/>
    <m/>
    <s v="Faculty Early Career Development Program"/>
    <s v="Division of Computing and Communication Foundations"/>
    <s v="ALGORITHMIC FOUNDATIONS"/>
    <s v="Tracy J. Kimbrel"/>
    <s v="Proposal has been awarded"/>
    <s v="New Project"/>
    <s v="Research Grants-Not Elsewh Cla"/>
    <s v="CSE"/>
    <s v="Direct For Computer &amp; Info Scie &amp; Enginr"/>
    <d v="2017-12-04T22:07:29"/>
    <s v="aravindv@northwestern.edu"/>
    <s v="aravindv@northwestern.edu      "/>
  </r>
  <r>
    <m/>
    <d v="2017-07-19T08:59:00"/>
    <s v="NSF 17-537"/>
    <s v="05010000"/>
    <s v="7796"/>
    <s v="NEW"/>
    <s v="PEND"/>
    <s v="4110"/>
    <s v="CAR17-18"/>
    <s v="RSHAH"/>
    <m/>
    <n v="1"/>
    <n v="2.0499999999999998"/>
    <s v="C"/>
    <m/>
    <m/>
    <x v="1"/>
    <s v="RA 1750127 Nagarajan"/>
    <m/>
    <m/>
    <s v="Rahul Shah"/>
    <s v="Cognisant Program Director"/>
    <s v="eJ"/>
    <s v="viswa@umich.edu"/>
    <s v="PIs@"/>
    <s v="CCF"/>
    <s v="1750127"/>
    <n v="4"/>
    <n v="4"/>
    <m/>
    <n v="5"/>
    <n v="7"/>
    <n v="9"/>
    <s v="E,V,V,G"/>
    <d v="2017-10-24T12:28:00"/>
    <n v="524840"/>
    <n v="524840"/>
    <n v="0"/>
    <d v="2018-05-01T00:00:00"/>
    <n v="60"/>
    <s v="CAREER: New Mathematical Programming Techniques in Approximation and Online Algorithms"/>
    <m/>
    <m/>
    <m/>
    <s v="P180207"/>
    <s v="Competitive"/>
    <n v="5"/>
    <s v="AF CAREER/CRII Panel A"/>
    <d v="2017-10-24T00:00:00"/>
    <s v=" E,V,V,G"/>
    <s v="31 rated projects: 3 HC, 12 C, 10 LC, 6 NC"/>
    <n v="14"/>
    <n v="0"/>
    <m/>
    <m/>
    <m/>
    <m/>
    <m/>
    <m/>
    <m/>
    <n v="14"/>
    <n v="0"/>
    <m/>
    <m/>
    <m/>
    <m/>
    <m/>
    <m/>
    <m/>
    <n v="14"/>
    <n v="0"/>
    <s v="1750127"/>
    <s v="Nagarajan"/>
    <s v="Viswanath"/>
    <s v="University of Michigan"/>
    <n v="524840"/>
    <n v="524840"/>
    <s v="1045"/>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viswa@umich.edu"/>
    <s v="viswa@umich.edu      "/>
  </r>
  <r>
    <d v="2017-03-21T15:02:30"/>
    <d v="2016-07-19T18:40:00"/>
    <s v="NSF 15-555"/>
    <s v="05010000"/>
    <s v="7796"/>
    <s v="NEW"/>
    <s v="AWD"/>
    <s v="4110"/>
    <s v="CAR16-17"/>
    <s v="TKIMBRE"/>
    <d v="2017-03-06T10:37:12"/>
    <n v="1"/>
    <n v="2.06"/>
    <s v="C"/>
    <m/>
    <m/>
    <x v="1"/>
    <s v="RA 1651838 Williams"/>
    <m/>
    <m/>
    <s v="Tracy J. Kimbrel"/>
    <s v="Cognisant Program Director"/>
    <s v="eJ"/>
    <s v="virgi@mit.edu"/>
    <s v="PIs@"/>
    <s v="CCF"/>
    <s v="1651838"/>
    <n v="5"/>
    <m/>
    <m/>
    <n v="1"/>
    <n v="6.6"/>
    <n v="9"/>
    <s v="E,E,V,V,P"/>
    <d v="2016-10-17T09:46:00"/>
    <n v="550000"/>
    <n v="400000"/>
    <n v="1"/>
    <d v="2017-02-01T00:00:00"/>
    <n v="60"/>
    <s v="CAREER:Matrix Products: Algorithms and Applications"/>
    <n v="2"/>
    <s v=" V ,P"/>
    <d v="2016-10-12T18:11:00"/>
    <s v="P170288"/>
    <s v="Competitive"/>
    <n v="6"/>
    <s v="AF CAREER Panel"/>
    <d v="2016-10-18T00:00:00"/>
    <s v=" E,E ,V"/>
    <s v="29 rated projects: 3 HC, 14 C, 11 LC, 1 NC"/>
    <n v="12"/>
    <n v="0"/>
    <m/>
    <m/>
    <m/>
    <m/>
    <m/>
    <m/>
    <m/>
    <n v="12"/>
    <n v="0"/>
    <m/>
    <m/>
    <m/>
    <m/>
    <m/>
    <m/>
    <m/>
    <n v="12"/>
    <n v="0"/>
    <s v="1651838"/>
    <s v="Williams"/>
    <s v="Virginia"/>
    <s v="MIT"/>
    <n v="550000"/>
    <n v="400000"/>
    <s v="1045 7926"/>
    <m/>
    <m/>
    <m/>
    <m/>
    <m/>
    <m/>
    <m/>
    <m/>
    <m/>
    <m/>
    <m/>
    <m/>
    <m/>
    <m/>
    <m/>
    <m/>
    <m/>
    <m/>
    <m/>
    <m/>
    <m/>
    <m/>
    <m/>
    <m/>
    <m/>
    <m/>
    <m/>
    <m/>
    <m/>
    <m/>
    <m/>
    <m/>
    <m/>
    <m/>
    <m/>
    <m/>
    <m/>
    <m/>
    <m/>
    <m/>
    <m/>
    <m/>
    <s v="Faculty Early Career Development Program"/>
    <s v="Division of Computing and Communication Foundations"/>
    <s v="ALGORITHMIC FOUNDATIONS"/>
    <s v="Tracy J. Kimbrel"/>
    <s v="Proposal has been awarded"/>
    <s v="New Project"/>
    <s v="Research Grants-Not Elsewh Cla"/>
    <s v="CSE"/>
    <s v="Direct For Computer &amp; Info Scie &amp; Enginr"/>
    <d v="2017-12-04T22:07:29"/>
    <s v="virgi@mit.edu"/>
    <s v="virgi@mit.edu      "/>
  </r>
  <r>
    <d v="2017-07-18T11:17:57"/>
    <d v="2017-03-15T15:49:00"/>
    <s v="NSF 16-615"/>
    <s v="05010000"/>
    <s v="041Y"/>
    <s v="NEW"/>
    <s v="DECL"/>
    <s v="4110"/>
    <s v="FY17TRIPOD"/>
    <s v="JSNOEYI"/>
    <d v="2017-07-04T02:57:20"/>
    <n v="1"/>
    <n v="2.06"/>
    <s v="R"/>
    <m/>
    <m/>
    <x v="1"/>
    <s v="RA 1740807 Abbe"/>
    <m/>
    <m/>
    <s v="Jack Snoeyink"/>
    <s v="Cognisant Program Director"/>
    <s v="eJ"/>
    <s v="eabbe@princeton.edu"/>
    <s v="PIs@"/>
    <s v="CCF"/>
    <s v="1740807"/>
    <n v="3"/>
    <m/>
    <m/>
    <n v="6"/>
    <n v="7"/>
    <n v="8"/>
    <s v="E/V,V,V/G"/>
    <d v="2017-05-17T09:30:00"/>
    <n v="1500000"/>
    <n v="1500000"/>
    <n v="0"/>
    <d v="2017-09-01T00:00:00"/>
    <n v="36"/>
    <s v="Structure, Randomness, and Information in Data Science"/>
    <m/>
    <m/>
    <m/>
    <s v="P172027"/>
    <s v="Recommended"/>
    <n v="6"/>
    <s v="TRIPODS Panel 1"/>
    <d v="2017-05-17T00:00:00"/>
    <s v=" E/V,V,V/G"/>
    <s v="30 rated projects: 2 HR, 8 R, 11 NR, 9 NDP"/>
    <n v="12"/>
    <n v="0"/>
    <m/>
    <m/>
    <m/>
    <m/>
    <m/>
    <m/>
    <m/>
    <n v="12"/>
    <n v="0"/>
    <m/>
    <m/>
    <m/>
    <m/>
    <m/>
    <m/>
    <m/>
    <n v="12"/>
    <n v="0"/>
    <s v="1740807"/>
    <s v="Abbe"/>
    <s v="Emmanuel"/>
    <s v="Princeton University"/>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eabbe@princeton.edu"/>
    <s v="eabbe@princeton.edu      "/>
  </r>
  <r>
    <m/>
    <d v="2017-07-18T12:35:00"/>
    <s v="NSF 17-537"/>
    <s v="05010000"/>
    <s v="7796"/>
    <s v="NEW"/>
    <s v="PEND"/>
    <s v="4110"/>
    <s v="CAR17-18"/>
    <s v="TKIMBRE"/>
    <m/>
    <n v="1"/>
    <n v="2.06"/>
    <s v="C"/>
    <m/>
    <m/>
    <x v="1"/>
    <s v="RA 1749748 Chandrasekaran"/>
    <m/>
    <m/>
    <s v="Tracy J. Kimbrel"/>
    <s v="Cognisant Program Director"/>
    <s v="eJ"/>
    <s v="karthe@illinois.edu"/>
    <s v="PIs@"/>
    <s v="CCF"/>
    <s v="1749748"/>
    <n v="4"/>
    <n v="4"/>
    <m/>
    <n v="5"/>
    <n v="6.75"/>
    <n v="8"/>
    <s v="E/V,V,V,G"/>
    <d v="2017-10-22T17:21:00"/>
    <n v="446040"/>
    <n v="446040"/>
    <n v="0"/>
    <d v="2018-01-15T00:00:00"/>
    <n v="60"/>
    <s v="CAREER: Frontiers in the Algorithmic Theory of Cutting Planes"/>
    <m/>
    <m/>
    <m/>
    <s v="P180207"/>
    <s v="Competitive"/>
    <n v="6"/>
    <s v="AF CAREER/CRII Panel A"/>
    <d v="2017-10-24T00:00:00"/>
    <s v=" E/V,V,V,G"/>
    <s v="31 rated projects: 3 HC, 12 C, 10 LC, 6 NC"/>
    <n v="14"/>
    <n v="2"/>
    <m/>
    <m/>
    <m/>
    <m/>
    <m/>
    <m/>
    <m/>
    <n v="14"/>
    <n v="2"/>
    <m/>
    <m/>
    <m/>
    <m/>
    <m/>
    <m/>
    <m/>
    <n v="14"/>
    <n v="2"/>
    <s v="1749748"/>
    <s v="Chandrasekaran"/>
    <s v="Karthekeyan"/>
    <s v="U of Ill Urbana-Champaign"/>
    <n v="446040"/>
    <n v="446040"/>
    <s v="1045 7926"/>
    <m/>
    <m/>
    <m/>
    <m/>
    <m/>
    <m/>
    <m/>
    <m/>
    <m/>
    <m/>
    <m/>
    <m/>
    <m/>
    <m/>
    <m/>
    <m/>
    <m/>
    <m/>
    <m/>
    <m/>
    <m/>
    <m/>
    <m/>
    <m/>
    <m/>
    <m/>
    <m/>
    <m/>
    <m/>
    <m/>
    <m/>
    <m/>
    <m/>
    <m/>
    <m/>
    <m/>
    <m/>
    <m/>
    <m/>
    <m/>
    <m/>
    <m/>
    <s v="Faculty Early Career Development Program"/>
    <s v="Division of Computing and Communication Foundations"/>
    <s v="ALGORITHMIC FOUNDATIONS"/>
    <s v="Tracy J. Kimbrel"/>
    <s v="Pending, Review Package Produced"/>
    <s v="New Project"/>
    <s v="Research Grants-Not Elsewh Cla"/>
    <s v="CSE"/>
    <s v="Direct For Computer &amp; Info Scie &amp; Enginr"/>
    <d v="2017-12-04T22:07:29"/>
    <s v="karthe@illinois.edu"/>
    <s v="karthe@illinois.edu      "/>
  </r>
  <r>
    <d v="2016-12-12T12:19:22"/>
    <d v="2016-07-19T13:45:00"/>
    <s v="NSF 15-555"/>
    <s v="05010000"/>
    <s v="7796"/>
    <s v="NEW"/>
    <s v="DECL"/>
    <s v="4110"/>
    <s v="CAR16-17"/>
    <s v="TKIMBRE"/>
    <d v="2016-12-11T22:12:16"/>
    <n v="1"/>
    <n v="2.0699999999999998"/>
    <s v="C"/>
    <m/>
    <m/>
    <x v="1"/>
    <s v="RA 1651631 Ene"/>
    <m/>
    <m/>
    <s v="Tracy J. Kimbrel"/>
    <s v="Cognisant Program Director"/>
    <s v="eJ"/>
    <s v="aene@bu.edu"/>
    <s v="PIs@"/>
    <s v="CCF"/>
    <s v="1651631"/>
    <n v="4"/>
    <m/>
    <m/>
    <n v="7"/>
    <n v="7.5"/>
    <n v="8"/>
    <s v="E/V,E/V,V,V"/>
    <d v="2016-10-17T02:46:00"/>
    <n v="504558"/>
    <n v="504558"/>
    <n v="0"/>
    <d v="2017-01-01T00:00:00"/>
    <n v="60"/>
    <s v="CAREER: New Algorithms for Submodular Optimization"/>
    <n v="1"/>
    <s v=" V"/>
    <d v="2016-10-07T17:54:00"/>
    <s v="P170288"/>
    <s v="Competitive"/>
    <n v="7"/>
    <s v="AF CAREER Panel"/>
    <d v="2016-10-18T00:00:00"/>
    <s v=" E/V,E/V ,V"/>
    <s v="29 rated projects: 3 HC, 14 C, 11 LC, 1 NC"/>
    <n v="12"/>
    <n v="0"/>
    <m/>
    <m/>
    <m/>
    <m/>
    <m/>
    <m/>
    <m/>
    <n v="12"/>
    <n v="0"/>
    <m/>
    <m/>
    <m/>
    <m/>
    <m/>
    <m/>
    <m/>
    <n v="12"/>
    <n v="0"/>
    <s v="1651631"/>
    <s v="Ene"/>
    <s v="Alina"/>
    <s v="Boston University"/>
    <n v="504558"/>
    <n v="504558"/>
    <s v="1045 7926"/>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aene@bu.edu"/>
    <s v="aene@bu.edu      "/>
  </r>
  <r>
    <d v="2017-07-18T11:15:43"/>
    <d v="2017-03-15T16:32:00"/>
    <s v="NSF 16-615"/>
    <s v="05010000"/>
    <s v="041Y"/>
    <s v="NEW"/>
    <s v="DECL"/>
    <s v="4110"/>
    <s v="FY17TRIPOD"/>
    <s v="JSNOEYI"/>
    <d v="2017-07-04T02:53:02"/>
    <n v="1"/>
    <n v="2.0699999999999998"/>
    <s v="R"/>
    <m/>
    <m/>
    <x v="1"/>
    <s v="RA 1740825 Fernandez Granda"/>
    <m/>
    <m/>
    <s v="Jack Snoeyink"/>
    <s v="Cognisant Program Director"/>
    <s v="eJ"/>
    <s v="cfg3@nyu.edu"/>
    <s v="PIs@"/>
    <s v="CCF"/>
    <s v="1740825"/>
    <n v="3"/>
    <m/>
    <m/>
    <n v="5"/>
    <n v="6.333333333333333"/>
    <n v="8"/>
    <s v="E/V,V/G,G"/>
    <d v="2017-05-18T12:54:00"/>
    <n v="1473414"/>
    <n v="1473414"/>
    <n v="0"/>
    <d v="2017-09-01T00:00:00"/>
    <n v="36"/>
    <s v="Building the Foundations of Data Science"/>
    <m/>
    <m/>
    <m/>
    <s v="P172027"/>
    <s v="Recommended"/>
    <n v="7"/>
    <s v="TRIPODS Panel 1"/>
    <d v="2017-05-17T00:00:00"/>
    <s v=" E/V,V/G,G"/>
    <s v="30 rated projects: 2 HR, 8 R, 11 NR, 9 NDP"/>
    <n v="12"/>
    <n v="0"/>
    <m/>
    <m/>
    <m/>
    <m/>
    <m/>
    <m/>
    <m/>
    <n v="12"/>
    <n v="0"/>
    <m/>
    <m/>
    <m/>
    <m/>
    <m/>
    <m/>
    <m/>
    <n v="12"/>
    <n v="0"/>
    <s v="1740825"/>
    <s v="Fernandez Granda"/>
    <s v="Carlos"/>
    <s v="New York University"/>
    <n v="1473414"/>
    <n v="1473414"/>
    <s v="047Z 062Z 9102"/>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cfg3@nyu.edu"/>
    <s v="cfg3@nyu.edu      "/>
  </r>
  <r>
    <m/>
    <d v="2017-07-18T12:11:00"/>
    <s v="NSF 17-537"/>
    <s v="05010000"/>
    <s v="7796"/>
    <s v="NEW"/>
    <s v="PEND"/>
    <s v="4110"/>
    <s v="CAR17-18"/>
    <s v="RSHAH"/>
    <m/>
    <n v="1"/>
    <n v="2.0699999999999998"/>
    <s v="C"/>
    <m/>
    <m/>
    <x v="1"/>
    <s v="RA 1749734 Sidford"/>
    <m/>
    <m/>
    <s v="Rahul Shah"/>
    <s v="Cognisant Program Director"/>
    <s v="eJ"/>
    <s v="sidford@stanford.edu"/>
    <s v="PIs@"/>
    <s v="CCF"/>
    <s v="1749734"/>
    <n v="4"/>
    <n v="4"/>
    <m/>
    <n v="7"/>
    <n v="7.5"/>
    <n v="9"/>
    <s v="E,V,V,V"/>
    <d v="2017-10-24T12:22:00"/>
    <n v="500000"/>
    <n v="500000"/>
    <n v="0"/>
    <d v="2017-10-01T00:00:00"/>
    <n v="60"/>
    <s v="CAREER: Theory of Fast Graph Optimization"/>
    <m/>
    <m/>
    <m/>
    <s v="P180207"/>
    <s v="Competitive"/>
    <n v="7"/>
    <s v="AF CAREER/CRII Panel A"/>
    <d v="2017-10-24T00:00:00"/>
    <s v=" E,V,V,V"/>
    <s v="31 rated projects: 3 HC, 12 C, 10 LC, 6 NC"/>
    <n v="14"/>
    <n v="1"/>
    <m/>
    <m/>
    <m/>
    <m/>
    <m/>
    <m/>
    <m/>
    <n v="14"/>
    <n v="1"/>
    <m/>
    <m/>
    <m/>
    <m/>
    <m/>
    <m/>
    <m/>
    <n v="14"/>
    <n v="1"/>
    <s v="1749734"/>
    <s v="Sidford"/>
    <s v="Aaron"/>
    <s v="Stanford University"/>
    <n v="500000"/>
    <n v="500000"/>
    <s v="1045"/>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sidford@stanford.edu"/>
    <s v="sidford@stanford.edu      "/>
  </r>
  <r>
    <m/>
    <d v="2017-07-19T15:12:00"/>
    <s v="NSF 17-537"/>
    <s v="05010000"/>
    <s v="7796"/>
    <s v="NEW"/>
    <s v="PEND"/>
    <s v="4110"/>
    <s v="CAR17-18"/>
    <s v="JSNOEYI"/>
    <m/>
    <n v="1"/>
    <n v="2.0699999999999998"/>
    <s v="C"/>
    <m/>
    <m/>
    <x v="2"/>
    <s v="Awd  1750780 Raichel"/>
    <m/>
    <m/>
    <s v="Jack Snoeyink"/>
    <s v="Cognisant Program Director"/>
    <s v="eJ"/>
    <s v="Benjamin.Raichel@utdallas.edu"/>
    <s v="PIs@"/>
    <s v="CCF"/>
    <s v="1750780"/>
    <n v="4"/>
    <n v="4"/>
    <m/>
    <n v="7"/>
    <n v="7.5"/>
    <n v="9"/>
    <s v="E,V,V,V"/>
    <d v="2017-10-22T04:21:00"/>
    <n v="582785"/>
    <n v="582785"/>
    <n v="0"/>
    <d v="2018-09-01T00:00:00"/>
    <n v="60"/>
    <s v="CAREER:  AF: Giving Form to Data with a Geometric Scaffold"/>
    <m/>
    <m/>
    <m/>
    <s v="P180207"/>
    <s v="Competitive"/>
    <n v="7"/>
    <s v="AF CAREER/CRII Panel A"/>
    <d v="2017-10-24T00:00:00"/>
    <s v=" E,V,V,V"/>
    <s v="31 rated projects: 3 HC, 12 C, 10 LC, 6 NC"/>
    <n v="14"/>
    <n v="1"/>
    <m/>
    <m/>
    <m/>
    <m/>
    <m/>
    <m/>
    <m/>
    <n v="14"/>
    <n v="1"/>
    <m/>
    <m/>
    <m/>
    <m/>
    <m/>
    <m/>
    <m/>
    <n v="14"/>
    <n v="1"/>
    <s v="1750780"/>
    <s v="Raichel"/>
    <s v="Benjamin"/>
    <s v="U of Texas Dallas"/>
    <n v="582785"/>
    <n v="582785"/>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Benjamin.Raichel@utdallas.edu"/>
    <s v="Benjamin.Raichel@utdallas.edu      "/>
  </r>
  <r>
    <d v="2016-11-08T08:55:29"/>
    <d v="2016-07-20T10:47:00"/>
    <s v="NSF 15-555"/>
    <s v="05010000"/>
    <s v="7796"/>
    <s v="NEW"/>
    <s v="DECL"/>
    <s v="4110"/>
    <s v="CAR16-17"/>
    <s v="JSNOEYI"/>
    <d v="2016-11-07T13:38:55"/>
    <n v="1"/>
    <n v="2.08"/>
    <s v="C"/>
    <m/>
    <m/>
    <x v="1"/>
    <s v="RA 1651987 Ge"/>
    <m/>
    <m/>
    <s v="Jack Snoeyink"/>
    <s v="Cognisant Program Director"/>
    <s v="eJ"/>
    <s v="rongge@cs.duke.edu"/>
    <s v="PIs@"/>
    <s v="CCF"/>
    <s v="1651987"/>
    <n v="4"/>
    <m/>
    <m/>
    <n v="5"/>
    <n v="7.25"/>
    <n v="9"/>
    <s v="E,E/V,V,G"/>
    <d v="2016-10-18T09:46:00"/>
    <n v="521233"/>
    <n v="521233"/>
    <n v="0"/>
    <d v="2017-02-01T00:00:00"/>
    <n v="60"/>
    <s v="CAREER: Understanding Non-convex Optimization for Machine Learning"/>
    <n v="1"/>
    <s v=" V"/>
    <d v="2016-10-10T13:24:00"/>
    <s v="P170288"/>
    <s v="Competitive"/>
    <n v="8"/>
    <s v="AF CAREER Panel"/>
    <d v="2016-10-18T00:00:00"/>
    <s v=" E,E/V ,G"/>
    <s v="29 rated projects: 3 HC, 14 C, 11 LC, 1 NC"/>
    <n v="12"/>
    <n v="0"/>
    <m/>
    <m/>
    <m/>
    <m/>
    <m/>
    <m/>
    <m/>
    <n v="12"/>
    <n v="0"/>
    <m/>
    <m/>
    <m/>
    <m/>
    <m/>
    <m/>
    <m/>
    <n v="12"/>
    <n v="0"/>
    <s v="1651987"/>
    <s v="Ge"/>
    <s v="Rong"/>
    <s v="Duke University"/>
    <n v="521233"/>
    <n v="521233"/>
    <s v="1045 7926"/>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rongge@cs.duke.edu"/>
    <s v="rongge@cs.duke.edu      "/>
  </r>
  <r>
    <d v="2016-12-20T12:57:18"/>
    <d v="2016-07-20T13:50:00"/>
    <s v="NSF 15-555"/>
    <s v="05010000"/>
    <s v="7796"/>
    <s v="NEW"/>
    <s v="AWD"/>
    <s v="4110"/>
    <s v="CAR16-17"/>
    <s v="RSHAH"/>
    <d v="2016-12-19T12:16:38"/>
    <n v="1"/>
    <n v="2.08"/>
    <s v="C"/>
    <m/>
    <m/>
    <x v="1"/>
    <s v="RA 1652257 Braverman"/>
    <m/>
    <m/>
    <s v="Rahul Shah"/>
    <s v="Cognisant Program Director"/>
    <s v="eJ"/>
    <s v="vova@cs.jhu.edu"/>
    <s v="PIs@"/>
    <s v="CCF"/>
    <s v="1652257"/>
    <n v="5"/>
    <m/>
    <m/>
    <n v="6"/>
    <n v="7"/>
    <n v="8"/>
    <s v="E/V,V,V,V,V/G"/>
    <d v="2016-10-17T01:45:00"/>
    <n v="628332"/>
    <n v="500000"/>
    <n v="2"/>
    <d v="2017-08-01T00:00:00"/>
    <n v="60"/>
    <s v="CAREER: New Methods for Central Streaming Problems"/>
    <n v="1"/>
    <s v=" V"/>
    <d v="2016-10-17T01:45:00"/>
    <s v="P170288"/>
    <s v="Competitive"/>
    <n v="8"/>
    <s v="AF CAREER Panel"/>
    <d v="2016-10-18T00:00:00"/>
    <s v=" E/V ,V,V,V/G"/>
    <s v="29 rated projects: 3 HC, 14 C, 11 LC, 1 NC"/>
    <n v="12"/>
    <n v="0"/>
    <m/>
    <m/>
    <m/>
    <m/>
    <m/>
    <m/>
    <m/>
    <n v="12"/>
    <n v="0"/>
    <m/>
    <m/>
    <m/>
    <m/>
    <m/>
    <m/>
    <m/>
    <n v="12"/>
    <n v="0"/>
    <s v="1652257"/>
    <s v="Braverman"/>
    <s v="Vladimir"/>
    <s v="Johns Hopkins University"/>
    <n v="628332"/>
    <n v="500000"/>
    <s v="1045 7926"/>
    <m/>
    <m/>
    <m/>
    <m/>
    <m/>
    <m/>
    <m/>
    <m/>
    <m/>
    <m/>
    <m/>
    <m/>
    <m/>
    <m/>
    <m/>
    <m/>
    <m/>
    <m/>
    <m/>
    <m/>
    <m/>
    <m/>
    <m/>
    <m/>
    <m/>
    <m/>
    <m/>
    <m/>
    <m/>
    <m/>
    <m/>
    <m/>
    <m/>
    <m/>
    <m/>
    <m/>
    <m/>
    <m/>
    <m/>
    <m/>
    <m/>
    <m/>
    <s v="Faculty Early Career Development Program"/>
    <s v="Division of Computing and Communication Foundations"/>
    <s v="ALGORITHMIC FOUNDATIONS"/>
    <s v="Rahul Shah"/>
    <s v="Proposal has been awarded"/>
    <s v="New Project"/>
    <s v="Research Grants-Not Elsewh Cla"/>
    <s v="CSE"/>
    <s v="Direct For Computer &amp; Info Scie &amp; Enginr"/>
    <d v="2017-12-04T22:07:29"/>
    <s v="vova@cs.jhu.edu"/>
    <s v="vova@cs.jhu.edu      "/>
  </r>
  <r>
    <d v="2016-12-12T12:21:57"/>
    <d v="2016-07-20T17:26:00"/>
    <s v="NSF 15-555"/>
    <s v="05010000"/>
    <s v="7796"/>
    <s v="NEW"/>
    <s v="DECL"/>
    <s v="4110"/>
    <s v="CAR16-17"/>
    <s v="TKIMBRE"/>
    <d v="2016-12-11T22:17:44"/>
    <n v="1"/>
    <n v="2.08"/>
    <s v="C"/>
    <m/>
    <m/>
    <x v="1"/>
    <s v="RA 1652845 Price"/>
    <m/>
    <m/>
    <s v="Tracy J. Kimbrel"/>
    <s v="Cognisant Program Director"/>
    <s v="eJ"/>
    <s v="ecprice@cs.utexas.edu"/>
    <s v="PIs@"/>
    <s v="CCF"/>
    <s v="1652845"/>
    <n v="4"/>
    <m/>
    <m/>
    <n v="6"/>
    <n v="7.5"/>
    <n v="9"/>
    <s v="E,E/V,V,V/G"/>
    <d v="2016-10-17T06:36:00"/>
    <n v="499916"/>
    <n v="499916"/>
    <n v="0"/>
    <d v="2017-09-01T00:00:00"/>
    <n v="60"/>
    <s v="CAREER: Sample Complexities of Fundamental Problems"/>
    <n v="1"/>
    <s v=" E"/>
    <d v="2016-10-05T09:00:00"/>
    <s v="P170288"/>
    <s v="Competitive"/>
    <n v="8"/>
    <s v="AF CAREER Panel"/>
    <d v="2016-10-18T00:00:00"/>
    <s v=" E/V,V,V/G"/>
    <s v="29 rated projects: 3 HC, 14 C, 11 LC, 1 NC"/>
    <n v="12"/>
    <n v="2"/>
    <m/>
    <m/>
    <m/>
    <m/>
    <m/>
    <m/>
    <m/>
    <n v="12"/>
    <n v="2"/>
    <m/>
    <m/>
    <m/>
    <m/>
    <m/>
    <m/>
    <m/>
    <n v="12"/>
    <n v="2"/>
    <s v="1652845"/>
    <s v="Price"/>
    <s v="Eric"/>
    <s v="U of Texas Austin"/>
    <n v="499916"/>
    <n v="499916"/>
    <s v="1045 7926"/>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ecprice@cs.utexas.edu"/>
    <s v="ecprice@cs.utexas.edu      "/>
  </r>
  <r>
    <d v="2017-07-18T12:25:55"/>
    <d v="2017-03-15T12:08:00"/>
    <s v="NSF 16-615"/>
    <s v="05010000"/>
    <s v="041Y"/>
    <s v="NEW"/>
    <s v="AWD"/>
    <s v="4110"/>
    <s v="FY17TRIPOD"/>
    <s v="TKIMBRE"/>
    <d v="2017-07-17T15:23:40"/>
    <n v="1"/>
    <n v="2.08"/>
    <s v="R"/>
    <m/>
    <m/>
    <x v="1"/>
    <s v="RA 1740751 Indyk"/>
    <m/>
    <m/>
    <s v="Tracy J. Kimbrel"/>
    <s v="Cognisant Program Director"/>
    <s v="eJ"/>
    <s v="indyk@mit.edu"/>
    <s v="PIs@"/>
    <s v="CCF"/>
    <s v="1740751"/>
    <n v="3"/>
    <m/>
    <m/>
    <n v="6"/>
    <n v="7"/>
    <n v="8"/>
    <s v="E/V,V,V/G"/>
    <d v="2017-05-17T12:15:00"/>
    <n v="1500000"/>
    <n v="1368500"/>
    <n v="1"/>
    <d v="2017-10-01T00:00:00"/>
    <n v="36"/>
    <s v="TRIPODS: Institute for Foundations of Data Science (IFDS)"/>
    <m/>
    <m/>
    <m/>
    <s v="P172027"/>
    <s v="Recommended"/>
    <n v="8"/>
    <s v="TRIPODS Panel 1"/>
    <d v="2017-05-17T00:00:00"/>
    <s v=" E/V,V,V/G"/>
    <s v="30 rated projects: 2 HR, 8 R, 11 NR, 9 NDP"/>
    <n v="12"/>
    <n v="2"/>
    <m/>
    <m/>
    <m/>
    <m/>
    <m/>
    <m/>
    <m/>
    <n v="12"/>
    <n v="2"/>
    <m/>
    <m/>
    <m/>
    <m/>
    <m/>
    <m/>
    <m/>
    <n v="12"/>
    <n v="2"/>
    <s v="1740751"/>
    <s v="Indyk"/>
    <s v="Piotr"/>
    <s v="MIT"/>
    <n v="1500000"/>
    <n v="1368500"/>
    <s v="047Z 062Z"/>
    <m/>
    <m/>
    <m/>
    <m/>
    <m/>
    <m/>
    <m/>
    <m/>
    <m/>
    <m/>
    <m/>
    <m/>
    <m/>
    <m/>
    <m/>
    <m/>
    <m/>
    <m/>
    <m/>
    <m/>
    <m/>
    <m/>
    <m/>
    <m/>
    <m/>
    <m/>
    <m/>
    <m/>
    <m/>
    <m/>
    <m/>
    <m/>
    <m/>
    <m/>
    <m/>
    <m/>
    <m/>
    <m/>
    <m/>
    <m/>
    <m/>
    <m/>
    <s v="Transdisciplinary Research in Principles of Data Science Phase I"/>
    <s v="Division of Computing and Communication Foundations"/>
    <s v="TRIPODS Transdisciplinary Rese"/>
    <s v="Tracy J. Kimbrel"/>
    <s v="Proposal has been awarded"/>
    <s v="New Project"/>
    <s v="Research Grants-Not Elsewh Cla"/>
    <s v="CSE"/>
    <s v="Direct For Computer &amp; Info Scie &amp; Enginr"/>
    <d v="2017-12-04T22:07:29"/>
    <s v="indyk@mit.edu"/>
    <s v="indyk@mit.edu      "/>
  </r>
  <r>
    <d v="2017-07-18T11:13:56"/>
    <d v="2017-03-15T16:56:00"/>
    <s v="NSF 16-615"/>
    <s v="05010000"/>
    <s v="041Y"/>
    <s v="NEW"/>
    <s v="DECL"/>
    <s v="4110"/>
    <s v="FY17TRIPOD"/>
    <s v="JSNOEYI"/>
    <d v="2017-07-04T03:14:26"/>
    <n v="1"/>
    <n v="2.09"/>
    <s v="R"/>
    <m/>
    <m/>
    <x v="1"/>
    <s v="RA 1740834 Mischaikow"/>
    <m/>
    <m/>
    <s v="Jack Snoeyink"/>
    <s v="Cognisant Program Director"/>
    <s v="eJ"/>
    <s v="mischaik@math.rutgers.edu"/>
    <s v="PIs@"/>
    <s v="CCF"/>
    <s v="1740834"/>
    <n v="3"/>
    <m/>
    <m/>
    <n v="6"/>
    <n v="6"/>
    <n v="6"/>
    <s v="V/G,V/G,V/G"/>
    <d v="2017-05-15T19:45:00"/>
    <n v="1499998"/>
    <n v="1499998"/>
    <n v="0"/>
    <d v="2017-10-01T00:00:00"/>
    <n v="36"/>
    <s v="Institute for Theoretical Advancements in Data Science (ITADS)"/>
    <m/>
    <m/>
    <m/>
    <s v="P172027"/>
    <s v="Recommended"/>
    <n v="9"/>
    <s v="TRIPODS Panel 1"/>
    <d v="2017-05-17T00:00:00"/>
    <s v=" V/G,V/G,V/G"/>
    <s v="30 rated projects: 2 HR, 8 R, 11 NR, 9 NDP"/>
    <n v="12"/>
    <n v="2"/>
    <m/>
    <m/>
    <m/>
    <m/>
    <m/>
    <m/>
    <m/>
    <n v="12"/>
    <n v="2"/>
    <m/>
    <m/>
    <m/>
    <m/>
    <m/>
    <m/>
    <m/>
    <n v="12"/>
    <n v="2"/>
    <s v="1740834"/>
    <s v="Mischaikow"/>
    <s v="Konstantin"/>
    <s v="Rutgers Univ New Brunswick"/>
    <n v="1499998"/>
    <n v="1499998"/>
    <s v="047Z 062Z 9102"/>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mischaik@math.rutgers.edu"/>
    <s v="mischaik@math.rutgers.edu      "/>
  </r>
  <r>
    <m/>
    <d v="2017-07-19T17:22:00"/>
    <s v="NSF 17-537"/>
    <s v="05010000"/>
    <s v="7796"/>
    <s v="NEW"/>
    <s v="PEND"/>
    <s v="4110"/>
    <s v="CAR17-18"/>
    <s v="TKIMBRE"/>
    <m/>
    <n v="1"/>
    <n v="2.09"/>
    <s v="C"/>
    <m/>
    <m/>
    <x v="3"/>
    <s v="Decline  1751254 Fasy"/>
    <m/>
    <m/>
    <s v="Tracy J. Kimbrel"/>
    <s v="Cognisant Program Director"/>
    <s v="eJ"/>
    <s v="brittany@cs.montana.edu"/>
    <s v="PIs@"/>
    <s v="CCF"/>
    <s v="1751254"/>
    <n v="4"/>
    <n v="4"/>
    <m/>
    <n v="5"/>
    <n v="6.5"/>
    <n v="7"/>
    <s v="V,V,V,G"/>
    <d v="2017-10-23T10:26:00"/>
    <n v="552355"/>
    <n v="552355"/>
    <n v="0"/>
    <d v="2018-09-01T00:00:00"/>
    <n v="60"/>
    <s v="CAREER: Foundations and Applications of Statistics in TDA"/>
    <m/>
    <m/>
    <m/>
    <s v="P180207"/>
    <s v="Competitive"/>
    <n v="9"/>
    <s v="AF CAREER/CRII Panel A"/>
    <d v="2017-10-24T00:00:00"/>
    <s v=" V,V,V,G"/>
    <s v="31 rated projects: 3 HC, 12 C, 10 LC, 6 NC"/>
    <n v="14"/>
    <n v="0"/>
    <m/>
    <m/>
    <m/>
    <m/>
    <m/>
    <m/>
    <m/>
    <n v="14"/>
    <n v="0"/>
    <m/>
    <m/>
    <m/>
    <m/>
    <m/>
    <m/>
    <m/>
    <n v="14"/>
    <n v="0"/>
    <s v="1751254"/>
    <s v="Fasy"/>
    <s v="Brittany"/>
    <s v="Montana State University"/>
    <n v="552355"/>
    <n v="552355"/>
    <s v="1045 7929 9150"/>
    <m/>
    <m/>
    <m/>
    <m/>
    <m/>
    <m/>
    <m/>
    <m/>
    <m/>
    <m/>
    <m/>
    <m/>
    <m/>
    <m/>
    <m/>
    <m/>
    <m/>
    <m/>
    <m/>
    <m/>
    <m/>
    <m/>
    <m/>
    <m/>
    <m/>
    <m/>
    <m/>
    <m/>
    <m/>
    <m/>
    <m/>
    <m/>
    <m/>
    <m/>
    <m/>
    <m/>
    <m/>
    <m/>
    <m/>
    <m/>
    <m/>
    <m/>
    <s v="Faculty Early Career Development Program"/>
    <s v="Division of Computing and Communication Foundations"/>
    <s v="ALGORITHMIC FOUNDATIONS"/>
    <s v="Tracy J. Kimbrel"/>
    <s v="Pending, Review Package Produced"/>
    <s v="New Project"/>
    <s v="Research Grants-Not Elsewh Cla"/>
    <s v="CSE"/>
    <s v="Direct For Computer &amp; Info Scie &amp; Enginr"/>
    <d v="2017-12-04T22:07:29"/>
    <s v="brittany@cs.montana.edu"/>
    <s v="brittany@cs.montana.edu      "/>
  </r>
  <r>
    <d v="2017-08-10T14:54:03"/>
    <d v="2017-03-15T15:38:00"/>
    <s v="NSF 16-615"/>
    <s v="05010000"/>
    <s v="041Y"/>
    <s v="NEW"/>
    <s v="DECL"/>
    <s v="4110"/>
    <s v="FY17TRIPOD"/>
    <s v="TKIMBRE"/>
    <d v="2017-08-10T14:51:09"/>
    <n v="1"/>
    <n v="2.1"/>
    <s v="R"/>
    <m/>
    <m/>
    <x v="1"/>
    <s v="RA 1740803 Mukherjee"/>
    <m/>
    <m/>
    <s v="Tracy J. Kimbrel"/>
    <s v="Cognisant Program Director"/>
    <s v="eJ"/>
    <s v="sayan@stat.duke.edu"/>
    <s v="PIs@"/>
    <s v="CCF"/>
    <s v="1740803"/>
    <n v="3"/>
    <m/>
    <m/>
    <n v="3"/>
    <n v="5.666666666666667"/>
    <n v="8"/>
    <s v="E/V,V/G,F"/>
    <d v="2017-05-18T12:25:00"/>
    <n v="1497550"/>
    <n v="1497550"/>
    <n v="0"/>
    <d v="2017-07-01T00:00:00"/>
    <n v="36"/>
    <s v="Geometric Data Science"/>
    <m/>
    <m/>
    <m/>
    <s v="P172027"/>
    <s v="Recommended"/>
    <n v="10"/>
    <s v="TRIPODS Panel 1"/>
    <d v="2017-05-17T00:00:00"/>
    <s v=" E/V,V/G,F"/>
    <s v="30 rated projects: 2 HR, 8 R, 11 NR, 9 NDP"/>
    <n v="12"/>
    <n v="3"/>
    <m/>
    <m/>
    <m/>
    <m/>
    <m/>
    <m/>
    <m/>
    <n v="12"/>
    <n v="3"/>
    <m/>
    <m/>
    <m/>
    <m/>
    <m/>
    <m/>
    <m/>
    <n v="12"/>
    <n v="3"/>
    <s v="1740803"/>
    <s v="Mukherjee"/>
    <s v="Sayan"/>
    <s v="Duke University"/>
    <n v="1497550"/>
    <n v="1497550"/>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sayan@stat.duke.edu"/>
    <s v="sayan@stat.duke.edu      "/>
  </r>
  <r>
    <m/>
    <d v="2017-07-18T10:53:00"/>
    <s v="NSF 17-537"/>
    <s v="05010000"/>
    <s v="7796"/>
    <s v="NEW"/>
    <s v="PEND"/>
    <s v="4110"/>
    <s v="CAR17-18"/>
    <s v="RSHAH"/>
    <m/>
    <n v="1"/>
    <n v="2.1"/>
    <s v="C"/>
    <m/>
    <m/>
    <x v="1"/>
    <s v="RA 1749678 Im"/>
    <m/>
    <m/>
    <s v="Rahul Shah"/>
    <s v="Cognisant Program Director"/>
    <s v="eJ"/>
    <s v="sim3@ucmerced.edu"/>
    <s v="PIs@"/>
    <s v="CCF"/>
    <s v="1749678"/>
    <n v="4"/>
    <n v="4"/>
    <m/>
    <n v="5"/>
    <n v="6.5"/>
    <n v="7"/>
    <s v="V,V,V,G"/>
    <d v="2017-10-24T12:26:00"/>
    <n v="514477"/>
    <n v="514477"/>
    <n v="0"/>
    <d v="2018-07-01T00:00:00"/>
    <n v="60"/>
    <s v="CAREER: New Algorithmic Foundations for Online Scheduling"/>
    <m/>
    <m/>
    <m/>
    <s v="P180207"/>
    <s v="Competitive"/>
    <n v="10"/>
    <s v="AF CAREER/CRII Panel A"/>
    <d v="2017-10-24T00:00:00"/>
    <s v=" V,V,V,G"/>
    <s v="31 rated projects: 3 HC, 12 C, 10 LC, 6 NC"/>
    <n v="14"/>
    <n v="0"/>
    <m/>
    <m/>
    <m/>
    <m/>
    <m/>
    <m/>
    <m/>
    <n v="14"/>
    <n v="0"/>
    <m/>
    <m/>
    <m/>
    <m/>
    <m/>
    <m/>
    <m/>
    <n v="14"/>
    <n v="0"/>
    <s v="1749678"/>
    <s v="Im"/>
    <s v="Sungjin"/>
    <s v="U of Cal - Merced"/>
    <n v="514477"/>
    <n v="514477"/>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sim3@ucmerced.edu"/>
    <s v="sim3@ucmerced.edu      "/>
  </r>
  <r>
    <m/>
    <d v="2017-07-19T16:43:00"/>
    <s v="NSF 17-537"/>
    <s v="05010000"/>
    <s v="7796"/>
    <s v="NEW"/>
    <s v="PEND"/>
    <s v="4110"/>
    <s v="CAR17-18"/>
    <s v="JSNOEYI"/>
    <m/>
    <n v="1"/>
    <n v="2.1"/>
    <s v="C"/>
    <m/>
    <m/>
    <x v="3"/>
    <s v="Decline  1751135 Nayyeri"/>
    <m/>
    <m/>
    <s v="Jack Snoeyink"/>
    <s v="Cognisant Program Director"/>
    <s v="eJ"/>
    <s v="nayyeria@eecs.oregonstate.edu"/>
    <s v="PIs@"/>
    <s v="CCF"/>
    <s v="1751135"/>
    <n v="4"/>
    <n v="4"/>
    <m/>
    <n v="6"/>
    <n v="6.75"/>
    <n v="7"/>
    <s v="V,V,V,V/G"/>
    <d v="2017-10-23T16:34:00"/>
    <n v="607459"/>
    <n v="607459"/>
    <n v="0"/>
    <d v="2018-09-01T00:00:00"/>
    <n v="60"/>
    <s v="CAREER: Mapping Problems in Computational Geometry and Topology"/>
    <m/>
    <m/>
    <m/>
    <s v="P180207"/>
    <s v="Competitive"/>
    <n v="10"/>
    <s v="AF CAREER/CRII Panel A"/>
    <d v="2017-10-24T00:00:00"/>
    <s v=" V,V,V,V/G"/>
    <s v="31 rated projects: 3 HC, 12 C, 10 LC, 6 NC"/>
    <n v="14"/>
    <n v="2"/>
    <m/>
    <m/>
    <m/>
    <m/>
    <m/>
    <m/>
    <m/>
    <n v="14"/>
    <n v="2"/>
    <m/>
    <m/>
    <m/>
    <m/>
    <m/>
    <m/>
    <m/>
    <n v="14"/>
    <n v="2"/>
    <s v="1751135"/>
    <s v="Nayyeri"/>
    <s v="Amir"/>
    <s v="Oregon State University"/>
    <n v="607459"/>
    <n v="607459"/>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nayyeria@eecs.oregonstate.edu"/>
    <s v="nayyeria@eecs.oregonstate.edu      "/>
  </r>
  <r>
    <d v="2016-11-03T09:26:36"/>
    <d v="2016-07-20T13:40:00"/>
    <s v="NSF 15-555"/>
    <s v="05010000"/>
    <s v="7796"/>
    <s v="NEW"/>
    <s v="DECL"/>
    <s v="4110"/>
    <s v="CAR16-17"/>
    <s v="TKIMBRE"/>
    <d v="2016-11-03T09:14:26"/>
    <n v="1"/>
    <n v="2.11"/>
    <s v="C"/>
    <m/>
    <m/>
    <x v="1"/>
    <s v="RA 1652235 De"/>
    <m/>
    <m/>
    <s v="Tracy J. Kimbrel"/>
    <s v="Cognisant Program Director"/>
    <s v="eJ"/>
    <s v="anindya.de1@northwestern.edu"/>
    <s v="PIs@"/>
    <s v="CCF"/>
    <s v="1652235"/>
    <n v="4"/>
    <m/>
    <m/>
    <n v="6"/>
    <n v="6.5"/>
    <n v="7"/>
    <s v="V,V,V/G,V/G"/>
    <d v="2016-10-16T21:59:00"/>
    <n v="502206"/>
    <n v="502206"/>
    <n v="0"/>
    <d v="2017-01-01T00:00:00"/>
    <n v="60"/>
    <s v="CAREER: Analysis in Derandomization and Learning"/>
    <n v="1"/>
    <s v=" V"/>
    <d v="2016-09-22T18:21:00"/>
    <s v="P170288"/>
    <s v="Competitive"/>
    <n v="11"/>
    <s v="AF CAREER Panel"/>
    <d v="2016-10-18T00:00:00"/>
    <s v=" V,V/G,V/G"/>
    <s v="29 rated projects: 3 HC, 14 C, 11 LC, 1 NC"/>
    <n v="12"/>
    <n v="0"/>
    <m/>
    <m/>
    <m/>
    <m/>
    <m/>
    <m/>
    <m/>
    <n v="12"/>
    <n v="0"/>
    <m/>
    <m/>
    <m/>
    <m/>
    <m/>
    <m/>
    <m/>
    <n v="12"/>
    <n v="0"/>
    <s v="1652235"/>
    <s v="De"/>
    <s v="Anindya"/>
    <s v="Northwestern University"/>
    <n v="502206"/>
    <n v="502206"/>
    <s v="1045 7927"/>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anindya.de1@northwestern.edu"/>
    <s v="anindya.de1@northwestern.edu      "/>
  </r>
  <r>
    <d v="2016-12-02T15:24:08"/>
    <d v="2016-07-20T10:09:00"/>
    <s v="NSF 15-555"/>
    <s v="05010000"/>
    <s v="7796"/>
    <s v="NEW"/>
    <s v="DECL"/>
    <s v="4110"/>
    <s v="CAR16-17"/>
    <s v="RSHAH"/>
    <d v="2016-12-01T13:04:31"/>
    <n v="1"/>
    <n v="2.12"/>
    <s v="C"/>
    <m/>
    <m/>
    <x v="1"/>
    <s v="RA 1651949 Haeupler"/>
    <m/>
    <m/>
    <s v="Rahul Shah"/>
    <s v="Cognisant Program Director"/>
    <s v="eJ"/>
    <s v="haeupler@cs.cmu.edu"/>
    <s v="PIs@"/>
    <s v="CCF"/>
    <s v="1651949"/>
    <n v="4"/>
    <m/>
    <m/>
    <n v="7"/>
    <n v="7.25"/>
    <n v="8"/>
    <s v="E/V,V,V,V"/>
    <d v="2016-10-18T19:59:00"/>
    <n v="485739"/>
    <n v="485739"/>
    <n v="0"/>
    <d v="2017-01-01T00:00:00"/>
    <n v="60"/>
    <s v="CAREER: A Mathematical and Computational Theory of Reliable Interactive Communication"/>
    <n v="1"/>
    <s v=" V"/>
    <d v="2016-10-11T19:32:00"/>
    <s v="P170288"/>
    <s v="Competitive"/>
    <n v="12"/>
    <s v="AF CAREER Panel"/>
    <d v="2016-10-18T00:00:00"/>
    <s v=" E/V,V ,V"/>
    <s v="29 rated projects: 3 HC, 14 C, 11 LC, 1 NC"/>
    <n v="12"/>
    <n v="0"/>
    <m/>
    <m/>
    <m/>
    <m/>
    <m/>
    <m/>
    <m/>
    <n v="12"/>
    <n v="0"/>
    <m/>
    <m/>
    <m/>
    <m/>
    <m/>
    <m/>
    <m/>
    <n v="12"/>
    <n v="0"/>
    <s v="1651949"/>
    <s v="Haeupler"/>
    <s v="Bernhard"/>
    <s v="Carnegie Mellon University"/>
    <n v="485739"/>
    <n v="485739"/>
    <s v="1045 7926 7927 7934 7935"/>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haeupler@cs.cmu.edu"/>
    <s v="haeupler@cs.cmu.edu      "/>
  </r>
  <r>
    <m/>
    <d v="2017-07-19T16:34:00"/>
    <s v="NSF 17-537"/>
    <s v="05010000"/>
    <s v="7796"/>
    <s v="NEW"/>
    <s v="PEND"/>
    <s v="4110"/>
    <s v="CAR17-18"/>
    <s v="JSNOEYI"/>
    <m/>
    <n v="1"/>
    <n v="2.12"/>
    <s v="C"/>
    <m/>
    <m/>
    <x v="1"/>
    <s v="RA 1751102 Vouga"/>
    <m/>
    <m/>
    <s v="Jack Snoeyink"/>
    <s v="Cognisant Program Director"/>
    <s v="eJ"/>
    <s v="evouga@cs.utexas.edu"/>
    <s v="PIs@"/>
    <s v="CCF"/>
    <s v="1751102"/>
    <n v="4"/>
    <n v="4"/>
    <m/>
    <n v="5"/>
    <n v="6.5"/>
    <n v="7"/>
    <s v="V,V,V,G"/>
    <d v="2017-10-23T09:25:00"/>
    <n v="523537"/>
    <n v="523537"/>
    <n v="0"/>
    <d v="2018-09-01T00:00:00"/>
    <n v="60"/>
    <s v="CAREER: Simulation and Design of Thin Objects Using Discrete Differential Geometry Algorithms"/>
    <m/>
    <m/>
    <m/>
    <s v="P180207"/>
    <s v="Competitive"/>
    <n v="12"/>
    <s v="AF CAREER/CRII Panel A"/>
    <d v="2017-10-24T00:00:00"/>
    <s v=" V,V,V,G"/>
    <s v="31 rated projects: 3 HC, 12 C, 10 LC, 6 NC"/>
    <n v="14"/>
    <n v="0"/>
    <m/>
    <m/>
    <m/>
    <m/>
    <m/>
    <m/>
    <m/>
    <n v="14"/>
    <n v="0"/>
    <m/>
    <m/>
    <m/>
    <m/>
    <m/>
    <m/>
    <m/>
    <n v="14"/>
    <n v="0"/>
    <s v="1751102"/>
    <s v="Vouga"/>
    <s v="Paul"/>
    <s v="U of Texas Austin"/>
    <n v="523537"/>
    <n v="523537"/>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evouga@cs.utexas.edu"/>
    <s v="evouga@cs.utexas.edu      "/>
  </r>
  <r>
    <d v="2016-11-08T09:51:35"/>
    <d v="2016-07-19T11:46:00"/>
    <s v="NSF 15-555"/>
    <s v="05010000"/>
    <s v="7796"/>
    <s v="NEW"/>
    <s v="DECL"/>
    <s v="4110"/>
    <s v="CAR16-17"/>
    <s v="JSNOEYI"/>
    <d v="2016-11-04T10:47:46"/>
    <n v="1"/>
    <n v="2.13"/>
    <s v="C"/>
    <m/>
    <m/>
    <x v="1"/>
    <s v="RA 1651569 Wang"/>
    <m/>
    <m/>
    <s v="Jack Snoeyink"/>
    <s v="Cognisant Program Director"/>
    <s v="eJ"/>
    <s v="haitao.wang@usu.edu"/>
    <s v="PIs@"/>
    <s v="CCF"/>
    <s v="1651569"/>
    <n v="4"/>
    <m/>
    <m/>
    <n v="7"/>
    <n v="7.5"/>
    <n v="8"/>
    <s v="E/V,E/V,V,V"/>
    <d v="2016-10-18T11:33:00"/>
    <n v="484868"/>
    <n v="484868"/>
    <n v="0"/>
    <d v="2017-09-01T00:00:00"/>
    <n v="60"/>
    <s v="CAREER: Algorithms for Shortest Paths and Related Problems in Computational Geometry"/>
    <n v="1"/>
    <s v=" E/V"/>
    <d v="2016-10-10T17:38:00"/>
    <s v="P170288"/>
    <s v="Competitive"/>
    <n v="13"/>
    <s v="AF CAREER Panel"/>
    <d v="2016-10-18T00:00:00"/>
    <s v=" E/V ,V,V"/>
    <s v="29 rated projects: 3 HC, 14 C, 11 LC, 1 NC"/>
    <n v="12"/>
    <n v="0"/>
    <m/>
    <m/>
    <m/>
    <m/>
    <m/>
    <m/>
    <m/>
    <n v="12"/>
    <n v="0"/>
    <m/>
    <m/>
    <m/>
    <m/>
    <m/>
    <m/>
    <m/>
    <n v="12"/>
    <n v="0"/>
    <s v="1651569"/>
    <s v="Wang"/>
    <s v="Haitao"/>
    <s v="Utah State University"/>
    <n v="484868"/>
    <n v="484868"/>
    <s v="1045 7929"/>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haitao.wang@usu.edu"/>
    <s v="haitao.wang@usu.edu      "/>
  </r>
  <r>
    <d v="2016-11-10T11:08:51"/>
    <d v="2016-07-18T16:30:00"/>
    <s v="NSF 15-555"/>
    <s v="05010000"/>
    <s v="7796"/>
    <s v="NEW"/>
    <s v="DECL"/>
    <s v="4110"/>
    <s v="CAR16-17"/>
    <s v="RSHAH"/>
    <d v="2016-11-09T12:49:23"/>
    <n v="1"/>
    <n v="2.14"/>
    <s v="C"/>
    <m/>
    <m/>
    <x v="1"/>
    <s v="RA 1651432 Nagarajan"/>
    <m/>
    <m/>
    <s v="Rahul Shah"/>
    <s v="Cognisant Program Director"/>
    <s v="eJ"/>
    <s v="viswa@umich.edu"/>
    <s v="PIs@"/>
    <s v="CCF"/>
    <s v="1651432"/>
    <n v="4"/>
    <m/>
    <m/>
    <n v="5"/>
    <n v="6.5"/>
    <n v="7"/>
    <s v="V,V,V,G"/>
    <d v="2016-10-17T02:45:00"/>
    <n v="510836"/>
    <n v="510836"/>
    <n v="0"/>
    <d v="2017-05-01T00:00:00"/>
    <n v="60"/>
    <s v="CAREER: Strong Linear Programs and Rounding in Combinatorial Optimization"/>
    <n v="1"/>
    <s v=" G"/>
    <d v="2016-10-16T10:17:00"/>
    <s v="P170288"/>
    <s v="Competitive"/>
    <n v="14"/>
    <s v="AF CAREER Panel"/>
    <d v="2016-10-18T00:00:00"/>
    <s v=" V,V,V"/>
    <s v="29 rated projects: 3 HC, 14 C, 11 LC, 1 NC"/>
    <n v="12"/>
    <n v="0"/>
    <m/>
    <m/>
    <m/>
    <m/>
    <m/>
    <m/>
    <m/>
    <n v="12"/>
    <n v="0"/>
    <m/>
    <m/>
    <m/>
    <m/>
    <m/>
    <m/>
    <m/>
    <n v="12"/>
    <n v="0"/>
    <s v="1651432"/>
    <s v="Nagarajan"/>
    <s v="Viswanath"/>
    <s v="University of Michigan"/>
    <n v="510836"/>
    <n v="510836"/>
    <s v="1045 7926"/>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viswa@umich.edu"/>
    <s v="viswa@umich.edu      "/>
  </r>
  <r>
    <d v="2016-11-10T11:14:22"/>
    <d v="2016-07-20T14:28:00"/>
    <s v="NSF 15-555"/>
    <s v="05010000"/>
    <s v="7796"/>
    <s v="NEW"/>
    <s v="DECL"/>
    <s v="4110"/>
    <s v="CAR16-17"/>
    <s v="RSHAH"/>
    <d v="2016-11-09T16:56:11"/>
    <n v="1"/>
    <n v="2.14"/>
    <s v="C"/>
    <m/>
    <m/>
    <x v="1"/>
    <s v="RA 1652346 Seshadhri"/>
    <m/>
    <m/>
    <s v="Rahul Shah"/>
    <s v="Cognisant Program Director"/>
    <s v="eJ"/>
    <s v="sesh@ucsc.edu"/>
    <s v="PIs@"/>
    <s v="CCF"/>
    <s v="1652346"/>
    <n v="4"/>
    <m/>
    <m/>
    <n v="6"/>
    <n v="6.75"/>
    <n v="7"/>
    <s v="V,V,V,V/G"/>
    <d v="2016-10-18T20:15:00"/>
    <n v="483059"/>
    <n v="483059"/>
    <n v="0"/>
    <d v="2016-10-01T00:00:00"/>
    <n v="60"/>
    <s v="CAREER: Provable Algorithmics for Massive Data Analysis using Sublinear Algorithms"/>
    <n v="1"/>
    <s v=" V"/>
    <d v="2016-10-04T14:20:00"/>
    <s v="P170288"/>
    <s v="Competitive"/>
    <n v="14"/>
    <s v="AF CAREER Panel"/>
    <d v="2016-10-18T00:00:00"/>
    <s v=" V ,V,V/G"/>
    <s v="29 rated projects: 3 HC, 14 C, 11 LC, 1 NC"/>
    <n v="12"/>
    <n v="0"/>
    <m/>
    <m/>
    <m/>
    <m/>
    <m/>
    <m/>
    <m/>
    <n v="12"/>
    <n v="0"/>
    <m/>
    <m/>
    <m/>
    <m/>
    <m/>
    <m/>
    <m/>
    <n v="12"/>
    <n v="0"/>
    <s v="1652346"/>
    <s v="Seshadhri"/>
    <s v="C."/>
    <s v="U of Cal Santa Cruz"/>
    <n v="483059"/>
    <n v="483059"/>
    <s v="1045 7926"/>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sesh@ucsc.edu"/>
    <s v="sesh@ucsc.edu      "/>
  </r>
  <r>
    <d v="2016-11-08T09:12:05"/>
    <d v="2016-07-20T16:12:00"/>
    <s v="NSF 15-555"/>
    <s v="05010000"/>
    <s v="7796"/>
    <s v="NEW"/>
    <s v="DECL"/>
    <s v="4110"/>
    <s v="CAR16-17"/>
    <s v="JSNOEYI"/>
    <d v="2016-11-07T15:52:05"/>
    <n v="1"/>
    <n v="2.14"/>
    <s v="C"/>
    <m/>
    <m/>
    <x v="1"/>
    <s v="RA 1652640 Zeng"/>
    <m/>
    <m/>
    <s v="Jack Snoeyink"/>
    <s v="Cognisant Program Director"/>
    <s v="eJ"/>
    <s v="wzeng@cs.fiu.edu"/>
    <s v="PIs@"/>
    <s v="CCF"/>
    <s v="1652640"/>
    <n v="5"/>
    <m/>
    <m/>
    <n v="1"/>
    <n v="6.2"/>
    <n v="9"/>
    <s v="E,V,V,V,P"/>
    <d v="2016-10-18T14:27:00"/>
    <n v="439758"/>
    <n v="439758"/>
    <n v="0"/>
    <d v="2017-07-01T00:00:00"/>
    <n v="60"/>
    <s v="CAREER: Computational Differential Geometric Methods for Shape Registration and Analysis"/>
    <n v="2"/>
    <s v=" E  ,V"/>
    <d v="2016-10-16T00:00:00"/>
    <s v="P170288"/>
    <s v="Competitive"/>
    <n v="14"/>
    <s v="AF CAREER Panel"/>
    <d v="2016-10-18T00:00:00"/>
    <s v=" V,V ,P"/>
    <s v="29 rated projects: 3 HC, 14 C, 11 LC, 1 NC"/>
    <n v="12"/>
    <n v="0"/>
    <m/>
    <m/>
    <m/>
    <m/>
    <m/>
    <m/>
    <m/>
    <n v="12"/>
    <n v="0"/>
    <m/>
    <m/>
    <m/>
    <m/>
    <m/>
    <m/>
    <m/>
    <n v="12"/>
    <n v="0"/>
    <s v="1652640"/>
    <s v="Zeng"/>
    <s v="Wei"/>
    <s v="Florida International Univ"/>
    <n v="439758"/>
    <n v="439758"/>
    <s v="1045 7929"/>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wzeng@cs.fiu.edu"/>
    <s v="wzeng@cs.fiu.edu      "/>
  </r>
  <r>
    <d v="2017-07-05T10:33:02"/>
    <d v="2016-07-20T16:30:00"/>
    <s v="NSF 15-555"/>
    <s v="05010000"/>
    <s v="7796"/>
    <s v="NEW"/>
    <s v="DECL"/>
    <s v="4110"/>
    <s v="CAR16-17"/>
    <s v="JSNOEYI"/>
    <d v="2016-10-31T15:36:36"/>
    <n v="1"/>
    <n v="2.14"/>
    <s v="C"/>
    <m/>
    <m/>
    <x v="1"/>
    <s v="RA 1652695 Vouga"/>
    <m/>
    <m/>
    <s v="Jack Snoeyink"/>
    <s v="Cognisant Program Director"/>
    <s v="eJ"/>
    <s v="evouga@cs.utexas.edu"/>
    <s v="PIs@"/>
    <s v="CCF"/>
    <s v="1652695"/>
    <n v="4"/>
    <m/>
    <m/>
    <n v="5"/>
    <n v="7.5"/>
    <n v="9"/>
    <s v="E,E,V,G"/>
    <d v="2016-10-16T21:00:00"/>
    <n v="501317"/>
    <n v="501317"/>
    <n v="0"/>
    <d v="2017-08-01T00:00:00"/>
    <n v="60"/>
    <s v="CAREER: Simulation and Design of Thin Objects using Discrete Differential Geometry Algorithms"/>
    <n v="1"/>
    <s v=" E"/>
    <d v="2016-09-23T18:07:00"/>
    <s v="P170288"/>
    <s v="Competitive"/>
    <n v="14"/>
    <s v="AF CAREER Panel"/>
    <d v="2016-10-18T00:00:00"/>
    <s v=" E ,V,G"/>
    <s v="29 rated projects: 3 HC, 14 C, 11 LC, 1 NC"/>
    <n v="12"/>
    <n v="1"/>
    <m/>
    <m/>
    <m/>
    <m/>
    <m/>
    <m/>
    <m/>
    <n v="12"/>
    <n v="1"/>
    <m/>
    <m/>
    <m/>
    <m/>
    <m/>
    <m/>
    <m/>
    <n v="12"/>
    <n v="1"/>
    <s v="1652695"/>
    <s v="Vouga"/>
    <s v="Paul"/>
    <s v="U of Texas Austin"/>
    <n v="501317"/>
    <n v="501317"/>
    <s v="1045 7929"/>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evouga@cs.utexas.edu"/>
    <s v="evouga@cs.utexas.edu      "/>
  </r>
  <r>
    <m/>
    <d v="2017-08-09T11:20:00"/>
    <s v="NSF 17-552"/>
    <s v="05010000"/>
    <s v="026Y"/>
    <s v="NEW"/>
    <s v="PEND"/>
    <s v="4110"/>
    <s v="FY18CRII"/>
    <s v="JSNOEYI"/>
    <m/>
    <n v="1"/>
    <n v="3.04"/>
    <s v="LC"/>
    <m/>
    <m/>
    <x v="3"/>
    <s v="Decline  1755702 Charkhgard"/>
    <m/>
    <m/>
    <s v="Jack Snoeyink"/>
    <s v="Cognisant Program Director"/>
    <s v="eJ"/>
    <s v="hcharkhgard@usf.edu"/>
    <s v="PIs@"/>
    <s v="CCF"/>
    <s v="1755702"/>
    <n v="3"/>
    <n v="3"/>
    <m/>
    <n v="5"/>
    <n v="5"/>
    <n v="5"/>
    <s v="G,G,G"/>
    <d v="2017-10-23T18:30:00"/>
    <n v="172682"/>
    <n v="172682"/>
    <n v="0"/>
    <d v="2018-05-01T00:00:00"/>
    <n v="24"/>
    <s v="CRII: AF: Theory and Algorithms for Two Classes of Optimization Problems: Multi-objective Binary Linear Programs and Single-objective Maximum Multiplicative Programs"/>
    <m/>
    <m/>
    <m/>
    <s v="P180207"/>
    <s v="Low Competitive"/>
    <n v="4"/>
    <s v="AF CAREER/CRII Panel A"/>
    <d v="2017-10-24T00:00:00"/>
    <s v=" G,G,G"/>
    <s v="31 rated projects: 3 HC, 12 C, 10 LC, 6 NC"/>
    <n v="14"/>
    <n v="0"/>
    <m/>
    <m/>
    <m/>
    <m/>
    <m/>
    <m/>
    <m/>
    <n v="14"/>
    <n v="0"/>
    <m/>
    <m/>
    <m/>
    <m/>
    <m/>
    <m/>
    <m/>
    <n v="14"/>
    <n v="0"/>
    <s v="1755702"/>
    <s v="Charkhgard"/>
    <s v="Hadi"/>
    <s v="U of South Florida"/>
    <n v="172682"/>
    <n v="172682"/>
    <s v="7926 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4T22:07:29"/>
    <s v="hcharkhgard@usf.edu"/>
    <s v="hcharkhgard@usf.edu      "/>
  </r>
  <r>
    <d v="2017-08-07T15:55:40"/>
    <d v="2017-03-13T11:11:00"/>
    <s v="NSF 16-615"/>
    <s v="05010000"/>
    <s v="041Y"/>
    <s v="NEW"/>
    <s v="DECL"/>
    <s v="4110"/>
    <s v="FY17TRIPOD"/>
    <s v="TKIMBRE"/>
    <d v="2017-08-04T11:28:30"/>
    <n v="1"/>
    <n v="3.11"/>
    <s v="NR"/>
    <m/>
    <m/>
    <x v="1"/>
    <s v="RA 1740547 Shub"/>
    <m/>
    <m/>
    <s v="Tracy J. Kimbrel"/>
    <s v="Cognisant Program Director"/>
    <s v="eJ"/>
    <s v="mshub@ccny.cuny.edu"/>
    <s v="PIs@"/>
    <s v="CCF"/>
    <s v="1740547"/>
    <n v="3"/>
    <m/>
    <m/>
    <n v="5"/>
    <n v="5"/>
    <n v="5"/>
    <s v="G,G,G"/>
    <d v="2017-05-17T12:07:00"/>
    <n v="1485814"/>
    <n v="1485814"/>
    <n v="0"/>
    <d v="2017-08-25T00:00:00"/>
    <n v="36"/>
    <s v="Dynamics,stability,complexity,and statistical inference of data-defined networks with emphasis on biology"/>
    <m/>
    <m/>
    <m/>
    <s v="P172027"/>
    <s v="Not Recommended"/>
    <n v="11"/>
    <s v="TRIPODS Panel 1"/>
    <d v="2017-05-17T00:00:00"/>
    <s v=" G,G,G"/>
    <s v="30 rated projects: 2 HR, 8 R, 11 NR, 9 NDP"/>
    <n v="12"/>
    <n v="0"/>
    <m/>
    <m/>
    <m/>
    <m/>
    <m/>
    <m/>
    <m/>
    <n v="12"/>
    <n v="0"/>
    <m/>
    <m/>
    <m/>
    <m/>
    <m/>
    <m/>
    <m/>
    <n v="12"/>
    <n v="0"/>
    <s v="1740547"/>
    <s v="Shub"/>
    <s v="Michael"/>
    <s v="CUNY City College"/>
    <n v="1485814"/>
    <n v="1485814"/>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mshub@ccny.cuny.edu"/>
    <s v="mshub@ccny.cuny.edu      "/>
  </r>
  <r>
    <d v="2017-08-07T15:57:51"/>
    <d v="2017-03-15T13:46:00"/>
    <s v="NSF 16-615"/>
    <s v="05010000"/>
    <s v="041Y"/>
    <s v="NEW"/>
    <s v="DECL"/>
    <s v="4110"/>
    <s v="FY17TRIPOD"/>
    <s v="TKIMBRE"/>
    <d v="2017-08-04T11:54:53"/>
    <n v="1"/>
    <n v="3.11"/>
    <s v="NR"/>
    <m/>
    <m/>
    <x v="1"/>
    <s v="RA 1740769 Wasserman"/>
    <m/>
    <m/>
    <s v="Tracy J. Kimbrel"/>
    <s v="Cognisant Program Director"/>
    <s v="eJ"/>
    <s v="larry@stat.cmu.edu"/>
    <s v="PIs@"/>
    <s v="CCF"/>
    <s v="1740769"/>
    <n v="3"/>
    <m/>
    <m/>
    <n v="4"/>
    <n v="5.333333333333333"/>
    <n v="6"/>
    <s v="V/G,V/G,G/F"/>
    <d v="2017-05-17T11:28:00"/>
    <n v="1500000"/>
    <n v="1500000"/>
    <n v="0"/>
    <d v="2018-07-01T00:00:00"/>
    <n v="36"/>
    <s v="Carnegie Mellon Institute for the Foundations of Data Science (CMU-IFDS)"/>
    <m/>
    <m/>
    <m/>
    <s v="P172027"/>
    <s v="Not Recommended"/>
    <n v="11"/>
    <s v="TRIPODS Panel 1"/>
    <d v="2017-05-17T00:00:00"/>
    <s v=" V/G,V/G,G/F"/>
    <s v="30 rated projects: 2 HR, 8 R, 11 NR, 9 NDP"/>
    <n v="12"/>
    <n v="1"/>
    <m/>
    <m/>
    <m/>
    <m/>
    <m/>
    <m/>
    <m/>
    <n v="12"/>
    <n v="1"/>
    <m/>
    <m/>
    <m/>
    <m/>
    <m/>
    <m/>
    <m/>
    <n v="12"/>
    <n v="1"/>
    <s v="1740769"/>
    <s v="Wasserman"/>
    <s v="Larry"/>
    <s v="Carnegie Mellon University"/>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larry@stat.cmu.edu"/>
    <s v="larry@stat.cmu.edu      "/>
  </r>
  <r>
    <d v="2017-08-08T16:43:30"/>
    <d v="2017-03-15T14:22:00"/>
    <s v="NSF 16-615"/>
    <s v="05010000"/>
    <s v="041Y"/>
    <s v="NEW"/>
    <s v="DECL"/>
    <s v="4110"/>
    <s v="FY17TRIPOD"/>
    <s v="JSNOEYI"/>
    <d v="2017-06-28T15:20:09"/>
    <n v="1"/>
    <n v="3.11"/>
    <s v="NR"/>
    <m/>
    <m/>
    <x v="1"/>
    <s v="RA 1740780 Michailidis"/>
    <m/>
    <m/>
    <s v="Jack Snoeyink"/>
    <s v="Cognisant Program Director"/>
    <s v="eJ"/>
    <s v="gmichail@ufl.edu"/>
    <s v="PIs@"/>
    <s v="CCF"/>
    <s v="1740780"/>
    <n v="3"/>
    <m/>
    <m/>
    <n v="6"/>
    <n v="6"/>
    <n v="6"/>
    <s v="V/G,V/G,V/G"/>
    <d v="2017-05-17T10:48:00"/>
    <n v="1500000"/>
    <n v="1500000"/>
    <n v="0"/>
    <d v="2017-08-01T00:00:00"/>
    <n v="36"/>
    <s v="TRIPODS: UF Institute for Learning from Higher Structured Data"/>
    <m/>
    <m/>
    <m/>
    <s v="P172027"/>
    <s v="Not Recommended"/>
    <n v="11"/>
    <s v="TRIPODS Panel 1"/>
    <d v="2017-05-17T00:00:00"/>
    <s v=" V/G,V/G,V/G"/>
    <s v="30 rated projects: 2 HR, 8 R, 11 NR, 9 NDP"/>
    <n v="12"/>
    <n v="0"/>
    <m/>
    <m/>
    <m/>
    <m/>
    <m/>
    <m/>
    <m/>
    <n v="12"/>
    <n v="0"/>
    <m/>
    <m/>
    <m/>
    <m/>
    <m/>
    <m/>
    <m/>
    <n v="12"/>
    <n v="0"/>
    <s v="1740780"/>
    <s v="Michailidis"/>
    <s v="George"/>
    <s v="University of Florida"/>
    <n v="1500000"/>
    <n v="1500000"/>
    <s v="047Z 062Z 9102"/>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gmichail@ufl.edu"/>
    <s v="gmichail@ufl.edu      "/>
  </r>
  <r>
    <d v="2017-08-08T16:48:13"/>
    <d v="2017-03-15T15:25:00"/>
    <s v="NSF 16-615"/>
    <s v="05010000"/>
    <s v="041Y"/>
    <s v="NEW"/>
    <s v="DECL"/>
    <s v="4110"/>
    <s v="FY17TRIPOD"/>
    <s v="JSNOEYI"/>
    <d v="2017-06-28T15:20:14"/>
    <n v="1"/>
    <n v="3.11"/>
    <s v="NR"/>
    <m/>
    <m/>
    <x v="1"/>
    <s v="RA 1740797 Embree"/>
    <m/>
    <m/>
    <s v="Jack Snoeyink"/>
    <s v="Cognisant Program Director"/>
    <s v="eJ"/>
    <s v="embree@vt.edu"/>
    <s v="PIs@"/>
    <s v="CCF"/>
    <s v="1740797"/>
    <n v="3"/>
    <m/>
    <m/>
    <n v="1"/>
    <n v="4.666666666666667"/>
    <n v="7"/>
    <s v="V,V/G,P"/>
    <d v="2017-05-18T13:12:00"/>
    <n v="1498424"/>
    <n v="1498424"/>
    <n v="0"/>
    <d v="2017-10-01T00:00:00"/>
    <n v="36"/>
    <s v="TRIPODS: Institute for Data, Models, and Algorithms Across Scales"/>
    <m/>
    <m/>
    <m/>
    <s v="P172027"/>
    <s v="Not Recommended"/>
    <n v="11"/>
    <s v="TRIPODS Panel 1"/>
    <d v="2017-05-17T00:00:00"/>
    <s v=" V,V/G,P"/>
    <s v="30 rated projects: 2 HR, 8 R, 11 NR, 9 NDP"/>
    <n v="12"/>
    <n v="0"/>
    <m/>
    <m/>
    <m/>
    <m/>
    <m/>
    <m/>
    <m/>
    <n v="12"/>
    <n v="0"/>
    <m/>
    <m/>
    <m/>
    <m/>
    <m/>
    <m/>
    <m/>
    <n v="12"/>
    <n v="0"/>
    <s v="1740797"/>
    <s v="Embree"/>
    <s v="Mark"/>
    <s v="VA Polytechnic Inst &amp; St U"/>
    <n v="1498424"/>
    <n v="1498424"/>
    <s v="047Z 062Z 9102"/>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embree@vt.edu"/>
    <s v="embree@vt.edu      "/>
  </r>
  <r>
    <d v="2017-08-10T16:18:13"/>
    <d v="2017-03-15T15:34:00"/>
    <s v="NSF 16-615"/>
    <s v="05010000"/>
    <s v="041Y"/>
    <s v="NEW"/>
    <s v="DECL"/>
    <s v="4110"/>
    <s v="FY17TRIPOD"/>
    <s v="TKIMBRE"/>
    <d v="2017-08-04T12:09:55"/>
    <n v="1"/>
    <n v="3.11"/>
    <s v="NR"/>
    <m/>
    <m/>
    <x v="1"/>
    <s v="RA 1740799 Vidal"/>
    <m/>
    <m/>
    <s v="Tracy J. Kimbrel"/>
    <s v="Cognisant Program Director"/>
    <s v="eJ"/>
    <s v="rvidal@cis.jhu.edu"/>
    <s v="PIs@"/>
    <s v="CCF"/>
    <s v="1740799"/>
    <n v="3"/>
    <m/>
    <m/>
    <n v="5"/>
    <n v="6"/>
    <n v="7"/>
    <s v="V,V/G,G"/>
    <d v="2017-05-17T12:07:00"/>
    <n v="1500000"/>
    <n v="1500000"/>
    <n v="0"/>
    <d v="2017-09-01T00:00:00"/>
    <n v="36"/>
    <s v="The Johns Hopkins Mathematical Institute for Data Science (MINDS)"/>
    <m/>
    <m/>
    <m/>
    <s v="P172027"/>
    <s v="Not Recommended"/>
    <n v="11"/>
    <s v="TRIPODS Panel 1"/>
    <d v="2017-05-17T00:00:00"/>
    <s v=" V,V/G,G"/>
    <s v="30 rated projects: 2 HR, 8 R, 11 NR, 9 NDP"/>
    <n v="12"/>
    <n v="0"/>
    <m/>
    <m/>
    <m/>
    <m/>
    <m/>
    <m/>
    <m/>
    <n v="12"/>
    <n v="0"/>
    <m/>
    <m/>
    <m/>
    <m/>
    <m/>
    <m/>
    <m/>
    <n v="12"/>
    <n v="0"/>
    <s v="1740799"/>
    <s v="Vidal"/>
    <s v="Rene"/>
    <s v="Johns Hopkins University"/>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rvidal@cis.jhu.edu"/>
    <s v="rvidal@cis.jhu.edu      "/>
  </r>
  <r>
    <d v="2017-08-09T09:08:29"/>
    <d v="2017-03-15T15:56:00"/>
    <s v="NSF 16-615"/>
    <s v="05010000"/>
    <s v="041Y"/>
    <s v="NEW"/>
    <s v="DECL"/>
    <s v="4110"/>
    <s v="FY17TRIPOD"/>
    <s v="TKIMBRE"/>
    <d v="2017-08-04T14:15:35"/>
    <n v="1"/>
    <n v="3.11"/>
    <s v="NR"/>
    <m/>
    <m/>
    <x v="1"/>
    <s v="RA 1740810 Mitzenmacher"/>
    <m/>
    <m/>
    <s v="Tracy J. Kimbrel"/>
    <s v="Cognisant Program Director"/>
    <s v="eJ"/>
    <s v="michaelm@eecs.harvard.edu"/>
    <s v="PIs@"/>
    <s v="CCF"/>
    <s v="1740810"/>
    <n v="3"/>
    <m/>
    <m/>
    <n v="3"/>
    <n v="4.333333333333333"/>
    <n v="7"/>
    <s v="V,F,F"/>
    <d v="2017-05-17T10:52:00"/>
    <n v="1500000"/>
    <n v="1500000"/>
    <n v="0"/>
    <d v="2018-01-01T00:00:00"/>
    <n v="36"/>
    <s v="Data Science (DS) Principles Center"/>
    <m/>
    <m/>
    <m/>
    <s v="P172027"/>
    <s v="Not Recommended"/>
    <n v="11"/>
    <s v="TRIPODS Panel 1"/>
    <d v="2017-05-17T00:00:00"/>
    <s v=" V,F,F"/>
    <s v="30 rated projects: 2 HR, 8 R, 11 NR, 9 NDP"/>
    <n v="12"/>
    <n v="1"/>
    <m/>
    <m/>
    <m/>
    <m/>
    <m/>
    <m/>
    <m/>
    <n v="12"/>
    <n v="1"/>
    <m/>
    <m/>
    <m/>
    <m/>
    <m/>
    <m/>
    <m/>
    <n v="12"/>
    <n v="1"/>
    <s v="1740810"/>
    <s v="Mitzenmacher"/>
    <s v="Michael"/>
    <s v="Harvard University"/>
    <n v="1500000"/>
    <n v="1500000"/>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michaelm@eecs.harvard.edu"/>
    <s v="michaelm@eecs.harvard.edu      "/>
  </r>
  <r>
    <d v="2017-08-08T17:03:29"/>
    <d v="2017-03-15T16:39:00"/>
    <s v="NSF 16-615"/>
    <s v="05010000"/>
    <s v="041Y"/>
    <s v="NEW"/>
    <s v="DECL"/>
    <s v="4110"/>
    <s v="FY17TRIPOD"/>
    <s v="JSNOEYI"/>
    <d v="2017-06-28T15:20:29"/>
    <n v="1"/>
    <n v="3.11"/>
    <s v="NR"/>
    <m/>
    <m/>
    <x v="1"/>
    <s v="RA 1740828 McGregor"/>
    <m/>
    <m/>
    <s v="Jack Snoeyink"/>
    <s v="Cognisant Program Director"/>
    <s v="eJ"/>
    <s v="mcgregor@cs.umass.edu"/>
    <s v="PIs@"/>
    <s v="CCF"/>
    <s v="1740828"/>
    <n v="3"/>
    <m/>
    <m/>
    <n v="3"/>
    <n v="4.666666666666667"/>
    <n v="6"/>
    <s v="V/G,G,F"/>
    <d v="2017-05-17T11:50:00"/>
    <n v="1499733"/>
    <n v="1499733"/>
    <n v="0"/>
    <d v="2017-09-01T00:00:00"/>
    <n v="36"/>
    <s v="Fundamental Trade-offs Throughout the Data Science Lifecycle"/>
    <m/>
    <m/>
    <m/>
    <s v="P172027"/>
    <s v="Not Recommended"/>
    <n v="11"/>
    <s v="TRIPODS Panel 1"/>
    <d v="2017-05-17T00:00:00"/>
    <s v=" V/G,G,F"/>
    <s v="30 rated projects: 2 HR, 8 R, 11 NR, 9 NDP"/>
    <n v="12"/>
    <n v="2"/>
    <m/>
    <m/>
    <m/>
    <m/>
    <m/>
    <m/>
    <m/>
    <n v="12"/>
    <n v="2"/>
    <m/>
    <m/>
    <m/>
    <m/>
    <m/>
    <m/>
    <m/>
    <n v="12"/>
    <n v="2"/>
    <s v="1740828"/>
    <s v="McGregor"/>
    <s v="Andrew"/>
    <s v="U of Massachusetts Amherst"/>
    <n v="1499733"/>
    <n v="1499733"/>
    <s v="047Z 062Z"/>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mcgregor@cs.umass.edu"/>
    <s v="mcgregor@cs.umass.edu      "/>
  </r>
  <r>
    <d v="2017-08-08T17:05:51"/>
    <d v="2017-03-15T16:41:00"/>
    <s v="NSF 16-615"/>
    <s v="05010000"/>
    <s v="041Y"/>
    <s v="NEW"/>
    <s v="DECL"/>
    <s v="4110"/>
    <s v="FY17TRIPOD"/>
    <s v="JSNOEYI"/>
    <d v="2017-06-28T15:20:34"/>
    <n v="1"/>
    <n v="3.11"/>
    <s v="NR"/>
    <m/>
    <m/>
    <x v="1"/>
    <s v="RA 1740829 Lahiri"/>
    <m/>
    <m/>
    <s v="Jack Snoeyink"/>
    <s v="Cognisant Program Director"/>
    <s v="eJ"/>
    <s v="plahiri@umd.edu"/>
    <s v="PIs@"/>
    <s v="CCF"/>
    <s v="1740829"/>
    <n v="3"/>
    <m/>
    <m/>
    <n v="5"/>
    <n v="5.666666666666667"/>
    <n v="7"/>
    <s v="V,G,G"/>
    <d v="2017-05-17T12:30:00"/>
    <n v="1499984"/>
    <n v="1499984"/>
    <n v="0"/>
    <d v="2017-09-01T00:00:00"/>
    <n v="36"/>
    <s v="Institute for Data Integration and Linkage"/>
    <m/>
    <m/>
    <m/>
    <s v="P172027"/>
    <s v="Not Recommended"/>
    <n v="11"/>
    <s v="TRIPODS Panel 1"/>
    <d v="2017-05-17T00:00:00"/>
    <s v=" V,G,G"/>
    <s v="30 rated projects: 2 HR, 8 R, 11 NR, 9 NDP"/>
    <n v="12"/>
    <n v="0"/>
    <m/>
    <m/>
    <m/>
    <m/>
    <m/>
    <m/>
    <m/>
    <n v="12"/>
    <n v="0"/>
    <m/>
    <m/>
    <m/>
    <m/>
    <m/>
    <m/>
    <m/>
    <n v="12"/>
    <n v="0"/>
    <s v="1740829"/>
    <s v="Lahiri"/>
    <s v="Parthasarathi"/>
    <s v="U of MD College Park"/>
    <n v="1499984"/>
    <n v="1499984"/>
    <s v="047Z 062Z"/>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plahiri@umd.edu"/>
    <s v="plahiri@umd.edu      "/>
  </r>
  <r>
    <d v="2017-08-09T09:13:42"/>
    <d v="2017-03-15T16:49:00"/>
    <s v="NSF 16-615"/>
    <s v="05010000"/>
    <s v="041Y"/>
    <s v="NEW"/>
    <s v="DECL"/>
    <s v="4110"/>
    <s v="FY17TRIPOD"/>
    <s v="TKIMBRE"/>
    <d v="2017-08-04T13:00:13"/>
    <n v="1"/>
    <n v="3.11"/>
    <s v="NR"/>
    <m/>
    <m/>
    <x v="1"/>
    <s v="RA 1740831 Ramachandran"/>
    <m/>
    <m/>
    <s v="Tracy J. Kimbrel"/>
    <s v="Cognisant Program Director"/>
    <s v="eJ"/>
    <s v="ram@usf.edu"/>
    <s v="PIs@"/>
    <s v="CCF"/>
    <s v="1740831"/>
    <n v="5"/>
    <m/>
    <m/>
    <n v="2"/>
    <n v="4"/>
    <n v="5"/>
    <s v="G,G,G,F,F/P"/>
    <d v="2017-05-16T21:34:00"/>
    <n v="1464858"/>
    <n v="1464858"/>
    <n v="0"/>
    <d v="2018-01-01T00:00:00"/>
    <n v="36"/>
    <s v="TRIPODS: Interdisciplinary Data Sciences Institute (IDSI)"/>
    <m/>
    <m/>
    <m/>
    <s v="P172027"/>
    <s v="Not Recommended"/>
    <n v="11"/>
    <s v="TRIPODS Panel 1"/>
    <d v="2017-05-17T00:00:00"/>
    <s v=" G,G,G,F,F/P"/>
    <s v="30 rated projects: 2 HR, 8 R, 11 NR, 9 NDP"/>
    <n v="12"/>
    <n v="0"/>
    <m/>
    <m/>
    <m/>
    <m/>
    <m/>
    <m/>
    <m/>
    <n v="12"/>
    <n v="0"/>
    <m/>
    <m/>
    <m/>
    <m/>
    <m/>
    <m/>
    <m/>
    <n v="12"/>
    <n v="0"/>
    <s v="1740831"/>
    <s v="Ramachandran"/>
    <s v="Kandethody"/>
    <s v="U of South Florida"/>
    <n v="1464858"/>
    <n v="1464858"/>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ram@usf.edu"/>
    <s v="ram@usf.edu      "/>
  </r>
  <r>
    <d v="2017-08-09T09:15:02"/>
    <d v="2017-03-15T16:57:00"/>
    <s v="NSF 16-615"/>
    <s v="05010000"/>
    <s v="041Y"/>
    <s v="NEW"/>
    <s v="DECL"/>
    <s v="4110"/>
    <s v="FY17TRIPOD"/>
    <s v="TKIMBRE"/>
    <d v="2017-08-04T14:08:43"/>
    <n v="1"/>
    <n v="3.11"/>
    <s v="NR"/>
    <m/>
    <m/>
    <x v="1"/>
    <s v="RA 1740835 Orecchia"/>
    <m/>
    <m/>
    <s v="Tracy J. Kimbrel"/>
    <s v="Cognisant Program Director"/>
    <s v="eJ"/>
    <s v="orecchia@bu.edu"/>
    <s v="PIs@"/>
    <s v="CCF"/>
    <s v="1740835"/>
    <n v="3"/>
    <m/>
    <m/>
    <n v="3"/>
    <n v="4.666666666666667"/>
    <n v="6"/>
    <s v="V/G,G,F"/>
    <d v="2017-05-18T12:41:00"/>
    <n v="1493907"/>
    <n v="1493907"/>
    <n v="0"/>
    <d v="2018-01-01T00:00:00"/>
    <n v="36"/>
    <s v="TRIPODS: Boston University's Institute for Transdisciplinary Research in Principles of Data Science"/>
    <m/>
    <m/>
    <m/>
    <s v="P172027"/>
    <s v="Not Recommended"/>
    <n v="11"/>
    <s v="TRIPODS Panel 1"/>
    <d v="2017-05-17T00:00:00"/>
    <s v=" V/G,G,F"/>
    <s v="30 rated projects: 2 HR, 8 R, 11 NR, 9 NDP"/>
    <n v="12"/>
    <n v="2"/>
    <m/>
    <m/>
    <m/>
    <m/>
    <m/>
    <m/>
    <m/>
    <n v="12"/>
    <n v="2"/>
    <m/>
    <m/>
    <m/>
    <m/>
    <m/>
    <m/>
    <m/>
    <n v="12"/>
    <n v="2"/>
    <s v="1740835"/>
    <s v="Orecchia"/>
    <s v="Lorenzo"/>
    <s v="Boston University"/>
    <n v="1493907"/>
    <n v="1493907"/>
    <s v="047Z 062Z"/>
    <m/>
    <m/>
    <m/>
    <m/>
    <m/>
    <m/>
    <m/>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orecchia@bu.edu"/>
    <s v="orecchia@bu.edu      "/>
  </r>
  <r>
    <d v="2017-08-07T16:12:49"/>
    <d v="2017-03-16T16:19:00"/>
    <s v="NSF 16-615"/>
    <s v="05010000"/>
    <s v="041Y"/>
    <s v="NEW"/>
    <s v="DECL"/>
    <s v="4110"/>
    <s v="FY17TRIPOD"/>
    <s v="TKIMBRE"/>
    <d v="2017-08-04T11:37:46"/>
    <n v="1"/>
    <n v="3.11"/>
    <s v="NR"/>
    <m/>
    <m/>
    <x v="1"/>
    <s v="RA 1740904 Yener"/>
    <m/>
    <m/>
    <s v="Tracy J. Kimbrel"/>
    <s v="Cognisant Program Director"/>
    <s v="eJ"/>
    <s v="byener@gmail.com"/>
    <s v="PIs@"/>
    <s v="CCF"/>
    <s v="1740904"/>
    <n v="3"/>
    <m/>
    <m/>
    <n v="1"/>
    <n v="5"/>
    <n v="7"/>
    <s v="V,V,P"/>
    <d v="2017-05-17T11:48:00"/>
    <n v="1499997"/>
    <n v="1499997"/>
    <n v="0"/>
    <d v="2017-08-31T00:00:00"/>
    <n v="36"/>
    <s v="Collaborative Research: TRIPODS: A Theoretical Framework for Solving Structured Missing Data Problems"/>
    <m/>
    <m/>
    <m/>
    <s v="P172027"/>
    <s v="Not Recommended"/>
    <n v="11"/>
    <s v="TRIPODS Panel 1"/>
    <d v="2017-05-17T00:00:00"/>
    <s v=" V,V,P"/>
    <s v="30 rated projects: 2 HR, 8 R, 11 NR, 9 NDP"/>
    <n v="12"/>
    <n v="1"/>
    <m/>
    <m/>
    <m/>
    <m/>
    <m/>
    <m/>
    <m/>
    <n v="12"/>
    <n v="1"/>
    <m/>
    <m/>
    <m/>
    <m/>
    <m/>
    <m/>
    <m/>
    <n v="12"/>
    <n v="1"/>
    <s v="1740904"/>
    <s v="Yener"/>
    <s v="Bulent"/>
    <s v="Rensselaer Polytech Inst"/>
    <n v="1277934"/>
    <n v="1277934"/>
    <s v="047Z 062Z"/>
    <s v="1740792"/>
    <s v="Kafadar"/>
    <s v="Karen"/>
    <s v="University of Virginia"/>
    <n v="222063"/>
    <n v="222063"/>
    <s v="047Z 062Z 9102"/>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byener@gmail.com"/>
    <s v="byener@gmail.com;kk3ab@virginia.edu     "/>
  </r>
  <r>
    <m/>
    <d v="2017-07-17T13:08:00"/>
    <s v="NSF 17-537"/>
    <s v="05010000"/>
    <s v="7796"/>
    <s v="NEW"/>
    <s v="PEND"/>
    <s v="4110"/>
    <s v="CAR17-18"/>
    <s v="JSNOEYI"/>
    <m/>
    <n v="1"/>
    <n v="3.13"/>
    <s v="LC"/>
    <m/>
    <m/>
    <x v="3"/>
    <s v="Decline  1749385 Wang"/>
    <m/>
    <m/>
    <s v="Jack Snoeyink"/>
    <s v="Cognisant Program Director"/>
    <s v="eJ"/>
    <s v="haitao.wang@usu.edu"/>
    <s v="PIs@"/>
    <s v="CCF"/>
    <s v="1749385"/>
    <n v="4"/>
    <n v="4"/>
    <m/>
    <n v="4"/>
    <n v="6.25"/>
    <n v="9"/>
    <s v="E,V,G,G/F"/>
    <d v="2017-10-22T04:18:00"/>
    <n v="524898"/>
    <n v="524898"/>
    <n v="0"/>
    <d v="2018-05-01T00:00:00"/>
    <n v="60"/>
    <s v="CAREER: Algorithms for Shortest Paths and Related Problems in Computational Geometry"/>
    <m/>
    <m/>
    <m/>
    <s v="P180207"/>
    <s v="Low Competitive"/>
    <n v="13"/>
    <s v="AF CAREER/CRII Panel A"/>
    <d v="2017-10-24T00:00:00"/>
    <s v=" E,V,G,G/F"/>
    <s v="31 rated projects: 3 HC, 12 C, 10 LC, 6 NC"/>
    <n v="14"/>
    <n v="0"/>
    <m/>
    <m/>
    <m/>
    <m/>
    <m/>
    <m/>
    <m/>
    <n v="14"/>
    <n v="0"/>
    <m/>
    <m/>
    <m/>
    <m/>
    <m/>
    <m/>
    <m/>
    <n v="14"/>
    <n v="0"/>
    <s v="1749385"/>
    <s v="Wang"/>
    <s v="Haitao"/>
    <s v="Utah State University"/>
    <n v="524898"/>
    <n v="524898"/>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haitao.wang@usu.edu"/>
    <s v="haitao.wang@usu.edu      "/>
  </r>
  <r>
    <m/>
    <d v="2017-07-17T13:55:00"/>
    <s v="NSF 17-537"/>
    <s v="05010000"/>
    <s v="7796"/>
    <s v="NEW"/>
    <s v="PEND"/>
    <s v="4110"/>
    <s v="CAR17-18"/>
    <s v="RSHAH"/>
    <m/>
    <n v="1"/>
    <n v="3.13"/>
    <s v="LC"/>
    <m/>
    <m/>
    <x v="1"/>
    <s v="RA 1749414 Moseley"/>
    <m/>
    <m/>
    <s v="Rahul Shah"/>
    <s v="Cognisant Program Director"/>
    <s v="eJ"/>
    <s v="bmoseley@seas.wustl.edu"/>
    <s v="PIs@"/>
    <s v="CCF"/>
    <s v="1749414"/>
    <n v="5"/>
    <n v="5"/>
    <m/>
    <n v="5"/>
    <n v="6.8"/>
    <n v="9"/>
    <s v="E,E/V,V,G,G"/>
    <d v="2017-10-24T12:15:00"/>
    <n v="545000"/>
    <n v="545000"/>
    <n v="0"/>
    <d v="2018-07-01T00:00:00"/>
    <n v="60"/>
    <s v="CAREER: Scaling Computation via Massively Distributed Algorithms"/>
    <m/>
    <m/>
    <m/>
    <s v="P180207"/>
    <s v="Low Competitive"/>
    <n v="13"/>
    <s v="AF CAREER/CRII Panel A"/>
    <d v="2017-10-24T00:00:00"/>
    <s v=" E,E/V,V,G,G"/>
    <s v="31 rated projects: 3 HC, 12 C, 10 LC, 6 NC"/>
    <n v="14"/>
    <n v="1"/>
    <m/>
    <m/>
    <m/>
    <m/>
    <m/>
    <m/>
    <m/>
    <n v="14"/>
    <n v="1"/>
    <m/>
    <m/>
    <m/>
    <m/>
    <m/>
    <m/>
    <m/>
    <n v="14"/>
    <n v="1"/>
    <s v="1749414"/>
    <s v="Moseley"/>
    <s v="Benjamin"/>
    <s v="Carnegie Mellon University"/>
    <n v="545000"/>
    <n v="545000"/>
    <s v="1045 7934"/>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bmoseley@seas.wustl.edu"/>
    <s v="bmoseley@seas.wustl.edu      "/>
  </r>
  <r>
    <m/>
    <d v="2017-07-18T16:41:00"/>
    <s v="NSF 17-537"/>
    <s v="05010000"/>
    <s v="7796"/>
    <s v="NEW"/>
    <s v="PEND"/>
    <s v="4110"/>
    <s v="CAR17-18"/>
    <s v="JSNOEYI"/>
    <m/>
    <n v="1"/>
    <n v="3.13"/>
    <s v="LC"/>
    <m/>
    <m/>
    <x v="3"/>
    <s v="Decline  1749977 Solomon"/>
    <m/>
    <m/>
    <s v="Jack Snoeyink"/>
    <s v="Cognisant Program Director"/>
    <s v="eJ"/>
    <s v="jsolomon@mit.edu"/>
    <s v="PIs@"/>
    <s v="CCF"/>
    <s v="1749977"/>
    <n v="4"/>
    <n v="4"/>
    <m/>
    <n v="3"/>
    <n v="6.25"/>
    <n v="9"/>
    <s v="E,V,V/G,F"/>
    <d v="2017-10-22T23:20:00"/>
    <n v="550000"/>
    <n v="550000"/>
    <n v="0"/>
    <d v="2018-01-01T00:00:00"/>
    <n v="60"/>
    <s v="CAREER: Structured Optimization for Geometric Problems"/>
    <m/>
    <m/>
    <m/>
    <s v="P180207"/>
    <s v="Low Competitive"/>
    <n v="13"/>
    <s v="AF CAREER/CRII Panel A"/>
    <d v="2017-10-24T00:00:00"/>
    <s v=" E,V,V/G,F"/>
    <s v="31 rated projects: 3 HC, 12 C, 10 LC, 6 NC"/>
    <n v="14"/>
    <n v="2"/>
    <m/>
    <m/>
    <m/>
    <m/>
    <m/>
    <m/>
    <m/>
    <n v="14"/>
    <n v="2"/>
    <m/>
    <m/>
    <m/>
    <m/>
    <m/>
    <m/>
    <m/>
    <n v="14"/>
    <n v="2"/>
    <s v="1749977"/>
    <s v="Solomon"/>
    <s v="Justin"/>
    <s v="MIT"/>
    <n v="550000"/>
    <n v="550000"/>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jsolomon@mit.edu"/>
    <s v="jsolomon@mit.edu      "/>
  </r>
  <r>
    <m/>
    <d v="2017-07-18T17:42:00"/>
    <s v="NSF 17-537"/>
    <s v="05010000"/>
    <s v="7796"/>
    <s v="NEW"/>
    <s v="PEND"/>
    <s v="4110"/>
    <s v="CAR17-18"/>
    <s v="TKIMBRE"/>
    <m/>
    <n v="1"/>
    <n v="3.13"/>
    <s v="LC"/>
    <m/>
    <m/>
    <x v="1"/>
    <s v="RA 1750039 Solomonik"/>
    <m/>
    <m/>
    <s v="Tracy J. Kimbrel"/>
    <s v="Cognisant Program Director"/>
    <s v="eJ"/>
    <s v="solomon2@illinois.edu"/>
    <s v="PIs@"/>
    <s v="CCF"/>
    <s v="1750039"/>
    <n v="4"/>
    <n v="4"/>
    <m/>
    <n v="3"/>
    <n v="4.5"/>
    <n v="5"/>
    <s v="G,G,G,F"/>
    <d v="2017-10-23T22:08:00"/>
    <n v="524117"/>
    <n v="524117"/>
    <n v="0"/>
    <d v="2018-02-01T00:00:00"/>
    <n v="60"/>
    <s v="CAREER: Scalable algorithms for tensor networks"/>
    <m/>
    <m/>
    <m/>
    <s v="P180207"/>
    <s v="Low Competitive"/>
    <n v="13"/>
    <s v="AF CAREER/CRII Panel A"/>
    <d v="2017-10-24T00:00:00"/>
    <s v=" G,G,G,F"/>
    <s v="31 rated projects: 3 HC, 12 C, 10 LC, 6 NC"/>
    <n v="14"/>
    <n v="2"/>
    <m/>
    <m/>
    <m/>
    <m/>
    <m/>
    <m/>
    <m/>
    <n v="14"/>
    <n v="2"/>
    <m/>
    <m/>
    <m/>
    <m/>
    <m/>
    <m/>
    <m/>
    <n v="14"/>
    <n v="2"/>
    <s v="1750039"/>
    <s v="Solomonik"/>
    <s v="Edgar"/>
    <s v="U of Ill Urbana-Champaign"/>
    <n v="524117"/>
    <n v="524117"/>
    <s v="1045 7934"/>
    <m/>
    <m/>
    <m/>
    <m/>
    <m/>
    <m/>
    <m/>
    <m/>
    <m/>
    <m/>
    <m/>
    <m/>
    <m/>
    <m/>
    <m/>
    <m/>
    <m/>
    <m/>
    <m/>
    <m/>
    <m/>
    <m/>
    <m/>
    <m/>
    <m/>
    <m/>
    <m/>
    <m/>
    <m/>
    <m/>
    <m/>
    <m/>
    <m/>
    <m/>
    <m/>
    <m/>
    <m/>
    <m/>
    <m/>
    <m/>
    <m/>
    <m/>
    <s v="Faculty Early Career Development Program"/>
    <s v="Division of Computing and Communication Foundations"/>
    <s v="ALGORITHMIC FOUNDATIONS"/>
    <s v="Tracy J. Kimbrel"/>
    <s v="Pending, Review Package Produced"/>
    <s v="New Project"/>
    <s v="Research Grants-Not Elsewh Cla"/>
    <s v="CSE"/>
    <s v="Direct For Computer &amp; Info Scie &amp; Enginr"/>
    <d v="2017-12-04T22:07:29"/>
    <s v="solomon2@illinois.edu"/>
    <s v="solomon2@illinois.edu      "/>
  </r>
  <r>
    <m/>
    <d v="2017-07-19T08:37:00"/>
    <s v="NSF 17-537"/>
    <s v="05010000"/>
    <s v="7796"/>
    <s v="NEW"/>
    <s v="PEND"/>
    <s v="4110"/>
    <s v="CAR17-18"/>
    <s v="RSHAH"/>
    <m/>
    <n v="1"/>
    <n v="3.13"/>
    <s v="LC"/>
    <m/>
    <m/>
    <x v="1"/>
    <s v="RA 1750118 Li"/>
    <m/>
    <m/>
    <s v="Rahul Shah"/>
    <s v="Cognisant Program Director"/>
    <s v="eJ"/>
    <s v="shil@buffalo.edu"/>
    <s v="PIs@"/>
    <s v="CCF"/>
    <s v="1750118"/>
    <n v="4"/>
    <n v="4"/>
    <m/>
    <n v="4"/>
    <n v="5.25"/>
    <n v="7"/>
    <s v="V,G,G,G/F"/>
    <d v="2017-10-23T14:02:00"/>
    <n v="530842"/>
    <n v="530842"/>
    <n v="0"/>
    <d v="2018-09-01T00:00:00"/>
    <n v="60"/>
    <s v="CAREER: CCF: Approximate Scheduling Algorithms via Mathematical Relaxations"/>
    <m/>
    <m/>
    <m/>
    <s v="P180207"/>
    <s v="Low Competitive"/>
    <n v="13"/>
    <s v="AF CAREER/CRII Panel A"/>
    <d v="2017-10-24T00:00:00"/>
    <s v=" V,G,G,G/F"/>
    <s v="31 rated projects: 3 HC, 12 C, 10 LC, 6 NC"/>
    <n v="14"/>
    <n v="2"/>
    <m/>
    <m/>
    <m/>
    <m/>
    <m/>
    <m/>
    <m/>
    <n v="14"/>
    <n v="2"/>
    <m/>
    <m/>
    <m/>
    <m/>
    <m/>
    <m/>
    <m/>
    <n v="14"/>
    <n v="2"/>
    <s v="1750118"/>
    <s v="Li"/>
    <s v="Shi"/>
    <s v="SUNY Buffalo"/>
    <n v="530842"/>
    <n v="530842"/>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shil@buffalo.edu"/>
    <s v="shil@buffalo.edu      "/>
  </r>
  <r>
    <m/>
    <d v="2017-07-19T11:25:00"/>
    <s v="NSF 17-537"/>
    <s v="05010000"/>
    <s v="7796"/>
    <s v="NEW"/>
    <s v="PEND"/>
    <s v="4110"/>
    <s v="CAR17-18"/>
    <s v="RSHAH"/>
    <m/>
    <n v="1"/>
    <n v="3.13"/>
    <s v="LC"/>
    <m/>
    <m/>
    <x v="1"/>
    <s v="RA 1750302 Dinitz"/>
    <m/>
    <m/>
    <s v="Rahul Shah"/>
    <s v="Cognisant Program Director"/>
    <s v="eJ"/>
    <s v="mdinitz@cs.jhu.edu"/>
    <s v="PIs@"/>
    <s v="CCF"/>
    <s v="1750302"/>
    <n v="4"/>
    <n v="4"/>
    <m/>
    <n v="6"/>
    <n v="6.75"/>
    <n v="8"/>
    <s v="E/V,V,V/G,V/G"/>
    <d v="2017-10-22T23:15:00"/>
    <n v="507459"/>
    <n v="507459"/>
    <n v="0"/>
    <d v="2018-07-01T00:00:00"/>
    <n v="60"/>
    <s v="CAREER: Optimizing Distances: Compression and Network Design"/>
    <m/>
    <m/>
    <m/>
    <s v="P180207"/>
    <s v="Low Competitive"/>
    <n v="13"/>
    <s v="AF CAREER/CRII Panel A"/>
    <d v="2017-10-24T00:00:00"/>
    <s v=" E/V,V,V/G,V/G"/>
    <s v="31 rated projects: 3 HC, 12 C, 10 LC, 6 NC"/>
    <n v="14"/>
    <n v="1"/>
    <m/>
    <m/>
    <m/>
    <m/>
    <m/>
    <m/>
    <m/>
    <n v="14"/>
    <n v="1"/>
    <m/>
    <m/>
    <m/>
    <m/>
    <m/>
    <m/>
    <m/>
    <n v="14"/>
    <n v="1"/>
    <s v="1750302"/>
    <s v="Dinitz"/>
    <s v="Michael"/>
    <s v="Johns Hopkins University"/>
    <n v="507459"/>
    <n v="507459"/>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mdinitz@cs.jhu.edu"/>
    <s v="mdinitz@cs.jhu.edu      "/>
  </r>
  <r>
    <m/>
    <d v="2017-07-19T13:06:00"/>
    <s v="NSF 17-537"/>
    <s v="05010000"/>
    <s v="7796"/>
    <s v="NEW"/>
    <s v="PEND"/>
    <s v="4110"/>
    <s v="CAR17-18"/>
    <s v="RSHAH"/>
    <m/>
    <n v="1"/>
    <n v="3.13"/>
    <s v="LC"/>
    <m/>
    <m/>
    <x v="1"/>
    <s v="RA 1750463 Raghvendra"/>
    <m/>
    <m/>
    <s v="Rahul Shah"/>
    <s v="Cognisant Program Director"/>
    <s v="eJ"/>
    <s v="sharathr@vt.edu"/>
    <s v="PIs@"/>
    <s v="CCF"/>
    <s v="1750463"/>
    <n v="4"/>
    <n v="4"/>
    <m/>
    <n v="5"/>
    <n v="6.5"/>
    <n v="8"/>
    <s v="E/V,V,V/G,G"/>
    <d v="2017-10-24T11:41:00"/>
    <n v="533991"/>
    <n v="533991"/>
    <n v="0"/>
    <d v="2018-01-10T00:00:00"/>
    <n v="60"/>
    <s v="CAREER:Robust and Optimal Algorithms for Real-Time Pick-Up and Delivery Problems"/>
    <m/>
    <m/>
    <m/>
    <s v="P180207"/>
    <s v="Low Competitive"/>
    <n v="13"/>
    <s v="AF CAREER/CRII Panel A"/>
    <d v="2017-10-24T00:00:00"/>
    <s v=" E/V,V,V/G,G"/>
    <s v="31 rated projects: 3 HC, 12 C, 10 LC, 6 NC"/>
    <n v="14"/>
    <n v="2"/>
    <m/>
    <m/>
    <m/>
    <m/>
    <m/>
    <m/>
    <m/>
    <n v="14"/>
    <n v="2"/>
    <m/>
    <m/>
    <m/>
    <m/>
    <m/>
    <m/>
    <m/>
    <n v="14"/>
    <n v="2"/>
    <s v="1750463"/>
    <s v="Raghvendra"/>
    <s v="Sharath"/>
    <s v="VA Polytechnic Inst &amp; St U"/>
    <n v="533991"/>
    <n v="533991"/>
    <s v="1045 7926"/>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sharathr@vt.edu"/>
    <s v="sharathr@vt.edu      "/>
  </r>
  <r>
    <m/>
    <d v="2017-07-19T16:20:00"/>
    <s v="NSF 17-537"/>
    <s v="05010000"/>
    <s v="7796"/>
    <s v="NEW"/>
    <s v="PEND"/>
    <s v="4110"/>
    <s v="CAR17-18"/>
    <s v="JSNOEYI"/>
    <m/>
    <n v="1"/>
    <n v="3.13"/>
    <s v="LC"/>
    <m/>
    <m/>
    <x v="3"/>
    <s v="Decline  1751047 Gibson"/>
    <m/>
    <m/>
    <s v="Jack Snoeyink"/>
    <s v="Cognisant Program Director"/>
    <s v="eJ"/>
    <s v="MATTHEW.GIBSON@UTSA.EDU"/>
    <s v="PIs@"/>
    <s v="CCF"/>
    <s v="1751047"/>
    <n v="4"/>
    <n v="4"/>
    <m/>
    <n v="3"/>
    <n v="4.75"/>
    <n v="7"/>
    <s v="V,G,G/F,F"/>
    <d v="2017-10-22T04:16:00"/>
    <n v="415497"/>
    <n v="415497"/>
    <n v="0"/>
    <d v="2018-02-01T00:00:00"/>
    <n v="60"/>
    <s v="CAREER: A Modern Look at Visibility Problems"/>
    <m/>
    <m/>
    <m/>
    <s v="P180207"/>
    <s v="Low Competitive"/>
    <n v="13"/>
    <s v="AF CAREER/CRII Panel A"/>
    <d v="2017-10-24T00:00:00"/>
    <s v=" V,G,G/F,F"/>
    <s v="31 rated projects: 3 HC, 12 C, 10 LC, 6 NC"/>
    <n v="14"/>
    <n v="0"/>
    <m/>
    <m/>
    <m/>
    <m/>
    <m/>
    <m/>
    <m/>
    <n v="14"/>
    <n v="0"/>
    <m/>
    <m/>
    <m/>
    <m/>
    <m/>
    <m/>
    <m/>
    <n v="14"/>
    <n v="0"/>
    <s v="1751047"/>
    <s v="Gibson"/>
    <s v="Matthew"/>
    <s v="U of Texas San Antonio"/>
    <n v="415497"/>
    <n v="415497"/>
    <s v="1045 7929"/>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MATTHEW.GIBSON@UTSA.EDU"/>
    <s v="MATTHEW.GIBSON@UTSA.EDU      "/>
  </r>
  <r>
    <m/>
    <d v="2017-07-19T20:26:00"/>
    <s v="NSF 17-537"/>
    <s v="05010000"/>
    <s v="7796"/>
    <s v="NEW"/>
    <s v="PEND"/>
    <s v="4110"/>
    <s v="CAR17-18"/>
    <s v="RSHAH"/>
    <m/>
    <n v="1"/>
    <n v="3.13"/>
    <s v="LC"/>
    <m/>
    <m/>
    <x v="1"/>
    <s v="RA 1751416 Sitchinava"/>
    <m/>
    <m/>
    <s v="Rahul Shah"/>
    <s v="Cognisant Program Director"/>
    <s v="eJ"/>
    <s v="nodari@hawaii.edu"/>
    <s v="PIs@"/>
    <s v="CCF"/>
    <s v="1751416"/>
    <n v="4"/>
    <n v="4"/>
    <m/>
    <n v="4"/>
    <n v="5.5"/>
    <n v="7"/>
    <s v="V,V/G,G,G/F"/>
    <d v="2017-10-23T16:53:00"/>
    <n v="549999"/>
    <n v="549999"/>
    <n v="0"/>
    <d v="2018-03-01T00:00:00"/>
    <n v="60"/>
    <s v="CAREER: Locality-Conscious Parallel Algorithms"/>
    <m/>
    <m/>
    <m/>
    <s v="P180207"/>
    <s v="Low Competitive"/>
    <n v="13"/>
    <s v="AF CAREER/CRII Panel A"/>
    <d v="2017-10-24T00:00:00"/>
    <s v=" V,V/G,G,G/F"/>
    <s v="31 rated projects: 3 HC, 12 C, 10 LC, 6 NC"/>
    <n v="14"/>
    <n v="1"/>
    <m/>
    <m/>
    <m/>
    <m/>
    <m/>
    <m/>
    <m/>
    <n v="14"/>
    <n v="1"/>
    <m/>
    <m/>
    <m/>
    <m/>
    <m/>
    <m/>
    <m/>
    <n v="14"/>
    <n v="1"/>
    <s v="1751416"/>
    <s v="Sitchinava"/>
    <s v="Nodari"/>
    <s v="U of Hawaii"/>
    <n v="549999"/>
    <n v="549999"/>
    <s v="1045 7934 9150"/>
    <m/>
    <m/>
    <m/>
    <m/>
    <m/>
    <m/>
    <m/>
    <m/>
    <m/>
    <m/>
    <m/>
    <m/>
    <m/>
    <m/>
    <m/>
    <m/>
    <m/>
    <m/>
    <m/>
    <m/>
    <m/>
    <m/>
    <m/>
    <m/>
    <m/>
    <m/>
    <m/>
    <m/>
    <m/>
    <m/>
    <m/>
    <m/>
    <m/>
    <m/>
    <m/>
    <m/>
    <m/>
    <m/>
    <m/>
    <m/>
    <m/>
    <m/>
    <s v="Faculty Early Career Development Program"/>
    <s v="Division of Computing and Communication Foundations"/>
    <s v="ALGORITHMIC FOUNDATIONS"/>
    <s v="Rahul Shah"/>
    <s v="Pending, Review Package Produced"/>
    <s v="New Project"/>
    <s v="Research Grants-Not Elsewh Cla"/>
    <s v="CSE"/>
    <s v="Direct For Computer &amp; Info Scie &amp; Enginr"/>
    <d v="2017-12-04T22:07:29"/>
    <s v="nodari@hawaii.edu"/>
    <s v="nodari@hawaii.edu      "/>
  </r>
  <r>
    <d v="2016-11-03T09:30:40"/>
    <d v="2016-07-18T14:58:00"/>
    <s v="NSF 15-555"/>
    <s v="05010000"/>
    <s v="7796"/>
    <s v="NEW"/>
    <s v="DECL"/>
    <s v="4110"/>
    <s v="CAR16-17"/>
    <s v="RSHAH"/>
    <d v="2016-11-02T16:51:09"/>
    <n v="1"/>
    <n v="3.18"/>
    <s v="LC"/>
    <m/>
    <m/>
    <x v="1"/>
    <s v="RA 1651369 Zhang"/>
    <m/>
    <m/>
    <s v="Rahul Shah"/>
    <s v="Cognisant Program Director"/>
    <s v="eJ"/>
    <s v="qzhangcs@indiana.edu"/>
    <s v="PIs@"/>
    <s v="CCF"/>
    <s v="1651369"/>
    <n v="4"/>
    <m/>
    <n v="1"/>
    <n v="6"/>
    <n v="7.5"/>
    <n v="9"/>
    <s v="E,E/V,V,V/G"/>
    <d v="2016-10-15T23:14:00"/>
    <n v="499038"/>
    <n v="499038"/>
    <n v="0"/>
    <d v="2017-06-01T00:00:00"/>
    <n v="60"/>
    <s v="CAREER: A Foundation of Communication-Efficient Distributed Data Streams Monitoring"/>
    <n v="1"/>
    <s v=" E"/>
    <d v="2016-10-12T12:22:00"/>
    <s v="P170288"/>
    <s v="Low Competitive"/>
    <n v="18"/>
    <s v="AF CAREER Panel"/>
    <d v="2016-10-18T00:00:00"/>
    <s v=" E/V,V,V/G"/>
    <s v="29 rated projects: 3 HC, 14 C, 11 LC, 1 NC"/>
    <n v="12"/>
    <n v="2"/>
    <m/>
    <m/>
    <m/>
    <m/>
    <m/>
    <m/>
    <m/>
    <n v="12"/>
    <n v="2"/>
    <m/>
    <m/>
    <m/>
    <m/>
    <m/>
    <m/>
    <m/>
    <n v="12"/>
    <n v="2"/>
    <s v="1651369"/>
    <s v="Zhang"/>
    <s v="Qin"/>
    <s v="Indiana University"/>
    <n v="499038"/>
    <n v="499038"/>
    <s v="1045 7926 7934"/>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qzhangcs@indiana.edu"/>
    <s v="qzhangcs@indiana.edu      "/>
  </r>
  <r>
    <d v="2016-11-02T16:38:29"/>
    <d v="2016-07-20T09:51:00"/>
    <s v="NSF 15-555"/>
    <s v="05010000"/>
    <s v="7796"/>
    <s v="NEW"/>
    <s v="DECL"/>
    <s v="4110"/>
    <s v="CAR16-17"/>
    <s v="JSNOEYI"/>
    <d v="2016-10-31T14:27:40"/>
    <n v="1"/>
    <n v="3.18"/>
    <s v="LC"/>
    <m/>
    <m/>
    <x v="1"/>
    <s v="RA 1651932 Raghvendra"/>
    <m/>
    <m/>
    <s v="Jack Snoeyink"/>
    <s v="Cognisant Program Director"/>
    <s v="eJ"/>
    <s v="sharathr@vt.edu"/>
    <s v="PIs@"/>
    <s v="CCF"/>
    <s v="1651932"/>
    <n v="4"/>
    <m/>
    <m/>
    <n v="6"/>
    <n v="7.25"/>
    <n v="9"/>
    <s v="E,V,V,V/G"/>
    <d v="2016-10-17T11:03:00"/>
    <n v="518410"/>
    <n v="518410"/>
    <n v="0"/>
    <d v="2017-01-01T00:00:00"/>
    <n v="60"/>
    <s v="CAREER: Geometric Summaries and Beyond -- Achieving Speed, Shape and Storage"/>
    <n v="1"/>
    <s v=" E"/>
    <d v="2016-10-06T19:13:00"/>
    <s v="P170288"/>
    <s v="Low Competitive"/>
    <n v="18"/>
    <s v="AF CAREER Panel"/>
    <d v="2016-10-18T00:00:00"/>
    <s v=" V,V,V/G"/>
    <s v="29 rated projects: 3 HC, 14 C, 11 LC, 1 NC"/>
    <n v="12"/>
    <n v="0"/>
    <m/>
    <m/>
    <m/>
    <m/>
    <m/>
    <m/>
    <m/>
    <n v="12"/>
    <n v="0"/>
    <m/>
    <m/>
    <m/>
    <m/>
    <m/>
    <m/>
    <m/>
    <n v="12"/>
    <n v="0"/>
    <s v="1651932"/>
    <s v="Raghvendra"/>
    <s v="Sharath"/>
    <s v="VA Polytechnic Inst &amp; St U"/>
    <n v="518410"/>
    <n v="518410"/>
    <s v="1045 7929"/>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sharathr@vt.edu"/>
    <s v="sharathr@vt.edu      "/>
  </r>
  <r>
    <d v="2016-11-03T09:32:53"/>
    <d v="2016-07-20T10:12:00"/>
    <s v="NSF 15-555"/>
    <s v="05010000"/>
    <s v="7796"/>
    <s v="NEW"/>
    <s v="DECL"/>
    <s v="4110"/>
    <s v="CAR16-17"/>
    <s v="RSHAH"/>
    <d v="2016-11-02T16:06:24"/>
    <n v="1"/>
    <n v="3.18"/>
    <s v="LC"/>
    <m/>
    <m/>
    <x v="1"/>
    <s v="RA 1651952 Juba"/>
    <m/>
    <m/>
    <s v="Rahul Shah"/>
    <s v="Cognisant Program Director"/>
    <s v="eJ"/>
    <s v="bjuba@wustl.edu"/>
    <s v="PIs@"/>
    <s v="CCF"/>
    <s v="1651952"/>
    <n v="3"/>
    <m/>
    <m/>
    <n v="1"/>
    <n v="4.666666666666667"/>
    <n v="7"/>
    <s v="V,V/G,P"/>
    <d v="2016-10-18T20:02:00"/>
    <n v="681281"/>
    <n v="681281"/>
    <n v="0"/>
    <d v="2017-07-01T00:00:00"/>
    <n v="60"/>
    <s v="CAREER: Integrated Knowledge Discovery and Analysis Using Sum-of-Squares Proofs"/>
    <n v="1"/>
    <s v=" V"/>
    <d v="2016-10-11T17:14:00"/>
    <s v="P170288"/>
    <s v="Low Competitive"/>
    <n v="18"/>
    <s v="AF CAREER Panel"/>
    <d v="2016-10-18T00:00:00"/>
    <s v=" V/G,P"/>
    <s v="29 rated projects: 3 HC, 14 C, 11 LC, 1 NC"/>
    <n v="12"/>
    <n v="0"/>
    <m/>
    <m/>
    <m/>
    <m/>
    <m/>
    <m/>
    <m/>
    <n v="12"/>
    <n v="0"/>
    <m/>
    <m/>
    <m/>
    <m/>
    <m/>
    <m/>
    <m/>
    <n v="12"/>
    <n v="0"/>
    <s v="1651952"/>
    <s v="Juba"/>
    <s v="Brendan"/>
    <s v="Washington University"/>
    <n v="681281"/>
    <n v="681281"/>
    <s v="1045 7926 9150"/>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bjuba@wustl.edu"/>
    <s v="bjuba@wustl.edu      "/>
  </r>
  <r>
    <d v="2016-10-31T10:43:45"/>
    <d v="2016-07-20T10:17:00"/>
    <s v="NSF 15-555"/>
    <s v="05010000"/>
    <s v="7796"/>
    <s v="NEW"/>
    <s v="DECL"/>
    <s v="4110"/>
    <s v="CAR16-17"/>
    <s v="TKIMBRE"/>
    <d v="2016-10-24T12:57:00"/>
    <n v="1"/>
    <n v="3.18"/>
    <s v="LC"/>
    <m/>
    <m/>
    <x v="1"/>
    <s v="RA 1651964 Moseley"/>
    <m/>
    <m/>
    <s v="Tracy J. Kimbrel"/>
    <s v="Cognisant Program Director"/>
    <s v="eJ"/>
    <s v="bmoseley@seas.wustl.edu"/>
    <s v="PIs@"/>
    <s v="CCF"/>
    <s v="1651964"/>
    <n v="4"/>
    <m/>
    <m/>
    <n v="6"/>
    <n v="6.75"/>
    <n v="7"/>
    <s v="V,V,V,V/G"/>
    <d v="2016-10-18T12:03:00"/>
    <n v="517179"/>
    <n v="517179"/>
    <n v="0"/>
    <d v="2017-07-01T00:00:00"/>
    <n v="60"/>
    <s v="CAREER:Breaking the Theoretical Frontiers of Resource Allocation with Transformative  Algorithms, Analysis Techniques and Models"/>
    <n v="1"/>
    <s v=" V/G"/>
    <d v="2016-10-02T14:37:00"/>
    <s v="P170288"/>
    <s v="Low Competitive"/>
    <n v="18"/>
    <s v="AF CAREER Panel"/>
    <d v="2016-10-18T00:00:00"/>
    <s v=" V,V,V"/>
    <s v="29 rated projects: 3 HC, 14 C, 11 LC, 1 NC"/>
    <n v="12"/>
    <n v="0"/>
    <m/>
    <m/>
    <m/>
    <m/>
    <m/>
    <m/>
    <m/>
    <n v="12"/>
    <n v="0"/>
    <m/>
    <m/>
    <m/>
    <m/>
    <m/>
    <m/>
    <m/>
    <n v="12"/>
    <n v="0"/>
    <s v="1651964"/>
    <s v="Moseley"/>
    <s v="Benjamin"/>
    <s v="Washington University"/>
    <n v="517179"/>
    <n v="517179"/>
    <s v="1045 7926 9150"/>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bmoseley@seas.wustl.edu"/>
    <s v="bmoseley@seas.wustl.edu      "/>
  </r>
  <r>
    <d v="2016-10-31T10:45:36"/>
    <d v="2016-07-20T10:21:00"/>
    <s v="NSF 15-555"/>
    <s v="05010000"/>
    <s v="7796"/>
    <s v="NEW"/>
    <s v="DECL"/>
    <s v="4110"/>
    <s v="CAR16-17"/>
    <s v="TKIMBRE"/>
    <d v="2016-10-24T12:57:50"/>
    <n v="1"/>
    <n v="3.18"/>
    <s v="LC"/>
    <m/>
    <m/>
    <x v="1"/>
    <s v="RA 1651970 Ullman"/>
    <m/>
    <m/>
    <s v="Tracy J. Kimbrel"/>
    <s v="Cognisant Program Director"/>
    <s v="eJ"/>
    <s v="jullman@ccs.neu.edu"/>
    <s v="PIs@"/>
    <s v="CCF"/>
    <s v="1651970"/>
    <n v="4"/>
    <m/>
    <m/>
    <n v="7"/>
    <n v="7.25"/>
    <n v="8"/>
    <s v="E/V,V,V,V"/>
    <d v="2016-10-18T14:35:00"/>
    <n v="535891"/>
    <n v="535891"/>
    <n v="0"/>
    <d v="2017-08-01T00:00:00"/>
    <n v="60"/>
    <s v="CAREER: A Stable Foundation for Trustworthy Data Analysis"/>
    <n v="1"/>
    <s v=" V"/>
    <d v="2016-09-25T14:39:00"/>
    <s v="P170288"/>
    <s v="Low Competitive"/>
    <n v="18"/>
    <s v="AF CAREER Panel"/>
    <d v="2016-10-18T00:00:00"/>
    <s v=" E/V ,V,V"/>
    <s v="29 rated projects: 3 HC, 14 C, 11 LC, 1 NC"/>
    <n v="12"/>
    <n v="0"/>
    <m/>
    <m/>
    <m/>
    <m/>
    <m/>
    <m/>
    <m/>
    <n v="12"/>
    <n v="0"/>
    <m/>
    <m/>
    <m/>
    <m/>
    <m/>
    <m/>
    <m/>
    <n v="12"/>
    <n v="0"/>
    <s v="1651970"/>
    <s v="Ullman"/>
    <s v="Jonathan"/>
    <s v="Northeastern University"/>
    <n v="535891"/>
    <n v="535891"/>
    <s v="1045 7926"/>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jullman@ccs.neu.edu"/>
    <s v="jullman@ccs.neu.edu      "/>
  </r>
  <r>
    <d v="2016-11-02T16:39:19"/>
    <d v="2016-07-20T10:56:00"/>
    <s v="NSF 15-555"/>
    <s v="05010000"/>
    <s v="7796"/>
    <s v="NEW"/>
    <s v="DECL"/>
    <s v="4110"/>
    <s v="CAR16-17"/>
    <s v="JSNOEYI"/>
    <d v="2016-10-31T14:44:16"/>
    <n v="1"/>
    <n v="3.18"/>
    <s v="LC"/>
    <m/>
    <m/>
    <x v="1"/>
    <s v="RA 1651999 Peng"/>
    <m/>
    <m/>
    <s v="Jack Snoeyink"/>
    <s v="Cognisant Program Director"/>
    <s v="eJ"/>
    <s v="rpeng@cc.gatech.edu"/>
    <s v="PIs@"/>
    <s v="CCF"/>
    <s v="1651999"/>
    <n v="4"/>
    <m/>
    <m/>
    <n v="5"/>
    <n v="6.25"/>
    <n v="8"/>
    <s v="E/V,V/G,V/G,G"/>
    <d v="2016-10-17T18:05:00"/>
    <n v="600000"/>
    <n v="600000"/>
    <n v="0"/>
    <d v="2017-07-01T00:00:00"/>
    <n v="60"/>
    <s v="CAREER: Algorithm Frameworks Based on Adaptive Sampling"/>
    <n v="1"/>
    <s v=" E/V"/>
    <d v="2016-09-21T10:18:00"/>
    <s v="P170288"/>
    <s v="Low Competitive"/>
    <n v="18"/>
    <s v="AF CAREER Panel"/>
    <d v="2016-10-18T00:00:00"/>
    <s v=" V/G,V/G,G"/>
    <s v="29 rated projects: 3 HC, 14 C, 11 LC, 1 NC"/>
    <n v="12"/>
    <n v="1"/>
    <m/>
    <m/>
    <m/>
    <m/>
    <m/>
    <m/>
    <m/>
    <n v="12"/>
    <n v="1"/>
    <m/>
    <m/>
    <m/>
    <m/>
    <m/>
    <m/>
    <m/>
    <n v="12"/>
    <n v="1"/>
    <s v="1651999"/>
    <s v="Peng"/>
    <s v="Yang"/>
    <s v="Georgia Tech Research Corp"/>
    <n v="600000"/>
    <n v="600000"/>
    <s v="1045 7926"/>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rpeng@cc.gatech.edu"/>
    <s v="rpeng@cc.gatech.edu      "/>
  </r>
  <r>
    <d v="2016-11-03T13:19:58"/>
    <d v="2016-07-20T11:38:00"/>
    <s v="NSF 15-555"/>
    <s v="05010000"/>
    <s v="7796"/>
    <s v="NEW"/>
    <s v="DECL"/>
    <s v="4110"/>
    <s v="CAR16-17"/>
    <s v="RSHAH"/>
    <d v="2016-11-03T11:05:11"/>
    <n v="1"/>
    <n v="3.18"/>
    <s v="LC"/>
    <m/>
    <m/>
    <x v="1"/>
    <s v="RA 1652063 Nguyen"/>
    <m/>
    <m/>
    <s v="Rahul Shah"/>
    <s v="Cognisant Program Director"/>
    <s v="eJ"/>
    <s v="hu.nguyen@neu.edu"/>
    <s v="PIs@"/>
    <s v="CCF"/>
    <s v="1652063"/>
    <n v="4"/>
    <m/>
    <m/>
    <n v="6"/>
    <n v="7.5"/>
    <n v="9"/>
    <s v="E,E/V,V,V/G"/>
    <d v="2016-10-17T09:48:00"/>
    <n v="534704"/>
    <n v="534704"/>
    <n v="0"/>
    <d v="2017-05-01T00:00:00"/>
    <n v="60"/>
    <s v="CAREER: Faster and Smaller Sketches for Bigger Data"/>
    <n v="1"/>
    <s v=" E"/>
    <d v="2016-10-11T22:08:00"/>
    <s v="P170288"/>
    <s v="Low Competitive"/>
    <n v="18"/>
    <s v="AF CAREER Panel"/>
    <d v="2016-10-18T00:00:00"/>
    <s v=" E/V,V,V/G"/>
    <s v="29 rated projects: 3 HC, 14 C, 11 LC, 1 NC"/>
    <n v="12"/>
    <n v="0"/>
    <m/>
    <m/>
    <m/>
    <m/>
    <m/>
    <m/>
    <m/>
    <n v="12"/>
    <n v="0"/>
    <m/>
    <m/>
    <m/>
    <m/>
    <m/>
    <m/>
    <m/>
    <n v="12"/>
    <n v="0"/>
    <s v="1652063"/>
    <s v="Nguyen"/>
    <s v="Huy"/>
    <s v="Northeastern University"/>
    <n v="534704"/>
    <n v="534704"/>
    <s v="1045 7926"/>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hu.nguyen@neu.edu"/>
    <s v="hu.nguyen@neu.edu      "/>
  </r>
  <r>
    <d v="2016-10-31T10:46:56"/>
    <d v="2016-07-20T13:47:00"/>
    <s v="NSF 15-555"/>
    <s v="05010000"/>
    <s v="7796"/>
    <s v="NEW"/>
    <s v="DECL"/>
    <s v="4110"/>
    <s v="CAR16-17"/>
    <s v="TKIMBRE"/>
    <d v="2016-10-24T12:57:26"/>
    <n v="1"/>
    <n v="3.18"/>
    <s v="LC"/>
    <m/>
    <m/>
    <x v="1"/>
    <s v="RA 1652250 Panigrahi"/>
    <m/>
    <m/>
    <s v="Tracy J. Kimbrel"/>
    <s v="Cognisant Program Director"/>
    <s v="eJ"/>
    <s v="debmalya.panigrahi@gmail.com"/>
    <s v="PIs@"/>
    <s v="CCF"/>
    <s v="1652250"/>
    <n v="4"/>
    <m/>
    <m/>
    <n v="5"/>
    <n v="6.5"/>
    <n v="8"/>
    <s v="E/V,V,V/G,G"/>
    <d v="2016-10-17T21:15:00"/>
    <n v="529408"/>
    <n v="529408"/>
    <n v="0"/>
    <d v="2017-02-01T00:00:00"/>
    <n v="60"/>
    <s v="CAREER: New Directions in Graph Algorithms"/>
    <n v="1"/>
    <s v=" V/G"/>
    <d v="2016-09-15T20:27:00"/>
    <s v="P170288"/>
    <s v="Low Competitive"/>
    <n v="18"/>
    <s v="AF CAREER Panel"/>
    <d v="2016-10-18T00:00:00"/>
    <s v=" E/V,V ,G"/>
    <s v="29 rated projects: 3 HC, 14 C, 11 LC, 1 NC"/>
    <n v="12"/>
    <n v="0"/>
    <m/>
    <m/>
    <m/>
    <m/>
    <m/>
    <m/>
    <m/>
    <n v="12"/>
    <n v="0"/>
    <m/>
    <m/>
    <m/>
    <m/>
    <m/>
    <m/>
    <m/>
    <n v="12"/>
    <n v="0"/>
    <s v="1652250"/>
    <s v="Panigrahi"/>
    <s v="Debmalya"/>
    <s v="Duke University"/>
    <n v="529408"/>
    <n v="529408"/>
    <s v="1045 7926"/>
    <m/>
    <m/>
    <m/>
    <m/>
    <m/>
    <m/>
    <m/>
    <m/>
    <m/>
    <m/>
    <m/>
    <m/>
    <m/>
    <m/>
    <m/>
    <m/>
    <m/>
    <m/>
    <m/>
    <m/>
    <m/>
    <m/>
    <m/>
    <m/>
    <m/>
    <m/>
    <m/>
    <m/>
    <m/>
    <m/>
    <m/>
    <m/>
    <m/>
    <m/>
    <m/>
    <m/>
    <m/>
    <m/>
    <m/>
    <m/>
    <m/>
    <m/>
    <s v="Faculty Early Career Development Program"/>
    <s v="Division of Computing and Communication Foundations"/>
    <s v="ALGORITHMIC FOUNDATIONS"/>
    <s v="Tracy J. Kimbrel"/>
    <s v="Decline, DDConcurred"/>
    <s v="New Project"/>
    <s v="Research Grants-Not Elsewh Cla"/>
    <s v="CSE"/>
    <s v="Direct For Computer &amp; Info Scie &amp; Enginr"/>
    <d v="2017-12-04T22:07:29"/>
    <s v="debmalya.panigrahi@gmail.com"/>
    <s v="debmalya.panigrahi@gmail.com      "/>
  </r>
  <r>
    <d v="2016-11-08T13:37:51"/>
    <d v="2016-07-20T17:32:00"/>
    <s v="NSF 15-555"/>
    <s v="05010000"/>
    <s v="7796"/>
    <s v="NEW"/>
    <s v="DECL"/>
    <s v="4110"/>
    <s v="CAR16-17"/>
    <s v="JSNOEYI"/>
    <d v="2016-11-07T13:50:09"/>
    <n v="1"/>
    <n v="3.18"/>
    <s v="LC"/>
    <m/>
    <m/>
    <x v="1"/>
    <s v="RA 1652857 Gibson"/>
    <m/>
    <m/>
    <s v="Jack Snoeyink"/>
    <s v="Cognisant Program Director"/>
    <s v="eJ"/>
    <s v="MATTHEW.GIBSON@UTSA.EDU"/>
    <s v="PIs@"/>
    <s v="CCF"/>
    <s v="1652857"/>
    <n v="4"/>
    <m/>
    <m/>
    <n v="3"/>
    <n v="6.5"/>
    <n v="9"/>
    <s v="E,V,V,F"/>
    <d v="2016-10-17T02:30:00"/>
    <n v="672214"/>
    <n v="672214"/>
    <n v="0"/>
    <d v="2017-01-01T00:00:00"/>
    <n v="60"/>
    <s v="CAREER: Fresh Takes on Classic Visibility Problems"/>
    <n v="1"/>
    <s v=" V"/>
    <d v="2016-09-20T12:17:00"/>
    <s v="P170288"/>
    <s v="Low Competitive"/>
    <n v="18"/>
    <s v="AF CAREER Panel"/>
    <d v="2016-10-18T00:00:00"/>
    <s v=" E ,V,F"/>
    <s v="29 rated projects: 3 HC, 14 C, 11 LC, 1 NC"/>
    <n v="12"/>
    <n v="0"/>
    <m/>
    <m/>
    <m/>
    <m/>
    <m/>
    <m/>
    <m/>
    <n v="12"/>
    <n v="0"/>
    <m/>
    <m/>
    <m/>
    <m/>
    <m/>
    <m/>
    <m/>
    <n v="12"/>
    <n v="0"/>
    <s v="1652857"/>
    <s v="Gibson"/>
    <s v="Matthew"/>
    <s v="U of Texas San Antonio"/>
    <n v="672214"/>
    <n v="672214"/>
    <s v="1045 7929"/>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MATTHEW.GIBSON@UTSA.EDU"/>
    <s v="MATTHEW.GIBSON@UTSA.EDU      "/>
  </r>
  <r>
    <d v="2016-12-17T17:57:41"/>
    <d v="2016-07-25T11:34:00"/>
    <s v="NSF 15-555"/>
    <s v="03040000"/>
    <s v="1271"/>
    <s v="NEW"/>
    <s v="DECL"/>
    <s v="4110"/>
    <s v="DMSCAR2017"/>
    <s v="PSESHAI"/>
    <d v="2016-12-08T13:58:00"/>
    <n v="2"/>
    <n v="3.18"/>
    <s v="LC"/>
    <s v="NC"/>
    <m/>
    <x v="1"/>
    <s v="RA 1654086 Crane"/>
    <m/>
    <m/>
    <s v=""/>
    <s v="Cognisant Program Director"/>
    <s v="eJ"/>
    <s v="kmcrane@cs.cmu.edu"/>
    <s v="PIs@"/>
    <s v="DMS"/>
    <s v="1654086"/>
    <n v="7"/>
    <m/>
    <m/>
    <n v="3"/>
    <n v="5.7142857142857144"/>
    <n v="7"/>
    <s v="V,V,V,V/G,G,G,F"/>
    <d v="2016-10-27T23:29:00"/>
    <n v="514170"/>
    <n v="514170"/>
    <n v="0"/>
    <d v="2017-01-01T00:00:00"/>
    <n v="60"/>
    <s v="CAREER: Discrete Geometric Representations for Shape Acquisition, Analysis, and Fabrication"/>
    <n v="1"/>
    <s v=" V"/>
    <d v="2016-10-01T18:36:00"/>
    <s v="P170288"/>
    <s v="Low Competitive"/>
    <n v="18"/>
    <s v="AF CAREER Panel"/>
    <d v="2016-10-18T00:00:00"/>
    <s v=" V ,V  ,G"/>
    <s v="29 rated projects: 3 HC, 14 C, 11 LC, 1 NC"/>
    <n v="12"/>
    <n v="0"/>
    <s v="P170144"/>
    <s v="Not Competitive"/>
    <m/>
    <s v="CAREER Applied Math, Computational  Math &amp; Math Bio"/>
    <d v="2016-10-28T00:00:00"/>
    <s v=" V/G,G ,F"/>
    <s v="60 rated projects: 7 HC, 17 C, 35 NC, 1 NR"/>
    <n v="12"/>
    <n v="0"/>
    <m/>
    <m/>
    <m/>
    <m/>
    <m/>
    <m/>
    <m/>
    <n v="12"/>
    <n v="0"/>
    <s v="1654086"/>
    <s v="Crane"/>
    <s v="Keenan"/>
    <s v="Carnegie Mellon University"/>
    <n v="514170"/>
    <n v="514170"/>
    <s v="1045"/>
    <m/>
    <m/>
    <m/>
    <m/>
    <m/>
    <m/>
    <m/>
    <m/>
    <m/>
    <m/>
    <m/>
    <m/>
    <m/>
    <m/>
    <m/>
    <m/>
    <m/>
    <m/>
    <m/>
    <m/>
    <m/>
    <m/>
    <m/>
    <m/>
    <m/>
    <m/>
    <m/>
    <m/>
    <m/>
    <m/>
    <m/>
    <m/>
    <m/>
    <m/>
    <m/>
    <m/>
    <m/>
    <m/>
    <m/>
    <m/>
    <m/>
    <m/>
    <s v="Faculty Early Career Development Program"/>
    <s v="Division Of Mathematical Sciences"/>
    <s v="COMPUTATIONAL MATHEMATICS"/>
    <m/>
    <s v="Decline, DDConcurred"/>
    <s v="New Project"/>
    <s v="Research Grants-Not Elsewh Cla"/>
    <s v="MPS"/>
    <s v="Direct For Mathematical &amp; Physical Scien"/>
    <d v="2017-12-04T22:07:29"/>
    <s v="kmcrane@cs.cmu.edu"/>
    <s v="kmcrane@cs.cmu.edu      "/>
  </r>
  <r>
    <d v="2016-11-08T13:38:35"/>
    <d v="2016-07-25T16:08:00"/>
    <s v="NSF 15-555"/>
    <s v="05010000"/>
    <s v="7796"/>
    <s v="NEW"/>
    <s v="DECL"/>
    <s v="4110"/>
    <s v="CAR16-17"/>
    <s v="JSNOEYI"/>
    <d v="2016-11-08T12:34:46"/>
    <n v="1"/>
    <n v="3.18"/>
    <s v="LC"/>
    <m/>
    <m/>
    <x v="1"/>
    <s v="RA 1654261 Oeding"/>
    <m/>
    <m/>
    <s v="Jack Snoeyink"/>
    <s v="Cognisant Program Director"/>
    <s v="eJ"/>
    <s v="lukeoeding@gmail.com"/>
    <s v="PIs@"/>
    <s v="CCF"/>
    <s v="1654261"/>
    <n v="5"/>
    <m/>
    <m/>
    <n v="3"/>
    <n v="4.8"/>
    <n v="7"/>
    <s v="V,G,G,G/F,F"/>
    <d v="2016-10-18T10:11:00"/>
    <n v="601079"/>
    <n v="601079"/>
    <n v="0"/>
    <d v="2017-05-15T00:00:00"/>
    <n v="60"/>
    <s v="CAREER: Algebraic Vision and Collaborative Navigation"/>
    <n v="2"/>
    <s v=" V,G"/>
    <d v="2016-10-13T18:03:00"/>
    <s v="P170288"/>
    <s v="Low Competitive"/>
    <n v="18"/>
    <s v="AF CAREER Panel"/>
    <d v="2016-10-18T00:00:00"/>
    <s v=" G,G/F,F"/>
    <s v="29 rated projects: 3 HC, 14 C, 11 LC, 1 NC"/>
    <n v="12"/>
    <n v="0"/>
    <m/>
    <m/>
    <m/>
    <m/>
    <m/>
    <m/>
    <m/>
    <n v="12"/>
    <n v="0"/>
    <m/>
    <m/>
    <m/>
    <m/>
    <m/>
    <m/>
    <m/>
    <n v="12"/>
    <n v="0"/>
    <s v="1654261"/>
    <s v="Oeding"/>
    <s v="Luke"/>
    <s v="Auburn University"/>
    <n v="601079"/>
    <n v="601079"/>
    <s v="1045 7933 9150"/>
    <m/>
    <m/>
    <m/>
    <m/>
    <m/>
    <m/>
    <m/>
    <m/>
    <m/>
    <m/>
    <m/>
    <m/>
    <m/>
    <m/>
    <m/>
    <m/>
    <m/>
    <m/>
    <m/>
    <m/>
    <m/>
    <m/>
    <m/>
    <m/>
    <m/>
    <m/>
    <m/>
    <m/>
    <m/>
    <m/>
    <m/>
    <m/>
    <m/>
    <m/>
    <m/>
    <m/>
    <m/>
    <m/>
    <m/>
    <m/>
    <m/>
    <m/>
    <s v="Faculty Early Career Development Program"/>
    <s v="Division of Computing and Communication Foundations"/>
    <s v="ALGORITHMIC FOUNDATIONS"/>
    <s v="Jack Snoeyink"/>
    <s v="Decline, DDConcurred"/>
    <s v="New Project"/>
    <s v="Research Grants-Not Elsewh Cla"/>
    <s v="CSE"/>
    <s v="Direct For Computer &amp; Info Scie &amp; Enginr"/>
    <d v="2017-12-04T22:07:29"/>
    <s v="lukeoeding@gmail.com"/>
    <s v="lukeoeding@gmail.com      "/>
  </r>
  <r>
    <m/>
    <d v="2017-08-07T12:01:00"/>
    <s v="NSF 17-552"/>
    <s v="05010000"/>
    <s v="026Y"/>
    <s v="NEW"/>
    <s v="PEND"/>
    <s v="4110"/>
    <s v="FY18CRII"/>
    <s v="RSHAH"/>
    <m/>
    <n v="1"/>
    <n v="4.05"/>
    <s v="NC"/>
    <m/>
    <m/>
    <x v="1"/>
    <s v="RA 1755481 Wang"/>
    <m/>
    <m/>
    <s v="Rahul Shah"/>
    <s v="Cognisant Program Director"/>
    <s v="eJ"/>
    <s v="kwang@georgiasouthern.edu"/>
    <s v="PIs@"/>
    <s v="CCF"/>
    <s v="1755481"/>
    <n v="4"/>
    <n v="4"/>
    <m/>
    <n v="3"/>
    <n v="3.25"/>
    <n v="4"/>
    <s v="G/F,F,F,F"/>
    <d v="2017-10-23T18:37:00"/>
    <n v="168126"/>
    <n v="168126"/>
    <n v="0"/>
    <d v="2018-01-01T00:00:00"/>
    <n v="24"/>
    <s v="CRII: AF: fast maximum edge-weight clique solvers and their applications"/>
    <m/>
    <m/>
    <m/>
    <s v="P180207"/>
    <s v="Not Competitive"/>
    <n v="5"/>
    <s v="AF CAREER/CRII Panel A"/>
    <d v="2017-10-24T00:00:00"/>
    <s v=" G/F,F,F,F"/>
    <s v="31 rated projects: 3 HC, 12 C, 10 LC, 6 NC"/>
    <n v="14"/>
    <n v="0"/>
    <m/>
    <m/>
    <m/>
    <m/>
    <m/>
    <m/>
    <m/>
    <n v="14"/>
    <n v="0"/>
    <m/>
    <m/>
    <m/>
    <m/>
    <m/>
    <m/>
    <m/>
    <n v="14"/>
    <n v="0"/>
    <s v="1755481"/>
    <s v="Wang"/>
    <s v="Kai"/>
    <s v="Ga. Southern Univ. R&amp;S Fdn"/>
    <n v="168126"/>
    <n v="168126"/>
    <s v="7926 8228"/>
    <m/>
    <m/>
    <m/>
    <m/>
    <m/>
    <m/>
    <m/>
    <m/>
    <m/>
    <m/>
    <m/>
    <m/>
    <m/>
    <m/>
    <m/>
    <m/>
    <m/>
    <m/>
    <m/>
    <m/>
    <m/>
    <m/>
    <m/>
    <m/>
    <m/>
    <m/>
    <m/>
    <m/>
    <m/>
    <m/>
    <m/>
    <m/>
    <m/>
    <m/>
    <m/>
    <m/>
    <m/>
    <m/>
    <m/>
    <m/>
    <m/>
    <m/>
    <s v="Computer and Information Science and Engineering (CISE) Research Initiation Initiative"/>
    <s v="Division of Computing and Communication Foundations"/>
    <s v="CRII CISE Research Initiation"/>
    <s v="Rahul Shah"/>
    <s v="Pending, Review Package Produced"/>
    <s v="New Project"/>
    <s v="Research Grants-Not Elsewh Cla"/>
    <s v="CSE"/>
    <s v="Direct For Computer &amp; Info Scie &amp; Enginr"/>
    <d v="2017-12-04T22:07:29"/>
    <s v="kwang@georgiasouthern.edu"/>
    <s v="kwang@georgiasouthern.edu      "/>
  </r>
  <r>
    <m/>
    <d v="2017-08-09T15:33:00"/>
    <s v="NSF 17-552"/>
    <s v="05010000"/>
    <s v="026Y"/>
    <s v="NEW"/>
    <s v="PEND"/>
    <s v="4110"/>
    <s v="FY18CRII"/>
    <s v="JSNOEYI"/>
    <m/>
    <n v="1"/>
    <n v="4.05"/>
    <s v="NC"/>
    <m/>
    <m/>
    <x v="3"/>
    <s v="Decline  1755881 San"/>
    <m/>
    <m/>
    <s v="Jack Snoeyink"/>
    <s v="Cognisant Program Director"/>
    <s v="eJ"/>
    <s v="osan@okstate.edu"/>
    <s v="PIs@"/>
    <s v="CCF"/>
    <s v="1755881"/>
    <n v="3"/>
    <n v="3"/>
    <m/>
    <n v="3"/>
    <n v="5.333333333333333"/>
    <n v="8"/>
    <s v="E/V,G,F"/>
    <d v="2017-10-23T17:48:00"/>
    <n v="170144"/>
    <n v="170144"/>
    <n v="0"/>
    <d v="2018-06-01T00:00:00"/>
    <n v="24"/>
    <s v="CRII: AF: Generalized Deconvolution Algorithms for Coarse-Grained Simulations of Nonlinear Multiscale Systems"/>
    <m/>
    <m/>
    <m/>
    <s v="P180207"/>
    <s v="Not Competitive"/>
    <n v="5"/>
    <s v="AF CAREER/CRII Panel A"/>
    <d v="2017-10-24T00:00:00"/>
    <s v=" E/V,G,F"/>
    <s v="31 rated projects: 3 HC, 12 C, 10 LC, 6 NC"/>
    <n v="14"/>
    <n v="0"/>
    <m/>
    <m/>
    <m/>
    <m/>
    <m/>
    <m/>
    <m/>
    <n v="14"/>
    <n v="0"/>
    <m/>
    <m/>
    <m/>
    <m/>
    <m/>
    <m/>
    <m/>
    <n v="14"/>
    <n v="0"/>
    <s v="1755881"/>
    <s v="San"/>
    <s v="Omer"/>
    <s v="Oklahoma State University"/>
    <n v="170144"/>
    <n v="170144"/>
    <s v="7933 8228 9150"/>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4T22:07:29"/>
    <s v="osan@okstate.edu"/>
    <s v="osan@okstate.edu      "/>
  </r>
  <r>
    <m/>
    <d v="2017-08-09T16:44:00"/>
    <s v="NSF 17-552"/>
    <s v="05010000"/>
    <s v="026Y"/>
    <s v="NEW"/>
    <s v="PEND"/>
    <s v="4110"/>
    <s v="FY18CRII"/>
    <s v="JSNOEYI"/>
    <m/>
    <n v="1"/>
    <n v="4.05"/>
    <s v="NC"/>
    <m/>
    <m/>
    <x v="4"/>
    <s v="Std Decline  1755954 Hajimirza"/>
    <m/>
    <m/>
    <s v="Jack Snoeyink"/>
    <s v="Cognisant Program Director"/>
    <s v="eJ"/>
    <s v="shima.hm@tamu.edu"/>
    <s v="PIs@"/>
    <s v="CCF"/>
    <s v="1755954"/>
    <n v="3"/>
    <n v="3"/>
    <m/>
    <n v="4"/>
    <n v="5.333333333333333"/>
    <n v="7"/>
    <s v="V,G,G/F"/>
    <d v="2017-10-24T16:13:00"/>
    <n v="175000"/>
    <n v="175000"/>
    <n v="0"/>
    <d v="2018-06-01T00:00:00"/>
    <n v="24"/>
    <s v="CRII: AF:Bayesian Framework for Efficient Surrogate Modeling and Learning of Probabilistic Functions Based on Large Scale Monte Carlo Simulations"/>
    <m/>
    <m/>
    <m/>
    <s v="P180207"/>
    <s v="Not Competitive"/>
    <n v="5"/>
    <s v="AF CAREER/CRII Panel A"/>
    <d v="2017-10-24T00:00:00"/>
    <s v=" V,G,G/F"/>
    <s v="31 rated projects: 3 HC, 12 C, 10 LC, 6 NC"/>
    <n v="14"/>
    <n v="0"/>
    <m/>
    <m/>
    <m/>
    <m/>
    <m/>
    <m/>
    <m/>
    <n v="14"/>
    <n v="0"/>
    <m/>
    <m/>
    <m/>
    <m/>
    <m/>
    <m/>
    <m/>
    <n v="14"/>
    <n v="0"/>
    <s v="1755954"/>
    <s v="Hajimirza"/>
    <s v="Shima"/>
    <s v="Texas Engineering Exp Sta"/>
    <n v="175000"/>
    <n v="175000"/>
    <s v="7933 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4T22:07:29"/>
    <s v="shima.hm@tamu.edu"/>
    <s v="shima.hm@tamu.edu      "/>
  </r>
  <r>
    <m/>
    <d v="2017-08-09T17:13:00"/>
    <s v="NSF 17-552"/>
    <s v="05010000"/>
    <s v="026Y"/>
    <s v="NEW"/>
    <s v="PEND"/>
    <s v="4110"/>
    <s v="FY18CRII"/>
    <s v="JSNOEYI"/>
    <m/>
    <n v="1"/>
    <n v="4.05"/>
    <s v="NC"/>
    <m/>
    <m/>
    <x v="4"/>
    <s v="Std Decline  1755978 Gangammanavar"/>
    <m/>
    <m/>
    <s v="Jack Snoeyink"/>
    <s v="Cognisant Program Director"/>
    <s v="eJ"/>
    <s v="harsha@smu.edu"/>
    <s v="PIs@"/>
    <s v="CCF"/>
    <s v="1755978"/>
    <n v="3"/>
    <n v="3"/>
    <m/>
    <n v="3"/>
    <n v="4.666666666666667"/>
    <n v="6"/>
    <s v="V/G,G,F"/>
    <d v="2017-10-23T18:00:00"/>
    <n v="175000"/>
    <n v="175000"/>
    <n v="0"/>
    <d v="2018-01-01T00:00:00"/>
    <n v="24"/>
    <s v="CRII:AF: Stochastic Programming Decomposition Model and Algorithm for Discrete-event Dynamic Systems"/>
    <m/>
    <m/>
    <m/>
    <s v="P180207"/>
    <s v="Not Competitive"/>
    <n v="5"/>
    <s v="AF CAREER/CRII Panel A"/>
    <d v="2017-10-24T00:00:00"/>
    <s v=" V/G,G,F"/>
    <s v="31 rated projects: 3 HC, 12 C, 10 LC, 6 NC"/>
    <n v="14"/>
    <n v="0"/>
    <m/>
    <m/>
    <m/>
    <m/>
    <m/>
    <m/>
    <m/>
    <n v="14"/>
    <n v="0"/>
    <m/>
    <m/>
    <m/>
    <m/>
    <m/>
    <m/>
    <m/>
    <n v="14"/>
    <n v="0"/>
    <s v="1755978"/>
    <s v="Gangammanavar"/>
    <s v="Harsha"/>
    <s v="Southern Methodist Univ"/>
    <n v="175000"/>
    <n v="175000"/>
    <s v="8228"/>
    <m/>
    <m/>
    <m/>
    <m/>
    <m/>
    <m/>
    <m/>
    <m/>
    <m/>
    <m/>
    <m/>
    <m/>
    <m/>
    <m/>
    <m/>
    <m/>
    <m/>
    <m/>
    <m/>
    <m/>
    <m/>
    <m/>
    <m/>
    <m/>
    <m/>
    <m/>
    <m/>
    <m/>
    <m/>
    <m/>
    <m/>
    <m/>
    <m/>
    <m/>
    <m/>
    <m/>
    <m/>
    <m/>
    <m/>
    <m/>
    <m/>
    <m/>
    <s v="Computer and Information Science and Engineering (CISE) Research Initiation Initiative"/>
    <s v="Division of Computing and Communication Foundations"/>
    <s v="CRII CISE Research Initiation"/>
    <s v="Jack Snoeyink"/>
    <s v="Pending, Review Package Produced"/>
    <s v="New Project"/>
    <s v="Research Grants-Not Elsewh Cla"/>
    <s v="CSE"/>
    <s v="Direct For Computer &amp; Info Scie &amp; Enginr"/>
    <d v="2017-12-04T22:07:29"/>
    <s v="harsha@smu.edu"/>
    <s v="harsha@smu.edu      "/>
  </r>
  <r>
    <d v="2017-08-10T16:16:32"/>
    <d v="2017-03-13T13:17:00"/>
    <s v="NSF 16-615"/>
    <s v="05010000"/>
    <s v="041Y"/>
    <s v="NEW"/>
    <s v="DECL"/>
    <s v="4110"/>
    <s v="FY17TRIPOD"/>
    <s v="JSNOEYI"/>
    <d v="2017-06-28T15:21:57"/>
    <n v="1"/>
    <n v="4.22"/>
    <s v="NDP"/>
    <m/>
    <m/>
    <x v="1"/>
    <s v="RA 1740562 Crainiceanu"/>
    <m/>
    <m/>
    <s v="Jack Snoeyink"/>
    <s v="Cognisant Program Director"/>
    <s v="eJ"/>
    <s v="ccraini1@jhu.edu"/>
    <s v="PIs@"/>
    <s v="CCF"/>
    <s v="1740562"/>
    <n v="3"/>
    <m/>
    <m/>
    <n v="3"/>
    <n v="4.333333333333333"/>
    <n v="5"/>
    <s v="G,G,F"/>
    <d v="2017-05-17T09:24:00"/>
    <n v="1496103"/>
    <n v="1496103"/>
    <n v="0"/>
    <d v="2017-08-01T00:00:00"/>
    <n v="36"/>
    <s v="Methodological approaches for very large -omics, wearable computing and neuroimaging data"/>
    <m/>
    <m/>
    <m/>
    <s v="P172027"/>
    <s v="Not Discussed in Panel"/>
    <n v="22"/>
    <s v="TRIPODS Panel 1"/>
    <d v="2017-05-17T00:00:00"/>
    <s v=" G,G,F"/>
    <s v="30 rated projects: 2 HR, 8 R, 11 NR, 9 NDP"/>
    <n v="12"/>
    <n v="0"/>
    <m/>
    <m/>
    <m/>
    <m/>
    <m/>
    <m/>
    <m/>
    <n v="12"/>
    <n v="0"/>
    <m/>
    <m/>
    <m/>
    <m/>
    <m/>
    <m/>
    <m/>
    <n v="12"/>
    <n v="0"/>
    <s v="1740562"/>
    <s v="Crainiceanu"/>
    <s v="Ciprian"/>
    <s v="Johns Hopkins University"/>
    <n v="748969"/>
    <n v="748969"/>
    <s v="047Z 062Z"/>
    <s v="1740596"/>
    <s v="Smirnova"/>
    <s v="Ekaterina"/>
    <s v="University of Montana"/>
    <n v="374812"/>
    <n v="374812"/>
    <s v="047Z 062Z 9102 9150"/>
    <s v="1740613"/>
    <s v="Jafari"/>
    <s v="Farhad"/>
    <s v="University of Wyoming"/>
    <n v="372322"/>
    <n v="372322"/>
    <s v="047Z 062Z 9150"/>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ccraini1@jhu.edu"/>
    <s v="ccraini1@jhu.edu;ekaterina.smirnova@mso.umt.edu;fjafari@uwyo.edu    "/>
  </r>
  <r>
    <d v="2017-08-08T08:28:53"/>
    <d v="2017-03-13T14:28:00"/>
    <s v="NSF 16-615"/>
    <s v="05010000"/>
    <s v="041Y"/>
    <s v="NEW"/>
    <s v="DECL"/>
    <s v="4110"/>
    <s v="FY17TRIPOD"/>
    <s v="TKIMBRE"/>
    <d v="2017-08-04T12:20:20"/>
    <n v="1"/>
    <n v="4.22"/>
    <s v="NDP"/>
    <m/>
    <m/>
    <x v="1"/>
    <s v="RA 1740576 Sellers"/>
    <m/>
    <m/>
    <s v="Tracy J. Kimbrel"/>
    <s v="Cognisant Program Director"/>
    <s v="eJ"/>
    <s v="kfs7@georgetown.edu"/>
    <s v="PIs@"/>
    <s v="CCF"/>
    <s v="1740576"/>
    <n v="3"/>
    <m/>
    <m/>
    <n v="3"/>
    <n v="3.6666666666666665"/>
    <n v="5"/>
    <s v="G,F,F"/>
    <d v="2017-05-17T11:00:00"/>
    <n v="1500000"/>
    <n v="1500000"/>
    <n v="0"/>
    <d v="2017-09-01T00:00:00"/>
    <n v="36"/>
    <s v="Collaborative Research: BiGeorge Data Science Institute (BiG DATA: Georgetown-George Washington Data Science Institute)"/>
    <m/>
    <m/>
    <m/>
    <s v="P172027"/>
    <s v="Not Discussed in Panel"/>
    <n v="22"/>
    <s v="TRIPODS Panel 1"/>
    <d v="2017-05-17T00:00:00"/>
    <s v=" G,F,F"/>
    <s v="30 rated projects: 2 HR, 8 R, 11 NR, 9 NDP"/>
    <n v="12"/>
    <n v="0"/>
    <m/>
    <m/>
    <m/>
    <m/>
    <m/>
    <m/>
    <m/>
    <n v="12"/>
    <n v="0"/>
    <m/>
    <m/>
    <m/>
    <m/>
    <m/>
    <m/>
    <m/>
    <n v="12"/>
    <n v="0"/>
    <s v="1740576"/>
    <s v="Sellers"/>
    <s v="Kimberly"/>
    <s v="Georgetown University"/>
    <n v="1221000"/>
    <n v="1221000"/>
    <s v="047Z 062Z"/>
    <s v="1740516"/>
    <s v="Monteleoni"/>
    <s v="Claire"/>
    <s v="George Washington Univ"/>
    <n v="279000"/>
    <n v="279000"/>
    <s v="047Z 062Z 9102"/>
    <m/>
    <m/>
    <m/>
    <m/>
    <m/>
    <m/>
    <m/>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kfs7@georgetown.edu"/>
    <s v="kfs7@georgetown.edu;cmontel@gwu.edu     "/>
  </r>
  <r>
    <d v="2017-08-08T08:29:32"/>
    <d v="2017-03-13T16:24:00"/>
    <s v="NSF 16-615"/>
    <s v="05010000"/>
    <s v="041Y"/>
    <s v="NEW"/>
    <s v="DECL"/>
    <s v="4110"/>
    <s v="FY17TRIPOD"/>
    <s v="TKIMBRE"/>
    <d v="2017-08-04T12:26:54"/>
    <n v="1"/>
    <n v="4.22"/>
    <s v="NDP"/>
    <m/>
    <m/>
    <x v="1"/>
    <s v="RA 1740605 Ravishanker"/>
    <m/>
    <m/>
    <s v="Tracy J. Kimbrel"/>
    <s v="Cognisant Program Director"/>
    <s v="eJ"/>
    <s v="nalini.ravishanker@uconn.edu"/>
    <s v="PIs@"/>
    <s v="CCF"/>
    <s v="1740605"/>
    <n v="3"/>
    <m/>
    <m/>
    <n v="4"/>
    <n v="4.666666666666667"/>
    <n v="5"/>
    <s v="G,G,G/F"/>
    <d v="2017-05-16T22:08:00"/>
    <n v="1424045"/>
    <n v="1424045"/>
    <n v="0"/>
    <d v="2017-09-01T00:00:00"/>
    <n v="36"/>
    <s v="Collaborative Research: TRIPODS: NE Consortium for the Advancement of Data Science (NECADS)-Foundations of High Performance Techniques for High-Dimensional &amp; High-Frequency Data"/>
    <m/>
    <m/>
    <m/>
    <s v="P172027"/>
    <s v="Not Discussed in Panel"/>
    <n v="22"/>
    <s v="TRIPODS Panel 1"/>
    <d v="2017-05-17T00:00:00"/>
    <s v=" G,G,G/F"/>
    <s v="30 rated projects: 2 HR, 8 R, 11 NR, 9 NDP"/>
    <n v="12"/>
    <n v="0"/>
    <m/>
    <m/>
    <m/>
    <m/>
    <m/>
    <m/>
    <m/>
    <n v="12"/>
    <n v="0"/>
    <m/>
    <m/>
    <m/>
    <m/>
    <m/>
    <m/>
    <m/>
    <n v="12"/>
    <n v="0"/>
    <s v="1740605"/>
    <s v="Ravishanker"/>
    <s v="Nalini"/>
    <s v="Univ of Connecticut"/>
    <n v="825000"/>
    <n v="825000"/>
    <s v="047Z 062Z"/>
    <s v="1740565"/>
    <s v="Laubenbacher"/>
    <s v="Reinhard"/>
    <s v="U of Conn Health Center"/>
    <n v="224999"/>
    <n v="224999"/>
    <s v="047Z 062Z"/>
    <s v="1740800"/>
    <s v="Lavine"/>
    <s v="Michael"/>
    <s v="U of Massachusetts Amherst"/>
    <n v="374046"/>
    <n v="374046"/>
    <s v="047Z 062Z 9102"/>
    <m/>
    <m/>
    <m/>
    <m/>
    <m/>
    <m/>
    <m/>
    <m/>
    <m/>
    <m/>
    <m/>
    <m/>
    <m/>
    <m/>
    <m/>
    <m/>
    <m/>
    <m/>
    <m/>
    <m/>
    <m/>
    <m/>
    <m/>
    <m/>
    <m/>
    <m/>
    <m/>
    <m/>
    <s v="Transdisciplinary Research in Principles of Data Science Phase I"/>
    <s v="Division of Computing and Communication Foundations"/>
    <s v="TRIPODS Transdisciplinary Rese"/>
    <s v="Tracy J. Kimbrel"/>
    <s v="Decline, DDConcurred"/>
    <s v="New Project"/>
    <s v="Research Grants-Not Elsewh Cla"/>
    <s v="CSE"/>
    <s v="Direct For Computer &amp; Info Scie &amp; Enginr"/>
    <d v="2017-12-04T22:07:29"/>
    <s v="nalini.ravishanker@uconn.edu"/>
    <s v="nalini.ravishanker@uconn.edu;laubenbacher@uchc.edu;lavine@math.umass.edu    "/>
  </r>
  <r>
    <d v="2017-08-08T16:28:13"/>
    <d v="2017-03-15T10:36:00"/>
    <s v="NSF 16-615"/>
    <s v="05010000"/>
    <s v="041Y"/>
    <s v="NEW"/>
    <s v="DECL"/>
    <s v="4110"/>
    <s v="FY17TRIPOD"/>
    <s v="JSNOEYI"/>
    <d v="2017-06-28T15:22:12"/>
    <n v="1"/>
    <n v="4.22"/>
    <s v="NDP"/>
    <m/>
    <m/>
    <x v="1"/>
    <s v="RA 1740736 Daniels"/>
    <m/>
    <m/>
    <s v="Jack Snoeyink"/>
    <s v="Cognisant Program Director"/>
    <s v="eJ"/>
    <s v="noah_daniels@uri.edu"/>
    <s v="PIs@"/>
    <s v="CCF"/>
    <s v="1740736"/>
    <n v="3"/>
    <m/>
    <m/>
    <n v="1"/>
    <n v="1.6666666666666667"/>
    <n v="3"/>
    <s v="F,P,P"/>
    <d v="2017-05-17T11:04:00"/>
    <n v="1319163"/>
    <n v="1319163"/>
    <n v="0"/>
    <d v="2017-09-01T00:00:00"/>
    <n v="36"/>
    <s v="Institute for Foundations of Data Science"/>
    <m/>
    <m/>
    <m/>
    <s v="P172027"/>
    <s v="Not Discussed in Panel"/>
    <n v="22"/>
    <s v="TRIPODS Panel 1"/>
    <d v="2017-05-17T00:00:00"/>
    <s v=" F,P,P"/>
    <s v="30 rated projects: 2 HR, 8 R, 11 NR, 9 NDP"/>
    <n v="12"/>
    <n v="0"/>
    <m/>
    <m/>
    <m/>
    <m/>
    <m/>
    <m/>
    <m/>
    <n v="12"/>
    <n v="0"/>
    <m/>
    <m/>
    <m/>
    <m/>
    <m/>
    <m/>
    <m/>
    <n v="12"/>
    <n v="0"/>
    <s v="1740736"/>
    <s v="Daniels"/>
    <s v="Noah"/>
    <s v="U of Rhode Island"/>
    <n v="1319163"/>
    <n v="1319163"/>
    <s v="047Z 062Z 9102 9150"/>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noah_daniels@uri.edu"/>
    <s v="noah_daniels@uri.edu      "/>
  </r>
  <r>
    <d v="2017-08-08T17:24:25"/>
    <d v="2017-03-15T11:52:00"/>
    <s v="NSF 16-615"/>
    <s v="05010000"/>
    <s v="041Y"/>
    <s v="NEW"/>
    <s v="DECL"/>
    <s v="4110"/>
    <s v="FY17TRIPOD"/>
    <s v="JSNOEYI"/>
    <d v="2017-06-28T15:22:17"/>
    <n v="1"/>
    <n v="4.22"/>
    <s v="NDP"/>
    <m/>
    <m/>
    <x v="1"/>
    <s v="RA 1740748 Edelman"/>
    <m/>
    <m/>
    <s v="Jack Snoeyink"/>
    <s v="Cognisant Program Director"/>
    <s v="eJ"/>
    <s v="EDELMAN@MATH.MIT.EDU"/>
    <s v="PIs@"/>
    <s v="CCF"/>
    <s v="1740748"/>
    <n v="3"/>
    <m/>
    <m/>
    <n v="3"/>
    <n v="4.333333333333333"/>
    <n v="5"/>
    <s v="G,G,F"/>
    <d v="2017-05-16T20:59:00"/>
    <n v="1488059"/>
    <n v="1488059"/>
    <n v="1"/>
    <d v="2017-10-01T00:00:00"/>
    <n v="36"/>
    <s v="Collaborative Research: Center for Scalable Data Analysis"/>
    <m/>
    <m/>
    <m/>
    <s v="P172027"/>
    <s v="Not Discussed in Panel"/>
    <n v="22"/>
    <s v="TRIPODS Panel 1"/>
    <d v="2017-05-17T00:00:00"/>
    <s v=" G,G,F"/>
    <s v="30 rated projects: 2 HR, 8 R, 11 NR, 9 NDP"/>
    <n v="12"/>
    <n v="0"/>
    <m/>
    <m/>
    <m/>
    <m/>
    <m/>
    <m/>
    <m/>
    <n v="12"/>
    <n v="0"/>
    <m/>
    <m/>
    <m/>
    <m/>
    <m/>
    <m/>
    <m/>
    <n v="12"/>
    <n v="0"/>
    <s v="1740748"/>
    <s v="Edelman"/>
    <s v="Alan"/>
    <s v="MIT"/>
    <n v="600000"/>
    <n v="600000"/>
    <s v="047Z 062Z"/>
    <s v="1740642"/>
    <s v="Quackenbush"/>
    <s v="John"/>
    <s v="Dana-Farber Cancer Inst"/>
    <n v="450000"/>
    <n v="450000"/>
    <s v="047Z 062Z"/>
    <s v="1740744"/>
    <s v="Gelman"/>
    <s v="Andrew"/>
    <s v="Columbia University"/>
    <n v="438059"/>
    <n v="438059"/>
    <s v="047Z 062Z"/>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EDELMAN@MATH.MIT.EDU"/>
    <s v="EDELMAN@MATH.MIT.EDU;johnq@jimmy.harvard.edu;gelman@stat.columbia.edu    "/>
  </r>
  <r>
    <d v="2017-08-08T16:42:09"/>
    <d v="2017-03-15T12:19:00"/>
    <s v="NSF 16-615"/>
    <s v="05010000"/>
    <s v="041Y"/>
    <s v="NEW"/>
    <s v="DECL"/>
    <s v="4110"/>
    <s v="FY17TRIPOD"/>
    <s v="JSNOEYI"/>
    <d v="2017-06-28T15:22:23"/>
    <n v="1"/>
    <n v="4.22"/>
    <s v="NDP"/>
    <m/>
    <m/>
    <x v="1"/>
    <s v="RA 1740752 Davison"/>
    <m/>
    <m/>
    <s v="Jack Snoeyink"/>
    <s v="Cognisant Program Director"/>
    <s v="eJ"/>
    <s v="brian@cse.lehigh.edu"/>
    <s v="PIs@"/>
    <s v="CCF"/>
    <s v="1740752"/>
    <n v="3"/>
    <m/>
    <m/>
    <n v="3"/>
    <n v="3.6666666666666665"/>
    <n v="4"/>
    <s v="G/F,G/F,F"/>
    <d v="2017-05-15T22:28:00"/>
    <n v="1499915"/>
    <n v="1499915"/>
    <n v="0"/>
    <d v="2017-10-01T00:00:00"/>
    <n v="36"/>
    <s v="Institute for Interdisciplinary Data Science"/>
    <m/>
    <m/>
    <m/>
    <s v="P172027"/>
    <s v="Not Discussed in Panel"/>
    <n v="22"/>
    <s v="TRIPODS Panel 1"/>
    <d v="2017-05-17T00:00:00"/>
    <s v=" G/F,G/F,F"/>
    <s v="30 rated projects: 2 HR, 8 R, 11 NR, 9 NDP"/>
    <n v="12"/>
    <n v="0"/>
    <m/>
    <m/>
    <m/>
    <m/>
    <m/>
    <m/>
    <m/>
    <n v="12"/>
    <n v="0"/>
    <m/>
    <m/>
    <m/>
    <m/>
    <m/>
    <m/>
    <m/>
    <n v="12"/>
    <n v="0"/>
    <s v="1740752"/>
    <s v="Davison"/>
    <s v="Brian"/>
    <s v="Lehigh University"/>
    <n v="1499915"/>
    <n v="1499915"/>
    <s v="047Z 062Z"/>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brian@cse.lehigh.edu"/>
    <s v="brian@cse.lehigh.edu      "/>
  </r>
  <r>
    <d v="2017-08-08T17:26:48"/>
    <d v="2017-03-15T14:21:00"/>
    <s v="NSF 16-615"/>
    <s v="05010000"/>
    <s v="041Y"/>
    <s v="NEW"/>
    <s v="DECL"/>
    <s v="4110"/>
    <s v="FY17TRIPOD"/>
    <s v="JSNOEYI"/>
    <d v="2017-06-28T15:22:28"/>
    <n v="1"/>
    <n v="4.22"/>
    <s v="NDP"/>
    <m/>
    <m/>
    <x v="1"/>
    <s v="RA 1740779 Carbonara"/>
    <m/>
    <m/>
    <s v="Jack Snoeyink"/>
    <s v="Cognisant Program Director"/>
    <s v="eJ"/>
    <s v="carbonjo@buffalostate.edu"/>
    <s v="PIs@"/>
    <s v="CCF"/>
    <s v="1740779"/>
    <n v="3"/>
    <m/>
    <m/>
    <n v="1"/>
    <n v="3.6666666666666665"/>
    <n v="5"/>
    <s v="G,G,P"/>
    <d v="2017-05-16T20:33:00"/>
    <n v="1499079"/>
    <n v="1499079"/>
    <n v="0"/>
    <d v="2017-09-01T00:00:00"/>
    <n v="36"/>
    <s v="Collaborative Research: SUNY Data Science Institute (SUNY-DSI)"/>
    <m/>
    <m/>
    <m/>
    <s v="P172027"/>
    <s v="Not Discussed in Panel"/>
    <n v="22"/>
    <s v="TRIPODS Panel 1"/>
    <d v="2017-05-17T00:00:00"/>
    <s v=" G,G,P"/>
    <s v="30 rated projects: 2 HR, 8 R, 11 NR, 9 NDP"/>
    <n v="12"/>
    <n v="1"/>
    <m/>
    <m/>
    <m/>
    <m/>
    <m/>
    <m/>
    <m/>
    <n v="12"/>
    <n v="1"/>
    <m/>
    <m/>
    <m/>
    <m/>
    <m/>
    <m/>
    <m/>
    <n v="12"/>
    <n v="1"/>
    <s v="1740779"/>
    <s v="Carbonara"/>
    <s v="Joaquin"/>
    <s v="SUNY Col Buffalo"/>
    <n v="285964"/>
    <n v="285964"/>
    <s v="047Z 062Z 9102"/>
    <s v="1740731"/>
    <s v="Sperhac"/>
    <s v="Jeanette"/>
    <s v="SUNY Buffalo"/>
    <n v="209549"/>
    <n v="209549"/>
    <s v="047Z 062Z 9102"/>
    <s v="1740743"/>
    <s v="Bichindaritz"/>
    <s v="Isabelle"/>
    <s v="SUNY Oswego"/>
    <n v="361729"/>
    <n v="361729"/>
    <s v="047Z 062Z 9102"/>
    <s v="1740745"/>
    <s v="Walters"/>
    <s v="Lisa"/>
    <s v="SUNY Fredonia"/>
    <n v="248472"/>
    <n v="248472"/>
    <s v="047Z 062Z"/>
    <s v="1740774"/>
    <s v="Dang"/>
    <s v="Sanjeena"/>
    <s v="SUNY Binghamton"/>
    <n v="393365"/>
    <n v="393365"/>
    <s v="047Z 062Z"/>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carbonjo@buffalostate.edu"/>
    <s v="carbonjo@buffalostate.edu;jsperhac@buffalo.edu;ibichind@oswego.edu;lisa.walters@fredonia.edu;sdang@binghamton.edu  "/>
  </r>
  <r>
    <d v="2017-08-08T17:29:45"/>
    <d v="2017-03-15T15:56:00"/>
    <s v="NSF 16-615"/>
    <s v="05010000"/>
    <s v="041Y"/>
    <s v="NEW"/>
    <s v="DECL"/>
    <s v="4110"/>
    <s v="FY17TRIPOD"/>
    <s v="JSNOEYI"/>
    <d v="2017-06-28T15:22:32"/>
    <n v="1"/>
    <n v="4.22"/>
    <s v="NDP"/>
    <m/>
    <m/>
    <x v="1"/>
    <s v="RA 1740811 Mishra"/>
    <m/>
    <m/>
    <s v="Jack Snoeyink"/>
    <s v="Cognisant Program Director"/>
    <s v="eJ"/>
    <s v="mishra@cs.nyu.edu"/>
    <s v="PIs@"/>
    <s v="CCF"/>
    <s v="1740811"/>
    <n v="3"/>
    <m/>
    <m/>
    <n v="3"/>
    <n v="3"/>
    <n v="3"/>
    <s v="F,F,F"/>
    <d v="2017-05-17T11:45:00"/>
    <n v="1500000"/>
    <n v="1500000"/>
    <n v="0"/>
    <d v="2017-09-01T00:00:00"/>
    <n v="36"/>
    <s v="Collaborative Research: TRIPODS: Foundations of Data Science through the Lens of Creolization"/>
    <m/>
    <m/>
    <m/>
    <s v="P172027"/>
    <s v="Not Discussed in Panel"/>
    <n v="22"/>
    <s v="TRIPODS Panel 1"/>
    <d v="2017-05-17T00:00:00"/>
    <s v=" F,F,F"/>
    <s v="30 rated projects: 2 HR, 8 R, 11 NR, 9 NDP"/>
    <n v="12"/>
    <n v="0"/>
    <m/>
    <m/>
    <m/>
    <m/>
    <m/>
    <m/>
    <m/>
    <n v="12"/>
    <n v="0"/>
    <m/>
    <m/>
    <m/>
    <m/>
    <m/>
    <m/>
    <m/>
    <n v="12"/>
    <n v="0"/>
    <s v="1740811"/>
    <s v="Mishra"/>
    <s v="Bhubaneswar"/>
    <s v="New York University"/>
    <n v="1050000"/>
    <n v="1050000"/>
    <s v="047Z 062Z"/>
    <s v="1740789"/>
    <s v="Mitter"/>
    <s v="Sanjoy"/>
    <s v="MIT"/>
    <n v="450000"/>
    <n v="450000"/>
    <s v="047Z 062Z"/>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mishra@cs.nyu.edu"/>
    <s v="mishra@cs.nyu.edu;mitter@mit.edu     "/>
  </r>
  <r>
    <d v="2017-08-08T16:52:19"/>
    <d v="2017-03-15T15:59:00"/>
    <s v="NSF 16-615"/>
    <s v="05010000"/>
    <s v="041Y"/>
    <s v="NEW"/>
    <s v="DECL"/>
    <s v="4110"/>
    <s v="FY17TRIPOD"/>
    <s v="JSNOEYI"/>
    <d v="2017-08-07T14:32:36"/>
    <n v="1"/>
    <n v="4.22"/>
    <s v="NDP"/>
    <m/>
    <m/>
    <x v="1"/>
    <s v="RA 1740813 Anderson"/>
    <m/>
    <m/>
    <s v="Jack Snoeyink"/>
    <s v="Cognisant Program Director"/>
    <s v="eJ"/>
    <s v="andersonpe2@cofc.edu"/>
    <s v="PIs@"/>
    <s v="CCF"/>
    <s v="1740813"/>
    <n v="3"/>
    <m/>
    <m/>
    <n v="2"/>
    <n v="3"/>
    <n v="5"/>
    <s v="G,F/P,F/P"/>
    <d v="2017-05-12T20:09:00"/>
    <n v="1500000"/>
    <n v="1500000"/>
    <n v="0"/>
    <d v="2017-12-01T00:00:00"/>
    <n v="36"/>
    <s v="TRIPODS: Phase I: Institute on Graph Analytics and Rankability in Data Science (IGARDS)"/>
    <m/>
    <m/>
    <m/>
    <s v="P172027"/>
    <s v="Not Discussed in Panel"/>
    <n v="22"/>
    <s v="TRIPODS Panel 1"/>
    <d v="2017-05-17T00:00:00"/>
    <s v=" G,F/P,F/P"/>
    <s v="30 rated projects: 2 HR, 8 R, 11 NR, 9 NDP"/>
    <n v="12"/>
    <n v="0"/>
    <m/>
    <m/>
    <m/>
    <m/>
    <m/>
    <m/>
    <m/>
    <n v="12"/>
    <n v="0"/>
    <m/>
    <m/>
    <m/>
    <m/>
    <m/>
    <m/>
    <m/>
    <n v="12"/>
    <n v="0"/>
    <s v="1740813"/>
    <s v="Anderson"/>
    <s v="Paul"/>
    <s v="College of Charleston"/>
    <n v="1500000"/>
    <n v="1500000"/>
    <s v="047Z 062Z 9102 9150"/>
    <m/>
    <m/>
    <m/>
    <m/>
    <m/>
    <m/>
    <m/>
    <m/>
    <m/>
    <m/>
    <m/>
    <m/>
    <m/>
    <m/>
    <m/>
    <m/>
    <m/>
    <m/>
    <m/>
    <m/>
    <m/>
    <m/>
    <m/>
    <m/>
    <m/>
    <m/>
    <m/>
    <m/>
    <m/>
    <m/>
    <m/>
    <m/>
    <m/>
    <m/>
    <m/>
    <m/>
    <m/>
    <m/>
    <m/>
    <m/>
    <m/>
    <m/>
    <s v="Transdisciplinary Research in Principles of Data Science Phase I"/>
    <s v="Division of Computing and Communication Foundations"/>
    <s v="TRIPODS Transdisciplinary Rese"/>
    <s v="Jack Snoeyink"/>
    <s v="Decline, DDConcurred"/>
    <s v="New Project"/>
    <s v="Research Grants-Not Elsewh Cla"/>
    <s v="CSE"/>
    <s v="Direct For Computer &amp; Info Scie &amp; Enginr"/>
    <d v="2017-12-04T22:07:29"/>
    <s v="andersonpe2@cofc.edu"/>
    <s v="andersonpe2@cofc.edu      "/>
  </r>
  <r>
    <m/>
    <d v="2017-07-14T13:18:00"/>
    <s v="NSF 17-537"/>
    <s v="05010000"/>
    <s v="7796"/>
    <s v="NEW"/>
    <s v="PEND"/>
    <s v="4110"/>
    <s v="CAR17-18"/>
    <s v="JSNOEYI"/>
    <m/>
    <n v="1"/>
    <n v="4.22"/>
    <s v="NC"/>
    <m/>
    <m/>
    <x v="4"/>
    <s v="Std Decline  1749173 Borgwardt"/>
    <m/>
    <m/>
    <s v="Jack Snoeyink"/>
    <s v="Cognisant Program Director"/>
    <s v="eJ"/>
    <s v="steffen.borgwardt@ucdenver.edu"/>
    <s v="PIs@"/>
    <s v="CCF"/>
    <s v="1749173"/>
    <n v="4"/>
    <n v="4"/>
    <m/>
    <n v="2"/>
    <n v="3.75"/>
    <n v="7"/>
    <s v="V,F,F,F/P"/>
    <d v="2017-10-23T14:00:00"/>
    <n v="470400"/>
    <n v="470400"/>
    <n v="0"/>
    <d v="2018-01-01T00:00:00"/>
    <n v="60"/>
    <s v="CAREER: Algorithms for Optimal Walks"/>
    <m/>
    <m/>
    <m/>
    <s v="P180207"/>
    <s v="Not Competitive"/>
    <n v="22"/>
    <s v="AF CAREER/CRII Panel A"/>
    <d v="2017-10-24T00:00:00"/>
    <s v=" V,F,F,F/P"/>
    <s v="31 rated projects: 3 HC, 12 C, 10 LC, 6 NC"/>
    <n v="14"/>
    <n v="0"/>
    <m/>
    <m/>
    <m/>
    <m/>
    <m/>
    <m/>
    <m/>
    <n v="14"/>
    <n v="0"/>
    <m/>
    <m/>
    <m/>
    <m/>
    <m/>
    <m/>
    <m/>
    <n v="14"/>
    <n v="0"/>
    <s v="1749173"/>
    <s v="Borgwardt"/>
    <s v="Steffen"/>
    <s v="U of Colorado Denver"/>
    <n v="470400"/>
    <n v="470400"/>
    <s v="1045 7926"/>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steffen.borgwardt@ucdenver.edu"/>
    <s v="steffen.borgwardt@ucdenver.edu      "/>
  </r>
  <r>
    <m/>
    <d v="2017-07-18T19:24:00"/>
    <s v="NSF 17-537"/>
    <s v="05010000"/>
    <s v="7796"/>
    <s v="NEW"/>
    <s v="PEND"/>
    <s v="4110"/>
    <s v="CAR17-18"/>
    <s v="JSNOEYI"/>
    <m/>
    <n v="1"/>
    <n v="4.22"/>
    <s v="NC"/>
    <m/>
    <m/>
    <x v="4"/>
    <s v="Std Decline  1750076 Schroeder"/>
    <m/>
    <m/>
    <s v="Jack Snoeyink"/>
    <s v="Cognisant Program Director"/>
    <s v="eJ"/>
    <s v="craig@ucr.edu"/>
    <s v="PIs@"/>
    <s v="CCF"/>
    <s v="1750076"/>
    <n v="4"/>
    <n v="4"/>
    <m/>
    <n v="3"/>
    <n v="4"/>
    <n v="7"/>
    <s v="V,F,F,F"/>
    <d v="2017-10-23T14:01:00"/>
    <n v="440331"/>
    <n v="440331"/>
    <n v="0"/>
    <d v="2018-01-01T00:00:00"/>
    <n v="60"/>
    <s v="CAREER: Addressing robustness in numerical simulation of nonlinear elastic solids through optimization integration and improved collision treatments"/>
    <m/>
    <m/>
    <m/>
    <s v="P180207"/>
    <s v="Not Competitive"/>
    <n v="22"/>
    <s v="AF CAREER/CRII Panel A"/>
    <d v="2017-10-24T00:00:00"/>
    <s v=" V,F,F,F"/>
    <s v="31 rated projects: 3 HC, 12 C, 10 LC, 6 NC"/>
    <n v="14"/>
    <n v="0"/>
    <m/>
    <m/>
    <m/>
    <m/>
    <m/>
    <m/>
    <m/>
    <n v="14"/>
    <n v="0"/>
    <m/>
    <m/>
    <m/>
    <m/>
    <m/>
    <m/>
    <m/>
    <n v="14"/>
    <n v="0"/>
    <s v="1750076"/>
    <s v="Schroeder"/>
    <s v="Craig"/>
    <s v="U of Cal Riverside"/>
    <n v="440331"/>
    <n v="440331"/>
    <s v="1045 7933"/>
    <m/>
    <m/>
    <m/>
    <m/>
    <m/>
    <m/>
    <m/>
    <m/>
    <m/>
    <m/>
    <m/>
    <m/>
    <m/>
    <m/>
    <m/>
    <m/>
    <m/>
    <m/>
    <m/>
    <m/>
    <m/>
    <m/>
    <m/>
    <m/>
    <m/>
    <m/>
    <m/>
    <m/>
    <m/>
    <m/>
    <m/>
    <m/>
    <m/>
    <m/>
    <m/>
    <m/>
    <m/>
    <m/>
    <m/>
    <m/>
    <m/>
    <m/>
    <s v="Faculty Early Career Development Program"/>
    <s v="Division of Computing and Communication Foundations"/>
    <s v="ALGORITHMIC FOUNDATIONS"/>
    <s v="Jack Snoeyink"/>
    <s v="Pending, Review Package Produced"/>
    <s v="New Project"/>
    <s v="Research Grants-Not Elsewh Cla"/>
    <s v="CSE"/>
    <s v="Direct For Computer &amp; Info Scie &amp; Enginr"/>
    <d v="2017-12-04T22:07:29"/>
    <s v="craig@ucr.edu"/>
    <s v="craig@ucr.edu      "/>
  </r>
  <r>
    <d v="2016-11-03T09:37:37"/>
    <d v="2016-07-20T21:35:00"/>
    <s v="NSF 15-555"/>
    <s v="05010000"/>
    <s v="7796"/>
    <s v="NEW"/>
    <s v="DECL"/>
    <s v="4110"/>
    <s v="CAR16-17"/>
    <s v="RSHAH"/>
    <d v="2016-11-02T16:17:00"/>
    <n v="1"/>
    <n v="4.29"/>
    <s v="NC"/>
    <m/>
    <m/>
    <x v="1"/>
    <s v="RA 1652983 Sitchinava"/>
    <m/>
    <m/>
    <s v="Rahul Shah"/>
    <s v="Cognisant Program Director"/>
    <s v="eJ"/>
    <s v="nodari@hawaii.edu"/>
    <s v="PIs@"/>
    <s v="CCF"/>
    <s v="1652983"/>
    <n v="4"/>
    <m/>
    <m/>
    <n v="4"/>
    <n v="4.5"/>
    <n v="5"/>
    <s v="G,G,G/F,G/F"/>
    <d v="2016-10-17T09:46:00"/>
    <n v="542978"/>
    <n v="542978"/>
    <n v="0"/>
    <d v="2017-03-01T00:00:00"/>
    <n v="60"/>
    <s v="CAREER: Locality-Conscious Parallel Algorithms"/>
    <n v="1"/>
    <s v=" G/F"/>
    <d v="2016-10-12T20:07:00"/>
    <s v="P170288"/>
    <s v="Not Competitive"/>
    <n v="29"/>
    <s v="AF CAREER Panel"/>
    <d v="2016-10-18T00:00:00"/>
    <s v=" G,G,G/F"/>
    <s v="29 rated projects: 3 HC, 14 C, 11 LC, 1 NC"/>
    <n v="12"/>
    <n v="0"/>
    <m/>
    <m/>
    <m/>
    <m/>
    <m/>
    <m/>
    <m/>
    <n v="12"/>
    <n v="0"/>
    <m/>
    <m/>
    <m/>
    <m/>
    <m/>
    <m/>
    <m/>
    <n v="12"/>
    <n v="0"/>
    <s v="1652983"/>
    <s v="Sitchinava"/>
    <s v="Nodari"/>
    <s v="U of Hawaii"/>
    <n v="542978"/>
    <n v="542978"/>
    <s v="1045 7934 9150"/>
    <m/>
    <m/>
    <m/>
    <m/>
    <m/>
    <m/>
    <m/>
    <m/>
    <m/>
    <m/>
    <m/>
    <m/>
    <m/>
    <m/>
    <m/>
    <m/>
    <m/>
    <m/>
    <m/>
    <m/>
    <m/>
    <m/>
    <m/>
    <m/>
    <m/>
    <m/>
    <m/>
    <m/>
    <m/>
    <m/>
    <m/>
    <m/>
    <m/>
    <m/>
    <m/>
    <m/>
    <m/>
    <m/>
    <m/>
    <m/>
    <m/>
    <m/>
    <s v="Faculty Early Career Development Program"/>
    <s v="Division of Computing and Communication Foundations"/>
    <s v="ALGORITHMIC FOUNDATIONS"/>
    <s v="Rahul Shah"/>
    <s v="Decline, DDConcurred"/>
    <s v="New Project"/>
    <s v="Research Grants-Not Elsewh Cla"/>
    <s v="CSE"/>
    <s v="Direct For Computer &amp; Info Scie &amp; Enginr"/>
    <d v="2017-12-04T22:07:29"/>
    <s v="nodari@hawaii.edu"/>
    <s v="nodari@hawaii.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R38"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axis="axisRow" subtotalTop="0" showAll="0">
      <items count="6">
        <item x="2"/>
        <item x="4"/>
        <item x="0"/>
        <item x="1"/>
        <item x="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axis="axisRow" outline="0" subtotalTop="0" showAll="0" defaultSubtotal="0">
      <items count="15">
        <item x="0"/>
        <item x="1"/>
        <item x="2"/>
        <item x="3"/>
        <item x="4"/>
        <item x="5"/>
        <item x="6"/>
        <item x="11"/>
        <item x="7"/>
        <item x="8"/>
        <item x="12"/>
        <item x="9"/>
        <item x="10"/>
        <item x="13"/>
        <item x="14"/>
      </items>
    </pivotField>
    <pivotField axis="axisRow" subtotalTop="0" showAll="0" defaultSubtotal="0">
      <items count="15">
        <item x="3"/>
        <item x="7"/>
        <item x="6"/>
        <item x="9"/>
        <item x="8"/>
        <item x="11"/>
        <item x="12"/>
        <item x="1"/>
        <item x="4"/>
        <item x="10"/>
        <item x="2"/>
        <item x="5"/>
        <item x="13"/>
        <item x="0"/>
        <item x="14"/>
      </items>
    </pivotField>
    <pivotField subtotalTop="0" showAll="0"/>
    <pivotField subtotalTop="0" showAll="0"/>
    <pivotField subtotalTop="0" showAll="0"/>
    <pivotField subtotalTop="0" showAll="0"/>
    <pivotField subtotalTop="0" showAll="0"/>
    <pivotField subtotalTop="0" showAll="0"/>
    <pivotField subtotalTop="0" showAll="0"/>
    <pivotField axis="axisCol" subtotalTop="0" showAll="0">
      <items count="6">
        <item x="0"/>
        <item x="4"/>
        <item x="1"/>
        <item x="2"/>
        <item x="3"/>
        <item t="default"/>
      </items>
    </pivotField>
    <pivotField subtotalTop="0" showAll="0"/>
    <pivotField dataField="1" numFmtId="169" subtotalTop="0" showAll="0"/>
    <pivotField subtotalTop="0" showAll="0"/>
    <pivotField subtotalTop="0" showAll="0"/>
  </pivotFields>
  <rowFields count="3">
    <field x="20"/>
    <field x="21"/>
    <field x="7"/>
  </rowFields>
  <rowItems count="36">
    <i>
      <x/>
      <x v="13"/>
    </i>
    <i r="2">
      <x v="2"/>
    </i>
    <i>
      <x v="1"/>
      <x v="7"/>
    </i>
    <i r="2">
      <x v="2"/>
    </i>
    <i>
      <x v="2"/>
      <x v="10"/>
    </i>
    <i r="2">
      <x v="2"/>
    </i>
    <i>
      <x v="3"/>
      <x/>
    </i>
    <i r="2">
      <x v="2"/>
    </i>
    <i>
      <x v="4"/>
      <x v="8"/>
    </i>
    <i r="2">
      <x v="2"/>
    </i>
    <i>
      <x v="5"/>
      <x v="11"/>
    </i>
    <i r="2">
      <x v="2"/>
    </i>
    <i>
      <x v="6"/>
      <x v="2"/>
    </i>
    <i r="2">
      <x v="2"/>
    </i>
    <i>
      <x v="7"/>
      <x v="5"/>
    </i>
    <i r="2">
      <x/>
    </i>
    <i>
      <x v="8"/>
      <x v="1"/>
    </i>
    <i r="2">
      <x/>
    </i>
    <i r="2">
      <x v="3"/>
    </i>
    <i r="2">
      <x v="4"/>
    </i>
    <i>
      <x v="9"/>
      <x v="4"/>
    </i>
    <i r="2">
      <x/>
    </i>
    <i>
      <x v="10"/>
      <x v="6"/>
    </i>
    <i r="2">
      <x/>
    </i>
    <i>
      <x v="11"/>
      <x v="3"/>
    </i>
    <i r="2">
      <x/>
    </i>
    <i>
      <x v="12"/>
      <x v="9"/>
    </i>
    <i r="2">
      <x/>
    </i>
    <i>
      <x v="13"/>
      <x v="12"/>
    </i>
    <i r="2">
      <x/>
    </i>
    <i r="2">
      <x v="1"/>
    </i>
    <i r="2">
      <x v="3"/>
    </i>
    <i>
      <x v="14"/>
      <x v="14"/>
    </i>
    <i r="2">
      <x/>
    </i>
    <i r="2">
      <x v="1"/>
    </i>
    <i t="grand">
      <x/>
    </i>
  </rowItems>
  <colFields count="1">
    <field x="29"/>
  </colFields>
  <colItems count="6">
    <i>
      <x/>
    </i>
    <i>
      <x v="1"/>
    </i>
    <i>
      <x v="2"/>
    </i>
    <i>
      <x v="3"/>
    </i>
    <i>
      <x v="4"/>
    </i>
    <i t="grand">
      <x/>
    </i>
  </colItems>
  <dataFields count="1">
    <dataField name="Sum of budg_splt_tot_dol" fld="31" baseField="0" baseItem="0" numFmtId="166"/>
  </dataFields>
  <formats count="3">
    <format dxfId="161">
      <pivotArea outline="0" collapsedLevelsAreSubtotals="1" fieldPosition="0"/>
    </format>
    <format dxfId="160">
      <pivotArea outline="0" collapsedLevelsAreSubtotals="1" fieldPosition="0"/>
    </format>
    <format dxfId="15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O1:P7" firstHeaderRow="1" firstDataRow="1" firstDataCol="1"/>
  <pivotFields count="132">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6">
        <item x="1"/>
        <item x="2"/>
        <item x="3"/>
        <item x="4"/>
        <item x="0"/>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6">
    <i>
      <x/>
    </i>
    <i>
      <x v="1"/>
    </i>
    <i>
      <x v="2"/>
    </i>
    <i>
      <x v="3"/>
    </i>
    <i>
      <x v="4"/>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77">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6" name="nPSunmrkd" tableColumnId="148"/>
      <queryTableField id="27" name="nPSunrls" tableColumnId="149"/>
      <queryTableField id="28" name="RecRkMin" tableColumnId="150"/>
      <queryTableField id="30" name="allReviews" tableColumnId="152"/>
      <queryTableField id="31" name="avg_score" tableColumnId="153"/>
      <queryTableField id="32" name="last_rev_date" tableColumnId="154"/>
      <queryTableField id="29" name="nRev" tableColumnId="151"/>
      <queryTableField id="35" name="Nunrlsbl" tableColumnId="157"/>
      <queryTableField id="33" name="Nunmkd" tableColumnId="155"/>
      <queryTableField id="34" name="Nconfl" tableColumnId="156"/>
      <queryTableField id="36" name="NrlsdCDNPS" tableColumnId="158"/>
      <queryTableField id="37" name="NpendSlct" tableColumnId="159"/>
      <queryTableField id="38" name="NdiffFLeJ" tableColumnId="160"/>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5" name="NhndcpPIs" tableColumnId="177"/>
      <queryTableField id="56" name="NnonWhtAsnPIs" tableColumnId="178"/>
      <queryTableField id="57" name="email" tableColumnId="17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9">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3">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7" name="OTH_AGCY_SUBM_FLAG" tableColumnId="33"/>
      <queryTableField id="320" dataBound="0" tableColumnId="50"/>
      <queryTableField id="251" name="abst_narr_txt" tableColumnId="31"/>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83" name="prop_titl_txt" tableColumnId="83"/>
      <queryTableField id="322" dataBound="0" tableColumnId="52"/>
      <queryTableField id="284" name="email" tableColumnId="26"/>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44">
    <queryTableFields count="132">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253">
  <autoFilter ref="A12:A31"/>
  <tableColumns count="1">
    <tableColumn id="1" name="prop_id" dataDxfId="252"/>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251">
  <autoFilter ref="D12:D32"/>
  <tableColumns count="1">
    <tableColumn id="1" name="prop_id" dataDxfId="250"/>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249">
  <autoFilter ref="G12:G14"/>
  <tableColumns count="1">
    <tableColumn id="1" name="prop_id" dataDxfId="248"/>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75" tableType="queryTable" totalsRowShown="0">
  <autoFilter ref="A1:BL75"/>
  <sortState ref="A2:BL75">
    <sortCondition ref="AW1:AW75"/>
  </sortState>
  <tableColumns count="64">
    <tableColumn id="123" uniqueName="123" name="dd_rcom_date" queryTableFieldId="1" dataDxfId="247"/>
    <tableColumn id="124" uniqueName="124" name="nsf_rcvd_date" queryTableFieldId="2" dataDxfId="246"/>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5"/>
    <tableColumn id="131" uniqueName="131" name="bas_rsch_pct" queryTableFieldId="9" dataDxfId="244"/>
    <tableColumn id="132" uniqueName="132" name="other_pct" queryTableFieldId="10" dataDxfId="243"/>
    <tableColumn id="133" uniqueName="133" name="cntx_stmt_id" queryTableFieldId="11"/>
    <tableColumn id="134" uniqueName="134" name="PO" queryTableFieldId="12"/>
    <tableColumn id="136" uniqueName="136" name="st_code" queryTableFieldId="14"/>
    <tableColumn id="187" uniqueName="187" name="wmd" queryTableFieldId="68" dataDxfId="242">
      <calculatedColumnFormula>IF(SUM(ckCodingTable[[#This Row],[NfmlPIs]:[NnonWhtAsnPIs]])&gt;0,"WMD","")</calculatedColumnFormula>
    </tableColumn>
    <tableColumn id="188" uniqueName="188" name="epscor" queryTableFieldId="67" dataDxfId="241">
      <calculatedColumnFormula>_xlfn.XOR(IFERROR(MATCH(ckCodingTable[[#This Row],[st_code]],EpscorTable[],0)&gt;0,FALSE),IFERROR(FIND("9150",ckCodingTable[[#This Row],[propPRCs]])&gt;0,FALSE))</calculatedColumnFormula>
    </tableColumn>
    <tableColumn id="189" uniqueName="189" name="dmog" queryTableFieldId="66" dataDxfId="240">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39"/>
    <tableColumn id="186" uniqueName="186" name="0" queryTableFieldId="65" dataDxfId="238">
      <calculatedColumnFormula>S1+(ckCodingTable[[#This Row],[ILN]]&lt;"M")</calculatedColumnFormula>
    </tableColumn>
    <tableColumn id="139" uniqueName="139" name="ILN" queryTableFieldId="17" dataDxfId="237"/>
    <tableColumn id="138" uniqueName="138" name="lead" queryTableFieldId="16"/>
    <tableColumn id="185" uniqueName="185" name="eJ" queryTableFieldId="64" dataDxfId="236">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tableColumn id="145" uniqueName="145" name="rqst_eff_date" queryTableFieldId="23" dataDxfId="235"/>
    <tableColumn id="146" uniqueName="146" name="rqst_mnth_cnt" queryTableFieldId="24"/>
    <tableColumn id="147" uniqueName="147" name="nPanl" queryTableFieldId="25"/>
    <tableColumn id="148" uniqueName="148" name="nPSunmrkd" queryTableFieldId="26"/>
    <tableColumn id="149" uniqueName="149" name="nPSunrls" queryTableFieldId="27"/>
    <tableColumn id="150" uniqueName="150" name="RecRkMin" queryTableFieldId="28" dataDxfId="234"/>
    <tableColumn id="152" uniqueName="152" name="allReviews" queryTableFieldId="30"/>
    <tableColumn id="153" uniqueName="153" name="avg_score" queryTableFieldId="31" dataDxfId="233"/>
    <tableColumn id="154" uniqueName="154" name="last_rev_date" queryTableFieldId="32" dataDxfId="232"/>
    <tableColumn id="151" uniqueName="151" name="nRev" queryTableFieldId="29" dataDxfId="231"/>
    <tableColumn id="157" uniqueName="157" name="Nunrlsbl" queryTableFieldId="35"/>
    <tableColumn id="155" uniqueName="155" name="Nunmkd" queryTableFieldId="33"/>
    <tableColumn id="156" uniqueName="156" name="Nconfl" queryTableFieldId="34"/>
    <tableColumn id="158" uniqueName="158" name="NrlsdCDNPS" queryTableFieldId="36"/>
    <tableColumn id="159" uniqueName="159" name="NpendSlct" queryTableFieldId="37"/>
    <tableColumn id="160" uniqueName="160" name="NdiffFLeJ" queryTableFieldId="38"/>
    <tableColumn id="161" uniqueName="161" name="prop_stts_txt" queryTableFieldId="39"/>
    <tableColumn id="162" uniqueName="162" name="prop_titl_txt" queryTableFieldId="40"/>
    <tableColumn id="1" uniqueName="1" name="titl_ck" queryTableFieldId="74" dataDxfId="21">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30" dataCellStyle="Currency"/>
    <tableColumn id="165" uniqueName="165" name="budg_tot" queryTableFieldId="43" dataDxfId="229" dataCellStyle="Currency"/>
    <tableColumn id="166" uniqueName="166" name="sub_ctr_tot" queryTableFieldId="44" dataDxfId="228" dataCellStyle="Currency"/>
    <tableColumn id="167" uniqueName="167" name="frgn_trav_tot" queryTableFieldId="45" dataDxfId="227" dataCellStyle="Currency"/>
    <tableColumn id="168" uniqueName="168" name="pdoc_tot" queryTableFieldId="46" dataDxfId="226" dataCellStyle="Currency"/>
    <tableColumn id="169" uniqueName="169" name="part_tot_dol" queryTableFieldId="47" dataDxfId="225"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7" uniqueName="177" name="NhndcpPIs" queryTableFieldId="55"/>
    <tableColumn id="178" uniqueName="178" name="NnonWhtAsnPIs" queryTableFieldId="56"/>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AC518" tableType="queryTable" totalsRowShown="0" dataDxfId="224">
  <autoFilter ref="A3:AC518"/>
  <tableColumns count="29">
    <tableColumn id="10" uniqueName="10" name="prop_id" queryTableFieldId="10" dataDxfId="223"/>
    <tableColumn id="9" uniqueName="9" name="ILN" queryTableFieldId="89" dataDxfId="222" dataCellStyle="Hyperlink"/>
    <tableColumn id="31" uniqueName="31" name="10" queryTableFieldId="98" dataDxfId="221" dataCellStyle="Hyperlink">
      <calculatedColumnFormula>C3+(BudgetsTable[[#This Row],[lead]]&lt;&gt;K3)</calculatedColumnFormula>
    </tableColumn>
    <tableColumn id="32" uniqueName="32" name="0" queryTableFieldId="97" dataDxfId="220" dataCellStyle="Hyperlink">
      <calculatedColumnFormula>D3*(BudgetsTable[[#This Row],[lead]]=K3)+(BudgetsTable[[#This Row],[prop_id]]&lt;&gt;A3)</calculatedColumnFormula>
    </tableColumn>
    <tableColumn id="3" uniqueName="3" name="nsf_rcvd_date" queryTableFieldId="63" dataDxfId="219" dataCellStyle="Hyperlink"/>
    <tableColumn id="4" uniqueName="4" name="pgm_annc_id" queryTableFieldId="64" dataDxfId="218" dataCellStyle="Hyperlink"/>
    <tableColumn id="5" uniqueName="5" name="org_code" queryTableFieldId="65" dataDxfId="217" dataCellStyle="Hyperlink"/>
    <tableColumn id="6" uniqueName="6" name="pgm_ele_code" queryTableFieldId="66" dataDxfId="216" dataCellStyle="Hyperlink"/>
    <tableColumn id="27" uniqueName="27" name="PO" queryTableFieldId="91" dataDxfId="215" dataCellStyle="Hyperlink"/>
    <tableColumn id="28" uniqueName="28" name="pi_email" queryTableFieldId="92" dataDxfId="214" dataCellStyle="Hyperlink"/>
    <tableColumn id="8" uniqueName="8" name="lead" queryTableFieldId="68" dataDxfId="213"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24"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212" dataCellStyle="Hyperlink"/>
    <tableColumn id="30" uniqueName="30" name="@pi" queryTableFieldId="96" dataDxfId="211"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210" dataCellStyle="Hyperlink"/>
    <tableColumn id="14" uniqueName="14" name="sr_pers_cnt" queryTableFieldId="73" dataDxfId="209" dataCellStyle="Hyperlink"/>
    <tableColumn id="15" uniqueName="15" name="sr_summ_mnth_cnt" queryTableFieldId="74" dataDxfId="208" dataCellStyle="Hyperlink"/>
    <tableColumn id="16" uniqueName="16" name="pdoc_grnt_dol" queryTableFieldId="75" dataDxfId="207" dataCellStyle="Currency"/>
    <tableColumn id="17" uniqueName="17" name="frgn_trav_dol" queryTableFieldId="76" dataDxfId="206" dataCellStyle="Currency"/>
    <tableColumn id="18" uniqueName="18" name="part_dol" queryTableFieldId="77" dataDxfId="205" dataCellStyle="Currency"/>
    <tableColumn id="19" uniqueName="19" name="budg_tot_dol" queryTableFieldId="78" dataDxfId="204" dataCellStyle="Currency"/>
    <tableColumn id="20" uniqueName="20" name="revn_num" queryTableFieldId="79" dataDxfId="203" dataCellStyle="Hyperlink"/>
    <tableColumn id="21" uniqueName="21" name="budg_seq_yr" queryTableFieldId="80" dataDxfId="202" dataCellStyle="Hyperlink"/>
    <tableColumn id="26" uniqueName="26" name="Column1" queryTableFieldId="85" dataDxfId="201" dataCellStyle="Hyperlink">
      <calculatedColumnFormula>IF(ISBLANK(BudgetsTable[[#This Row],[budg_seq_yr]]),"FY"&amp;fiscalyear,"FY"&amp;fiscalyear-1+BudgetsTable[[#This Row],[budg_seq_yr]])</calculatedColumnFormula>
    </tableColumn>
    <tableColumn id="22" uniqueName="22" name="dol" queryTableFieldId="81" dataDxfId="200" dataCellStyle="Currency"/>
    <tableColumn id="23" uniqueName="23" name="org_code2" queryTableFieldId="82" dataDxfId="199" dataCellStyle="Hyperlink"/>
    <tableColumn id="24" uniqueName="24" name="PEC" queryTableFieldId="83" dataDxfId="198" dataCellStyle="Hyperlink"/>
    <tableColumn id="25" uniqueName="25" name="PRCs" queryTableFieldId="84" dataDxfId="197"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X106" tableType="queryTable" totalsRowShown="0">
  <autoFilter ref="A1:AX106"/>
  <tableColumns count="50">
    <tableColumn id="1" uniqueName="1" name="dd_rcom_date" queryTableFieldId="214" dataDxfId="196"/>
    <tableColumn id="4" uniqueName="4" name="nsf_rcvd_date" queryTableFieldId="4" dataDxfId="19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194"/>
    <tableColumn id="39" uniqueName="39" name="natr_rqst_abbr" queryTableFieldId="280" dataDxfId="193"/>
    <tableColumn id="49" uniqueName="49" name="rcom_istr_abbr" queryTableFieldId="281" dataDxfId="192"/>
    <tableColumn id="19" uniqueName="19" name="obj_clas_code" queryTableFieldId="221"/>
    <tableColumn id="11" uniqueName="11" name="cntx_stmt_id" queryTableFieldId="11"/>
    <tableColumn id="32" uniqueName="32" name="RAupdate" queryTableFieldId="254" dataDxfId="191"/>
    <tableColumn id="25" uniqueName="25" name="0" queryTableFieldId="230">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190" dataCellStyle="Hyperlink">
      <calculatedColumnFormula>HYPERLINK("https://www.ejacket.nsf.gov/ej/showProposal.do?ID="&amp;ckAwdTable[[#This Row],[prop_id]],"eJ")</calculatedColumnFormula>
    </tableColumn>
    <tableColumn id="27" uniqueName="27" name="Div" queryTableFieldId="282" dataDxfId="189" dataCellStyle="Hyperlink"/>
    <tableColumn id="12" uniqueName="12" name="prop_id" queryTableFieldId="12"/>
    <tableColumn id="13" uniqueName="13" name="pi_last_name" queryTableFieldId="13"/>
    <tableColumn id="14" uniqueName="14" name="pi_frst_name" queryTableFieldId="14"/>
    <tableColumn id="24" uniqueName="24" name="inst" queryTableFieldId="283" dataDxfId="188"/>
    <tableColumn id="23" uniqueName="23" name="st_code" queryTableFieldId="225"/>
    <tableColumn id="206" uniqueName="206" name="@pi email" queryTableFieldId="212" dataDxfId="187"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186"/>
    <tableColumn id="17" uniqueName="17" name="rqst_mnth_cnt" queryTableFieldId="17"/>
    <tableColumn id="9" uniqueName="9" name="humn_date" queryTableFieldId="218"/>
    <tableColumn id="28" uniqueName="28" name="hum_asur" queryTableFieldId="301" dataDxfId="185"/>
    <tableColumn id="29" uniqueName="29" name="HUM_EXPT" queryTableFieldId="302" dataDxfId="184"/>
    <tableColumn id="10" uniqueName="10" name="vrtb_date" queryTableFieldId="219" dataDxfId="183"/>
    <tableColumn id="37" uniqueName="37" name="vrtb_asur" queryTableFieldId="303" dataDxfId="182"/>
    <tableColumn id="30" uniqueName="30" name="Country" queryTableFieldId="250" dataDxfId="181"/>
    <tableColumn id="33" uniqueName="33" name="OTH_AGCY_SUBM_FLAG" queryTableFieldId="287" dataDxfId="180"/>
    <tableColumn id="50" uniqueName="50" name="Abstr?marks" queryTableFieldId="320" dataDxfId="179">
      <calculatedColumnFormula>IFERROR(IF(FIND("?",ckAwdTable[[#This Row],[abst_narr_txt]]),SummarizeQuestMarks(ckAwdTable[[#This Row],[abst_narr_txt]]),""),"")</calculatedColumnFormula>
    </tableColumn>
    <tableColumn id="31" uniqueName="31" name="abst_narr_txt" queryTableFieldId="251" dataDxfId="178"/>
    <tableColumn id="34" uniqueName="34" name="rqst_tot" queryTableFieldId="288" dataDxfId="177" dataCellStyle="Currency"/>
    <tableColumn id="35" uniqueName="35" name="brevn" queryTableFieldId="289" dataDxfId="176"/>
    <tableColumn id="36" uniqueName="36" name="budg_tot" queryTableFieldId="290" dataDxfId="175"/>
    <tableColumn id="40" uniqueName="40" name="sub_ctr_tot" queryTableFieldId="292" dataDxfId="174"/>
    <tableColumn id="41" uniqueName="41" name="frgn_trav_tot" queryTableFieldId="293" dataDxfId="173"/>
    <tableColumn id="42" uniqueName="42" name="pdoc_tot" queryTableFieldId="294" dataDxfId="172"/>
    <tableColumn id="43" uniqueName="43" name="part_tot_dol" queryTableFieldId="295" dataDxfId="171"/>
    <tableColumn id="44" uniqueName="44" name="grad_tot_cnt" queryTableFieldId="296" dataDxfId="170"/>
    <tableColumn id="45" uniqueName="45" name="sr_tot_cnt" queryTableFieldId="297" dataDxfId="169"/>
    <tableColumn id="46" uniqueName="46" name="sr_sumr_mnths" queryTableFieldId="298" dataDxfId="168"/>
    <tableColumn id="47" uniqueName="47" name="sr_acad_mnths" queryTableFieldId="299" dataDxfId="167"/>
    <tableColumn id="48" uniqueName="48" name="sr_cal_mnths" queryTableFieldId="300" dataDxfId="166"/>
    <tableColumn id="8" uniqueName="8" name="prop_stts_txt" queryTableFieldId="278" dataDxfId="165"/>
    <tableColumn id="83" uniqueName="83" name="prop_titl_txt" queryTableFieldId="83" dataDxfId="164"/>
    <tableColumn id="52" uniqueName="52" name="titl_ck" queryTableFieldId="322" dataDxfId="163">
      <calculatedColumnFormula>AND(ckAwdTable[[#This Row],[ILN]]&gt;"M", SUBSTITUTE(ckAwdTable[[#This Row],[prop_titl_txt]]," ","")&lt;&gt;SUBSTITUTE(AV1," ",""))</calculatedColumnFormula>
    </tableColumn>
    <tableColumn id="26" uniqueName="26" name="email" queryTableFieldId="284" dataDxfId="162"/>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H73" tableType="queryTable" totalsRowShown="0">
  <autoFilter ref="A1:AH73"/>
  <tableColumns count="34">
    <tableColumn id="21" uniqueName="21" name="dd_rcom_date" queryTableFieldId="1" dataDxfId="158"/>
    <tableColumn id="22" uniqueName="22" name="nsf_rcvd_date" queryTableFieldId="2" dataDxfId="157"/>
    <tableColumn id="23" uniqueName="23" name="cntx_stmt_id" queryTableFieldId="3"/>
    <tableColumn id="24" uniqueName="24" name="pgm_annc_id" queryTableFieldId="4"/>
    <tableColumn id="60" uniqueName="60" name="pObj" queryTableFieldId="13" dataDxfId="156"/>
    <tableColumn id="61" uniqueName="61" name="bObj" queryTableFieldId="14" dataDxfId="155"/>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154"/>
    <tableColumn id="35" uniqueName="35" name="rcom_istr_abbr" queryTableFieldId="15" dataDxfId="153"/>
    <tableColumn id="57" uniqueName="57" name="budg_yr" queryTableFieldId="27" dataDxfId="152"/>
    <tableColumn id="58" uniqueName="58" name="splt_id" queryTableFieldId="28" dataDxfId="151"/>
    <tableColumn id="59" uniqueName="59" name="budg_splt_tot_dol" queryTableFieldId="29" dataDxfId="150"/>
    <tableColumn id="54" uniqueName="54" name="0" queryTableFieldId="35" dataDxfId="149">
      <calculatedColumnFormula>S1+(X2&lt;&gt;X1)</calculatedColumnFormula>
    </tableColumn>
    <tableColumn id="37" uniqueName="37" name="ILN" queryTableFieldId="17" dataDxfId="148"/>
    <tableColumn id="36" uniqueName="36" name="lead" queryTableFieldId="16" dataDxfId="147"/>
    <tableColumn id="55" uniqueName="55" name="eJ" queryTableFieldId="36" dataDxfId="146">
      <calculatedColumnFormula>HYPERLINK("https://www.ejacket.nsf.gov/ej/showProposal.do?ID="&amp;ckSplitTable[[#This Row],[prop_id]],"eJ")</calculatedColumnFormula>
    </tableColumn>
    <tableColumn id="38" uniqueName="38" name="Div" queryTableFieldId="18" dataDxfId="145"/>
    <tableColumn id="39" uniqueName="39" name="prop_id" queryTableFieldId="19" dataDxfId="144"/>
    <tableColumn id="40" uniqueName="40" name="pi_last_name" queryTableFieldId="20" dataDxfId="143"/>
    <tableColumn id="41" uniqueName="41" name="pi_frst_name" queryTableFieldId="21" dataDxfId="142"/>
    <tableColumn id="42" uniqueName="42" name="inst" queryTableFieldId="22" dataDxfId="141"/>
    <tableColumn id="56" uniqueName="56" name="@ pi" queryTableFieldId="37" dataDxfId="140">
      <calculatedColumnFormula>HYPERLINK("mailto:"&amp;ckSplitTable[[#This Row],[email]]&amp;"&amp;subject=Your NSF Proposal:  "&amp;ckSplitTable[[#This Row],[prop_id]],ckSplitTable[[#This Row],[email]])</calculatedColumnFormula>
    </tableColumn>
    <tableColumn id="43" uniqueName="43" name="email" queryTableFieldId="23" dataDxfId="139"/>
    <tableColumn id="44" uniqueName="44" name="propPRCs" queryTableFieldId="24" dataDxfId="138"/>
    <tableColumn id="45" uniqueName="45" name="bPRCs" queryTableFieldId="25" dataDxfId="137"/>
    <tableColumn id="46" uniqueName="46" name="awd_id" queryTableFieldId="26" dataDxfId="136"/>
    <tableColumn id="50" uniqueName="50" name="prop_stts_txt" queryTableFieldId="30" dataDxfId="135"/>
    <tableColumn id="51" uniqueName="51" name="prop_titl_txt" queryTableFieldId="31" dataDxfId="134"/>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593" tableType="queryTable" totalsRowCount="1">
  <autoFilter ref="A1:P59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33" totalsRowDxfId="132"/>
    <tableColumn id="11" uniqueName="11" name="returned" queryTableFieldId="11" dataDxfId="131"/>
    <tableColumn id="14" uniqueName="14" name="nchars" queryTableFieldId="15" dataDxfId="130">
      <calculatedColumnFormula>LEN(ProjTextTable[[#This Row],[text]])</calculatedColumnFormula>
    </tableColumn>
    <tableColumn id="15" uniqueName="15" name="nwords" queryTableFieldId="14" dataDxfId="129">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15" tableType="queryTable" totalsRowShown="0" headerRowCellStyle="Normal" dataCellStyle="Normal">
  <autoFilter ref="A2:B15"/>
  <tableColumns count="2">
    <tableColumn id="1" uniqueName="1" name="PRC" queryTableFieldId="278" dataDxfId="22" dataCellStyle="Normal"/>
    <tableColumn id="2" uniqueName="2" name="PRC_Description" queryTableFieldId="279" dataDxfId="23"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128" dataDxfId="127">
  <autoFilter ref="I14:I21"/>
  <tableColumns count="1">
    <tableColumn id="1" name="Available templates:" dataDxfId="126"/>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125" dataDxfId="124">
  <autoFilter ref="M2:M30"/>
  <tableColumns count="1">
    <tableColumn id="1" name="Epscor" dataDxfId="123"/>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B92" tableType="queryTable" totalsRowShown="0">
  <autoFilter ref="A1:EB92">
    <filterColumn colId="12">
      <filters>
        <filter val="1.01"/>
        <filter val="1.02"/>
        <filter val="2.02"/>
        <filter val="2.03"/>
        <filter val="2.04"/>
        <filter val="2.05"/>
        <filter val="2.06"/>
        <filter val="2.07"/>
        <filter val="2.08"/>
        <filter val="2.09"/>
        <filter val="2.10"/>
        <filter val="2.11"/>
        <filter val="2.12"/>
        <filter val="2.13"/>
        <filter val="2.14"/>
        <filter val="3.04"/>
        <filter val="3.11"/>
        <filter val="3.13"/>
        <filter val="3.18"/>
        <filter val="4.05"/>
        <filter val="4.22"/>
        <filter val="4.29"/>
      </filters>
    </filterColumn>
  </autoFilter>
  <sortState ref="A2:EB92">
    <sortCondition ref="M1:M92"/>
  </sortState>
  <tableColumns count="132">
    <tableColumn id="1" uniqueName="1" name="dd_rcom_date" queryTableFieldId="1" dataDxfId="122"/>
    <tableColumn id="2" uniqueName="2" name="nsf_rcvd_date" queryTableFieldId="2" dataDxfId="121"/>
    <tableColumn id="3" uniqueName="3" name="pgm_annc_id" queryTableFieldId="3" dataDxfId="120"/>
    <tableColumn id="4" uniqueName="4" name="org_code" queryTableFieldId="4" dataDxfId="119"/>
    <tableColumn id="5" uniqueName="5" name="pgm_ele_code" queryTableFieldId="5" dataDxfId="118"/>
    <tableColumn id="6" uniqueName="6" name="natr_rqst_abbr" queryTableFieldId="6" dataDxfId="117"/>
    <tableColumn id="7" uniqueName="7" name="prop_stts_abbr" queryTableFieldId="7" dataDxfId="116"/>
    <tableColumn id="8" uniqueName="8" name="obj_clas_code" queryTableFieldId="8"/>
    <tableColumn id="9" uniqueName="9" name="cntx_stmt_id" queryTableFieldId="9"/>
    <tableColumn id="10" uniqueName="10" name="PO" queryTableFieldId="10"/>
    <tableColumn id="11" uniqueName="11" name="RAupdate" queryTableFieldId="11" dataDxfId="115"/>
    <tableColumn id="12" uniqueName="12" name="nPanl" queryTableFieldId="12"/>
    <tableColumn id="13" uniqueName="13" name="RecRkMin" queryTableFieldId="13" dataDxfId="114"/>
    <tableColumn id="14" uniqueName="14" name="rec0" queryTableFieldId="14"/>
    <tableColumn id="15" uniqueName="15" name="rec1" queryTableFieldId="15"/>
    <tableColumn id="16" uniqueName="16" name="rec2" queryTableFieldId="16"/>
    <tableColumn id="17" uniqueName="17" name="RAtemplate" queryTableFieldId="17" dataDxfId="113"/>
    <tableColumn id="133" uniqueName="133" name="Radraft_filename" queryTableFieldId="135" dataDxfId="112">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11"/>
    <tableColumn id="137" uniqueName="137" name="RApost_note" queryTableFieldId="136" dataDxfId="110"/>
    <tableColumn id="134" uniqueName="134" name="RAsigner" queryTableFieldId="134" dataDxfId="109">
      <calculatedColumnFormula>IF(signer1="PD",IF(ISBLANK(RADataTable[[#This Row],[sign_blck_name]]),"",RADataTable[[#This Row],[sign_blck_name]]),IF(ISBLANK(signer1),"",signer1))</calculatedColumnFormula>
    </tableColumn>
    <tableColumn id="135" uniqueName="135" name="RAsigner2" queryTableFieldId="133" dataDxfId="108">
      <calculatedColumnFormula>signer2</calculatedColumnFormula>
    </tableColumn>
    <tableColumn id="138" uniqueName="138" name="ej" queryTableFieldId="142" dataDxfId="107">
      <calculatedColumnFormula>HYPERLINK("https://www.ejacket.nsf.gov/ej/showProposal.do?Continue=Y&amp;ID="&amp;RADataTable[[#This Row],[prop_id0]],"eJ")</calculatedColumnFormula>
    </tableColumn>
    <tableColumn id="139" uniqueName="139" name="@PI" queryTableFieldId="141" dataDxfId="106">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05">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22" uniqueName="22" name="minScore" queryTableFieldId="22" dataDxfId="104"/>
    <tableColumn id="23" uniqueName="23" name="avg_score" queryTableFieldId="23" dataDxfId="103"/>
    <tableColumn id="24" uniqueName="24" name="maxScore" queryTableFieldId="24"/>
    <tableColumn id="25" uniqueName="25" name="allReviews" queryTableFieldId="25"/>
    <tableColumn id="26" uniqueName="26" name="last_rev_date" queryTableFieldId="26" dataDxfId="102"/>
    <tableColumn id="28" uniqueName="28" name="rqst_tot" queryTableFieldId="28" dataDxfId="101" dataCellStyle="Currency"/>
    <tableColumn id="29" uniqueName="29" name="budg_tot" queryTableFieldId="29" dataDxfId="100" dataCellStyle="Currency"/>
    <tableColumn id="30" uniqueName="30" name="budRevnMax" queryTableFieldId="30"/>
    <tableColumn id="31" uniqueName="31" name="rqst_eff_date" queryTableFieldId="31" dataDxfId="99"/>
    <tableColumn id="32" uniqueName="32" name="rqst_mnth_cnt" queryTableFieldId="32" dataDxfId="98"/>
    <tableColumn id="33" uniqueName="33" name="prop_titl_txt" queryTableFieldId="33" dataDxfId="97"/>
    <tableColumn id="34" uniqueName="34" name="AhNrev" queryTableFieldId="34"/>
    <tableColumn id="35" uniqueName="35" name="AhRevs" queryTableFieldId="35"/>
    <tableColumn id="36" uniqueName="36" name="AhLast" queryTableFieldId="36" dataDxfId="96"/>
    <tableColumn id="37" uniqueName="37" name="panl_id0" queryTableFieldId="37"/>
    <tableColumn id="38" uniqueName="38" name="RCOM_TXT0" queryTableFieldId="38" dataDxfId="95"/>
    <tableColumn id="39" uniqueName="39" name="rank0" queryTableFieldId="39" dataDxfId="94"/>
    <tableColumn id="40" uniqueName="40" name="panl_name0" queryTableFieldId="40" dataDxfId="93"/>
    <tableColumn id="41" uniqueName="41" name="panl_end0" queryTableFieldId="41" dataDxfId="92"/>
    <tableColumn id="42" uniqueName="42" name="revs0" queryTableFieldId="42" dataDxfId="91"/>
    <tableColumn id="43" uniqueName="43" name="PanlString0" queryTableFieldId="43" dataDxfId="90"/>
    <tableColumn id="44" uniqueName="44" name="pnlst0" queryTableFieldId="44" dataDxfId="89"/>
    <tableColumn id="45" uniqueName="45" name="confl0" queryTableFieldId="45" dataDxfId="88"/>
    <tableColumn id="46" uniqueName="46" name="panl_id1" queryTableFieldId="46" dataDxfId="87"/>
    <tableColumn id="47" uniqueName="47" name="RCOM_TXT1" queryTableFieldId="47" dataDxfId="86"/>
    <tableColumn id="48" uniqueName="48" name="rank1" queryTableFieldId="48" dataDxfId="85"/>
    <tableColumn id="49" uniqueName="49" name="panl_name1" queryTableFieldId="49" dataDxfId="84"/>
    <tableColumn id="50" uniqueName="50" name="panl_end1" queryTableFieldId="50" dataDxfId="83"/>
    <tableColumn id="51" uniqueName="51" name="revs1" queryTableFieldId="51" dataDxfId="82"/>
    <tableColumn id="52" uniqueName="52" name="PanlString1" queryTableFieldId="52" dataDxfId="81"/>
    <tableColumn id="53" uniqueName="53" name="pnlst1" queryTableFieldId="53" dataDxfId="80"/>
    <tableColumn id="54" uniqueName="54" name="confl1" queryTableFieldId="54" dataDxfId="79"/>
    <tableColumn id="55" uniqueName="55" name="panl_id2" queryTableFieldId="55" dataDxfId="78"/>
    <tableColumn id="56" uniqueName="56" name="RCOM_TXT2" queryTableFieldId="56" dataDxfId="77"/>
    <tableColumn id="57" uniqueName="57" name="rank2" queryTableFieldId="57" dataDxfId="76"/>
    <tableColumn id="58" uniqueName="58" name="panl_name2" queryTableFieldId="58" dataDxfId="75"/>
    <tableColumn id="59" uniqueName="59" name="panl_end2" queryTableFieldId="59" dataDxfId="74"/>
    <tableColumn id="60" uniqueName="60" name="revs2" queryTableFieldId="60" dataDxfId="73"/>
    <tableColumn id="61" uniqueName="61" name="PanlString2" queryTableFieldId="61" dataDxfId="72"/>
    <tableColumn id="62" uniqueName="62" name="pnlst2" queryTableFieldId="62" dataDxfId="71"/>
    <tableColumn id="63" uniqueName="63" name="confl2" queryTableFieldId="63" dataDxfId="70"/>
    <tableColumn id="64" uniqueName="64" name="prop_id0" queryTableFieldId="64"/>
    <tableColumn id="65" uniqueName="65" name="last0" queryTableFieldId="65" dataDxfId="69"/>
    <tableColumn id="66" uniqueName="66" name="frst0" queryTableFieldId="66" dataDxfId="68"/>
    <tableColumn id="67" uniqueName="67" name="inst0" queryTableFieldId="67" dataDxfId="67"/>
    <tableColumn id="68" uniqueName="68" name="rqst0" queryTableFieldId="68" dataDxfId="66"/>
    <tableColumn id="69" uniqueName="69" name="b0tot" queryTableFieldId="69" dataDxfId="65"/>
    <tableColumn id="70" uniqueName="70" name="PRC0" queryTableFieldId="70"/>
    <tableColumn id="71" uniqueName="71" name="prop_id1" queryTableFieldId="71" dataDxfId="64"/>
    <tableColumn id="72" uniqueName="72" name="last1" queryTableFieldId="72" dataDxfId="63"/>
    <tableColumn id="73" uniqueName="73" name="frst1" queryTableFieldId="73" dataDxfId="62"/>
    <tableColumn id="74" uniqueName="74" name="inst1" queryTableFieldId="74" dataDxfId="61"/>
    <tableColumn id="75" uniqueName="75" name="rqst1" queryTableFieldId="75" dataDxfId="60"/>
    <tableColumn id="76" uniqueName="76" name="b1tot" queryTableFieldId="76" dataDxfId="59"/>
    <tableColumn id="77" uniqueName="77" name="PRC1" queryTableFieldId="77"/>
    <tableColumn id="78" uniqueName="78" name="prop_id2" queryTableFieldId="78" dataDxfId="58"/>
    <tableColumn id="79" uniqueName="79" name="last2" queryTableFieldId="79" dataDxfId="57"/>
    <tableColumn id="80" uniqueName="80" name="frst2" queryTableFieldId="80" dataDxfId="56"/>
    <tableColumn id="81" uniqueName="81" name="inst2" queryTableFieldId="81" dataDxfId="55"/>
    <tableColumn id="82" uniqueName="82" name="rqst2" queryTableFieldId="82" dataDxfId="54"/>
    <tableColumn id="83" uniqueName="83" name="b2tot" queryTableFieldId="83" dataDxfId="53"/>
    <tableColumn id="84" uniqueName="84" name="PRC2" queryTableFieldId="84"/>
    <tableColumn id="85" uniqueName="85" name="prop_id3" queryTableFieldId="85" dataDxfId="52"/>
    <tableColumn id="86" uniqueName="86" name="last3" queryTableFieldId="86" dataDxfId="51"/>
    <tableColumn id="87" uniqueName="87" name="frst3" queryTableFieldId="87" dataDxfId="50"/>
    <tableColumn id="88" uniqueName="88" name="inst3" queryTableFieldId="88" dataDxfId="49"/>
    <tableColumn id="89" uniqueName="89" name="rqst3" queryTableFieldId="89" dataDxfId="48"/>
    <tableColumn id="90" uniqueName="90" name="b3tot" queryTableFieldId="90" dataDxfId="47"/>
    <tableColumn id="91" uniqueName="91" name="PRC3" queryTableFieldId="91" dataDxfId="46"/>
    <tableColumn id="92" uniqueName="92" name="prop_id4" queryTableFieldId="92" dataDxfId="45"/>
    <tableColumn id="93" uniqueName="93" name="last4" queryTableFieldId="93" dataDxfId="44"/>
    <tableColumn id="94" uniqueName="94" name="frst4" queryTableFieldId="94" dataDxfId="43"/>
    <tableColumn id="95" uniqueName="95" name="inst4" queryTableFieldId="95" dataDxfId="42"/>
    <tableColumn id="96" uniqueName="96" name="rqst4" queryTableFieldId="96" dataDxfId="41"/>
    <tableColumn id="97" uniqueName="97" name="b4tot" queryTableFieldId="97" dataDxfId="40"/>
    <tableColumn id="98" uniqueName="98" name="PRC4" queryTableFieldId="98" dataDxfId="39"/>
    <tableColumn id="99" uniqueName="99" name="prop_id5" queryTableFieldId="99" dataDxfId="38"/>
    <tableColumn id="100" uniqueName="100" name="last5" queryTableFieldId="100" dataDxfId="37"/>
    <tableColumn id="101" uniqueName="101" name="frst5" queryTableFieldId="101" dataDxfId="36"/>
    <tableColumn id="102" uniqueName="102" name="inst5" queryTableFieldId="102" dataDxfId="35"/>
    <tableColumn id="103" uniqueName="103" name="rqst5" queryTableFieldId="103" dataDxfId="34"/>
    <tableColumn id="104" uniqueName="104" name="b5tot" queryTableFieldId="104" dataDxfId="33"/>
    <tableColumn id="105" uniqueName="105" name="PRC5" queryTableFieldId="105"/>
    <tableColumn id="106" uniqueName="106" name="prop_id6" queryTableFieldId="106" dataDxfId="32"/>
    <tableColumn id="107" uniqueName="107" name="last6" queryTableFieldId="107" dataDxfId="31"/>
    <tableColumn id="108" uniqueName="108" name="frst6" queryTableFieldId="108" dataDxfId="30"/>
    <tableColumn id="109" uniqueName="109" name="inst6" queryTableFieldId="109" dataDxfId="29"/>
    <tableColumn id="110" uniqueName="110" name="rqst6" queryTableFieldId="110" dataDxfId="28"/>
    <tableColumn id="111" uniqueName="111" name="b6tot" queryTableFieldId="111" dataDxfId="27"/>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26"/>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25"/>
    <tableColumn id="123" uniqueName="123" name="email" queryTableFieldId="123"/>
    <tableColumn id="124" uniqueName="124" name="allPIemail" queryTableFieldId="124"/>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omments" Target="../comments4.xml"/><Relationship Id="rId5" Type="http://schemas.openxmlformats.org/officeDocument/2006/relationships/table" Target="../tables/table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printerSettings" Target="../printerSettings/printerSettings8.bin"/><Relationship Id="rId7" Type="http://schemas.openxmlformats.org/officeDocument/2006/relationships/ctrlProp" Target="../ctrlProps/ctrlProp13.xml"/><Relationship Id="rId2" Type="http://schemas.openxmlformats.org/officeDocument/2006/relationships/hyperlink" Target="../../../../Desktop/Automation/scratch/output" TargetMode="External"/><Relationship Id="rId1" Type="http://schemas.openxmlformats.org/officeDocument/2006/relationships/pivotTable" Target="../pivotTables/pivotTable2.xml"/><Relationship Id="rId6" Type="http://schemas.openxmlformats.org/officeDocument/2006/relationships/ctrlProp" Target="../ctrlProps/ctrlProp12.xml"/><Relationship Id="rId5" Type="http://schemas.openxmlformats.org/officeDocument/2006/relationships/vmlDrawing" Target="../drawings/vmlDrawing7.vml"/><Relationship Id="rId10" Type="http://schemas.openxmlformats.org/officeDocument/2006/relationships/comments" Target="../comments5.xml"/><Relationship Id="rId4" Type="http://schemas.openxmlformats.org/officeDocument/2006/relationships/drawing" Target="../drawings/drawing8.xml"/><Relationship Id="rId9"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M63"/>
  <sheetViews>
    <sheetView showGridLines="0" workbookViewId="0">
      <selection activeCell="I16" sqref="I16"/>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6.765625" customWidth="1"/>
  </cols>
  <sheetData>
    <row r="1" spans="1:13" ht="18" customHeight="1" x14ac:dyDescent="0.4">
      <c r="A1" s="36" t="s">
        <v>239</v>
      </c>
      <c r="B1" s="36"/>
      <c r="C1" s="36"/>
      <c r="D1" s="36"/>
      <c r="E1" s="36"/>
      <c r="F1" s="36"/>
      <c r="K1" s="3" t="s">
        <v>228</v>
      </c>
    </row>
    <row r="2" spans="1:13" ht="18" customHeight="1" x14ac:dyDescent="0.4">
      <c r="A2" s="36" t="s">
        <v>971</v>
      </c>
      <c r="B2" s="36"/>
      <c r="C2" s="36"/>
      <c r="D2" s="36"/>
      <c r="E2" s="36"/>
      <c r="F2" s="36"/>
      <c r="H2" s="33"/>
      <c r="I2">
        <v>2</v>
      </c>
    </row>
    <row r="3" spans="1:13" ht="18" customHeight="1" x14ac:dyDescent="0.4">
      <c r="A3" s="3" t="s">
        <v>230</v>
      </c>
      <c r="B3" s="3"/>
      <c r="C3" s="37" t="s">
        <v>231</v>
      </c>
      <c r="D3" s="36"/>
      <c r="E3" s="36"/>
      <c r="H3" s="33"/>
      <c r="I3" t="b">
        <v>0</v>
      </c>
      <c r="K3" s="3" t="s">
        <v>229</v>
      </c>
    </row>
    <row r="4" spans="1:13" ht="18" customHeight="1" x14ac:dyDescent="0.4">
      <c r="A4" s="3"/>
      <c r="B4" s="35" t="s">
        <v>237</v>
      </c>
      <c r="C4" s="38" t="s">
        <v>232</v>
      </c>
      <c r="D4" s="36" t="s">
        <v>242</v>
      </c>
      <c r="E4" s="36"/>
      <c r="H4" s="33"/>
      <c r="I4" t="b">
        <v>0</v>
      </c>
    </row>
    <row r="5" spans="1:13" ht="18" customHeight="1" x14ac:dyDescent="0.4">
      <c r="A5" s="3"/>
      <c r="B5" s="35"/>
      <c r="C5" s="38" t="s">
        <v>233</v>
      </c>
      <c r="D5" s="36" t="s">
        <v>243</v>
      </c>
      <c r="E5" s="36"/>
      <c r="H5" s="33"/>
    </row>
    <row r="6" spans="1:13" ht="18" customHeight="1" x14ac:dyDescent="0.4">
      <c r="A6" s="3"/>
      <c r="B6" s="35" t="s">
        <v>238</v>
      </c>
      <c r="C6" s="38" t="s">
        <v>234</v>
      </c>
      <c r="D6" s="36"/>
      <c r="E6" s="36"/>
    </row>
    <row r="7" spans="1:13" ht="18" customHeight="1" x14ac:dyDescent="0.4">
      <c r="A7" s="3"/>
      <c r="B7" s="35" t="s">
        <v>240</v>
      </c>
      <c r="C7" s="38" t="s">
        <v>235</v>
      </c>
      <c r="D7" s="36"/>
      <c r="E7" s="36"/>
    </row>
    <row r="8" spans="1:13" ht="18" customHeight="1" x14ac:dyDescent="0.4">
      <c r="A8" s="3"/>
      <c r="B8" s="35" t="s">
        <v>241</v>
      </c>
      <c r="C8" s="38" t="s">
        <v>236</v>
      </c>
      <c r="D8" s="36"/>
      <c r="E8" s="36"/>
      <c r="K8" s="44">
        <v>50</v>
      </c>
      <c r="L8" s="45" t="s">
        <v>252</v>
      </c>
    </row>
    <row r="9" spans="1:13" ht="18" customHeight="1" x14ac:dyDescent="0.4">
      <c r="A9" s="3"/>
      <c r="B9" s="35"/>
      <c r="C9" s="38"/>
      <c r="D9" s="36"/>
      <c r="E9" s="36"/>
      <c r="K9" s="3" t="s">
        <v>2177</v>
      </c>
    </row>
    <row r="10" spans="1:13" ht="18" customHeight="1" x14ac:dyDescent="0.4">
      <c r="A10" s="3" t="s">
        <v>227</v>
      </c>
      <c r="B10" s="3"/>
      <c r="C10" s="34"/>
      <c r="D10" s="3" t="s">
        <v>226</v>
      </c>
      <c r="E10" s="3"/>
      <c r="F10" s="3"/>
      <c r="G10" s="3" t="s">
        <v>244</v>
      </c>
      <c r="K10" s="62" t="s">
        <v>315</v>
      </c>
      <c r="L10" s="29" t="s">
        <v>313</v>
      </c>
    </row>
    <row r="11" spans="1:13" ht="18" customHeight="1" x14ac:dyDescent="0.4">
      <c r="A11" t="s">
        <v>176</v>
      </c>
      <c r="D11" t="s">
        <v>177</v>
      </c>
      <c r="G11" t="s">
        <v>179</v>
      </c>
      <c r="K11" s="62" t="s">
        <v>316</v>
      </c>
      <c r="L11" s="29" t="s">
        <v>314</v>
      </c>
    </row>
    <row r="12" spans="1:13" ht="18" customHeight="1" x14ac:dyDescent="0.4">
      <c r="A12" t="s">
        <v>0</v>
      </c>
      <c r="D12" t="s">
        <v>0</v>
      </c>
      <c r="G12" t="s">
        <v>0</v>
      </c>
    </row>
    <row r="13" spans="1:13" x14ac:dyDescent="0.4">
      <c r="A13" s="25"/>
      <c r="D13" s="25"/>
      <c r="G13" s="25">
        <v>1234567</v>
      </c>
      <c r="K13" s="3" t="s">
        <v>2192</v>
      </c>
    </row>
    <row r="14" spans="1:13" x14ac:dyDescent="0.4">
      <c r="A14" s="25"/>
      <c r="D14" s="25">
        <v>1749173</v>
      </c>
      <c r="G14" s="25">
        <v>1802840</v>
      </c>
      <c r="L14" t="s">
        <v>2185</v>
      </c>
      <c r="M14" s="7" t="s">
        <v>2187</v>
      </c>
    </row>
    <row r="15" spans="1:13" x14ac:dyDescent="0.4">
      <c r="A15" s="25">
        <v>1420750</v>
      </c>
      <c r="D15" s="25">
        <v>1749385</v>
      </c>
      <c r="L15" t="s">
        <v>2203</v>
      </c>
      <c r="M15" s="7" t="s">
        <v>2183</v>
      </c>
    </row>
    <row r="16" spans="1:13" x14ac:dyDescent="0.4">
      <c r="A16" s="25">
        <v>1217462</v>
      </c>
      <c r="D16" s="25">
        <v>1749563</v>
      </c>
      <c r="L16" t="s">
        <v>2197</v>
      </c>
      <c r="M16" s="7" t="s">
        <v>2183</v>
      </c>
    </row>
    <row r="17" spans="1:13" x14ac:dyDescent="0.4">
      <c r="A17" s="25">
        <v>1218620</v>
      </c>
      <c r="D17" s="25">
        <v>1749609</v>
      </c>
      <c r="L17" t="s">
        <v>2184</v>
      </c>
      <c r="M17" s="7" t="s">
        <v>2183</v>
      </c>
    </row>
    <row r="18" spans="1:13" x14ac:dyDescent="0.4">
      <c r="A18" s="25">
        <v>1546098</v>
      </c>
      <c r="D18" s="25">
        <v>1749748</v>
      </c>
      <c r="L18" t="s">
        <v>2188</v>
      </c>
      <c r="M18" s="7" t="s">
        <v>2181</v>
      </c>
    </row>
    <row r="19" spans="1:13" x14ac:dyDescent="0.4">
      <c r="A19" s="25">
        <v>1320835</v>
      </c>
      <c r="D19" s="25">
        <v>1749855</v>
      </c>
      <c r="L19" t="s">
        <v>2202</v>
      </c>
      <c r="M19" s="7" t="s">
        <v>2181</v>
      </c>
    </row>
    <row r="20" spans="1:13" x14ac:dyDescent="0.4">
      <c r="A20" s="25">
        <v>1423560</v>
      </c>
      <c r="D20" s="25">
        <v>1749977</v>
      </c>
      <c r="L20" t="s">
        <v>2198</v>
      </c>
      <c r="M20" s="7" t="s">
        <v>2181</v>
      </c>
    </row>
    <row r="21" spans="1:13" x14ac:dyDescent="0.4">
      <c r="A21" s="25">
        <v>1421161</v>
      </c>
      <c r="B21" s="43"/>
      <c r="D21" s="25">
        <v>1750039</v>
      </c>
      <c r="L21" t="s">
        <v>2206</v>
      </c>
      <c r="M21" s="7" t="s">
        <v>12</v>
      </c>
    </row>
    <row r="22" spans="1:13" x14ac:dyDescent="0.4">
      <c r="A22" s="25">
        <v>1422102</v>
      </c>
      <c r="D22" s="25">
        <v>1750076</v>
      </c>
      <c r="L22" t="s">
        <v>2208</v>
      </c>
      <c r="M22" s="7" t="s">
        <v>2194</v>
      </c>
    </row>
    <row r="23" spans="1:13" x14ac:dyDescent="0.4">
      <c r="A23" s="25">
        <v>1637564</v>
      </c>
      <c r="D23" s="25">
        <v>1750780</v>
      </c>
      <c r="L23" t="s">
        <v>2209</v>
      </c>
      <c r="M23" s="7" t="s">
        <v>2194</v>
      </c>
    </row>
    <row r="24" spans="1:13" x14ac:dyDescent="0.4">
      <c r="A24" s="25">
        <v>1540634</v>
      </c>
      <c r="D24" s="25">
        <v>1751047</v>
      </c>
      <c r="L24" t="s">
        <v>2207</v>
      </c>
      <c r="M24" s="7" t="s">
        <v>2194</v>
      </c>
    </row>
    <row r="25" spans="1:13" x14ac:dyDescent="0.4">
      <c r="A25" s="25">
        <v>1565641</v>
      </c>
      <c r="D25" s="25">
        <v>1751102</v>
      </c>
      <c r="L25" t="s">
        <v>2201</v>
      </c>
      <c r="M25" s="7" t="s">
        <v>2182</v>
      </c>
    </row>
    <row r="26" spans="1:13" x14ac:dyDescent="0.4">
      <c r="A26" s="25">
        <v>1422668</v>
      </c>
      <c r="D26" s="25">
        <v>1751135</v>
      </c>
      <c r="L26" t="s">
        <v>2214</v>
      </c>
      <c r="M26" s="7" t="s">
        <v>2213</v>
      </c>
    </row>
    <row r="27" spans="1:13" x14ac:dyDescent="0.4">
      <c r="A27" s="25">
        <v>1618657</v>
      </c>
      <c r="D27" s="25">
        <v>1755702</v>
      </c>
      <c r="L27" t="s">
        <v>2195</v>
      </c>
      <c r="M27" s="7" t="s">
        <v>2196</v>
      </c>
    </row>
    <row r="28" spans="1:13" x14ac:dyDescent="0.4">
      <c r="A28" s="25">
        <v>1317143</v>
      </c>
      <c r="D28" s="25">
        <v>1755847</v>
      </c>
      <c r="L28" t="s">
        <v>2193</v>
      </c>
      <c r="M28" s="7" t="s">
        <v>2186</v>
      </c>
    </row>
    <row r="29" spans="1:13" x14ac:dyDescent="0.4">
      <c r="A29" s="25">
        <v>1421163</v>
      </c>
      <c r="D29" s="25">
        <v>1755881</v>
      </c>
      <c r="L29" t="s">
        <v>2200</v>
      </c>
      <c r="M29" s="7" t="s">
        <v>2199</v>
      </c>
    </row>
    <row r="30" spans="1:13" x14ac:dyDescent="0.4">
      <c r="A30" s="25">
        <v>1527822</v>
      </c>
      <c r="D30" s="25">
        <v>1755954</v>
      </c>
      <c r="L30" t="s">
        <v>2210</v>
      </c>
      <c r="M30" s="7" t="s">
        <v>2211</v>
      </c>
    </row>
    <row r="31" spans="1:13" x14ac:dyDescent="0.4">
      <c r="A31" s="25">
        <v>1735569</v>
      </c>
      <c r="D31" s="25">
        <v>1755978</v>
      </c>
    </row>
    <row r="32" spans="1:13" x14ac:dyDescent="0.4">
      <c r="D32" s="25">
        <v>1735569</v>
      </c>
    </row>
    <row r="36" spans="7:7" x14ac:dyDescent="0.4">
      <c r="G36" s="43"/>
    </row>
    <row r="46" spans="7:7" x14ac:dyDescent="0.4">
      <c r="G46" s="43"/>
    </row>
    <row r="47" spans="7:7" x14ac:dyDescent="0.4">
      <c r="G47" s="43"/>
    </row>
    <row r="48" spans="7:7" x14ac:dyDescent="0.4">
      <c r="G48" s="43"/>
    </row>
    <row r="49" spans="7:7" x14ac:dyDescent="0.4">
      <c r="G49" s="43"/>
    </row>
    <row r="50" spans="7:7" x14ac:dyDescent="0.4">
      <c r="G50" s="43"/>
    </row>
    <row r="51" spans="7:7" x14ac:dyDescent="0.4">
      <c r="G51" s="43"/>
    </row>
    <row r="52" spans="7:7" x14ac:dyDescent="0.4">
      <c r="G52" s="43"/>
    </row>
    <row r="53" spans="7:7" x14ac:dyDescent="0.4">
      <c r="G53" s="43"/>
    </row>
    <row r="54" spans="7:7" x14ac:dyDescent="0.4">
      <c r="G54" s="43"/>
    </row>
    <row r="55" spans="7:7" x14ac:dyDescent="0.4">
      <c r="G55" s="43"/>
    </row>
    <row r="56" spans="7:7" x14ac:dyDescent="0.4">
      <c r="G56" s="43"/>
    </row>
    <row r="57" spans="7:7" x14ac:dyDescent="0.4">
      <c r="G57" s="43"/>
    </row>
    <row r="58" spans="7:7" x14ac:dyDescent="0.4">
      <c r="G58" s="43"/>
    </row>
    <row r="59" spans="7:7" x14ac:dyDescent="0.4">
      <c r="G59" s="43"/>
    </row>
    <row r="60" spans="7:7" x14ac:dyDescent="0.4">
      <c r="G60" s="43"/>
    </row>
    <row r="61" spans="7:7" x14ac:dyDescent="0.4">
      <c r="G61" s="43"/>
    </row>
    <row r="62" spans="7:7" x14ac:dyDescent="0.4">
      <c r="G62" s="43"/>
    </row>
    <row r="63" spans="7:7" x14ac:dyDescent="0.4">
      <c r="G63" s="43"/>
    </row>
  </sheetData>
  <sortState ref="L14:M21">
    <sortCondition ref="M14"/>
  </sortState>
  <dataValidations count="1">
    <dataValidation type="list" allowBlank="1" showInputMessage="1" showErrorMessage="1" sqref="A11 D11 G11">
      <formula1>INDIRECT("AvailableTemplates[Available templates:]")</formula1>
    </dataValidation>
  </dataValidations>
  <hyperlinks>
    <hyperlink ref="M15" location="ckCoding!I1" display="ckCoding"/>
    <hyperlink ref="M30" location="ProjText!A1" tooltip="see step 4 above; pdf with RA drafts" display="pdf from ProjText"/>
    <hyperlink ref="M29" location="RAData!T1" tooltip="Text in RApost_note is added to RA drafts without modifying the template" display="RAData, or edit template"/>
    <hyperlink ref="M28" location="RAData!R1" tooltip="to change all, set above and 'Pull Data'; set individually in RAdata, or leave blank for Word to fill in." display="above, or RAData"/>
    <hyperlink ref="M27" location="ckSplits!AM1" tooltip="Feel free to edit pivot table" display="Pivot table on ckSplits"/>
    <hyperlink ref="M25" location="Budgets!L1" tooltip="Latest budget revisions shown" display="Budgets"/>
    <hyperlink ref="M22" location="Advanced!H7" tooltip="Hit Refresh to load new ones" display="Advanced"/>
    <hyperlink ref="M23" location="Advanced!H8" tooltip="Pick either your R drive or your local drive" display="Advanced"/>
    <hyperlink ref="M24" location="Advanced!M1" tooltip="Add/remove state abbreviations here" display="Advanced"/>
    <hyperlink ref="M21" location="PRCs!A1" tooltip="Shows only those in use by projects" display="PRCs"/>
    <hyperlink ref="M18" location="ckAwd!AG1" tooltip="Filter out blanks." display="ckAwd"/>
    <hyperlink ref="M19" location="ckAwd!AE1" tooltip="See countries from cover and total frgn_trav bugdet" display="ckAwd"/>
    <hyperlink ref="M20" location="ckAwd!Z1" display="ckAwd"/>
    <hyperlink ref="M14" location="RAData!W1" display="RAData"/>
    <hyperlink ref="M26" location="ckSplits!A1" display="ckSplits"/>
    <hyperlink ref="M16" location="ckCoding!M1" display="ckCoding"/>
    <hyperlink ref="M17" location="ckCoding!C1" tooltip="Comparison throughout tab"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bAutoloadAll">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484414</xdr:colOff>
                    <xdr:row>4</xdr:row>
                    <xdr:rowOff>179614</xdr:rowOff>
                  </to>
                </anchor>
              </controlPr>
            </control>
          </mc:Choice>
        </mc:AlternateContent>
        <mc:AlternateContent xmlns:mc="http://schemas.openxmlformats.org/markup-compatibility/2006">
          <mc:Choice Requires="x14">
            <control shapeId="16397" r:id="rId9" name="obtnNeverOverwrite">
              <controlPr defaultSize="0" autoFill="0" autoLine="0" autoPict="0">
                <anchor moveWithCells="1">
                  <from>
                    <xdr:col>10</xdr:col>
                    <xdr:colOff>179614</xdr:colOff>
                    <xdr:row>4</xdr:row>
                    <xdr:rowOff>174171</xdr:rowOff>
                  </from>
                  <to>
                    <xdr:col>12</xdr:col>
                    <xdr:colOff>32657</xdr:colOff>
                    <xdr:row>5</xdr:row>
                    <xdr:rowOff>136071</xdr:rowOff>
                  </to>
                </anchor>
              </controlPr>
            </control>
          </mc:Choice>
        </mc:AlternateContent>
        <mc:AlternateContent xmlns:mc="http://schemas.openxmlformats.org/markup-compatibility/2006">
          <mc:Choice Requires="x14">
            <control shapeId="16398" r:id="rId10" name="obtnAskOverwrite">
              <controlPr defaultSize="0" autoFill="0" autoLine="0" autoPict="0">
                <anchor moveWithCells="1">
                  <from>
                    <xdr:col>10</xdr:col>
                    <xdr:colOff>179614</xdr:colOff>
                    <xdr:row>5</xdr:row>
                    <xdr:rowOff>136071</xdr:rowOff>
                  </from>
                  <to>
                    <xdr:col>12</xdr:col>
                    <xdr:colOff>136071</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12</xdr:col>
                    <xdr:colOff>32657</xdr:colOff>
                    <xdr:row>7</xdr:row>
                    <xdr:rowOff>27214</xdr:rowOff>
                  </to>
                </anchor>
              </controlPr>
            </control>
          </mc:Choice>
        </mc:AlternateContent>
        <mc:AlternateContent xmlns:mc="http://schemas.openxmlformats.org/markup-compatibility/2006">
          <mc:Choice Requires="x14">
            <control shapeId="16400" r:id="rId12" name="cbConfirmActions">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75"/>
  <sheetViews>
    <sheetView zoomScale="98" zoomScaleNormal="98" workbookViewId="0">
      <selection activeCell="AY5" sqref="AY5"/>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765625" style="18" customWidth="1"/>
    <col min="7" max="7" width="5.61328125" style="18" customWidth="1"/>
    <col min="8" max="8" width="5.23046875" style="21" customWidth="1"/>
    <col min="9" max="10" width="5.15234375" customWidth="1"/>
    <col min="11" max="11" width="11.53515625" customWidth="1"/>
    <col min="12" max="12" width="9.3046875" bestFit="1" customWidth="1"/>
    <col min="13" max="13" width="4.3046875" customWidth="1"/>
    <col min="14" max="14" width="3.921875" customWidth="1"/>
    <col min="15" max="15" width="5.61328125" hidden="1" customWidth="1"/>
    <col min="16" max="16" width="6.61328125" style="21" hidden="1" customWidth="1"/>
    <col min="17" max="17" width="15.3828125" customWidth="1"/>
    <col min="18" max="18" width="13.4609375" style="22" bestFit="1" customWidth="1"/>
    <col min="19" max="19" width="4.07421875" style="21" customWidth="1"/>
    <col min="20" max="20" width="2.07421875" style="91" customWidth="1"/>
    <col min="21" max="21" width="8.69140625" style="39" customWidth="1"/>
    <col min="22" max="22" width="3" style="39" customWidth="1"/>
    <col min="23" max="23" width="4.3046875" customWidth="1"/>
    <col min="24" max="24" width="8.61328125" customWidth="1"/>
    <col min="25" max="25" width="12.4609375" customWidth="1"/>
    <col min="26" max="26" width="11.07421875" style="17" customWidth="1"/>
    <col min="27" max="27" width="24.61328125" bestFit="1" customWidth="1"/>
    <col min="28" max="28" width="8.15234375" customWidth="1"/>
    <col min="29" max="29" width="8.69140625" style="30" customWidth="1"/>
    <col min="30" max="30" width="3.61328125" style="18" customWidth="1"/>
    <col min="31" max="33" width="2.15234375" customWidth="1"/>
    <col min="34" max="34" width="4.921875" style="21" customWidth="1"/>
    <col min="35" max="35" width="14.4609375" customWidth="1"/>
    <col min="36" max="36" width="4.61328125" customWidth="1"/>
    <col min="37" max="37" width="14.3828125" style="26" customWidth="1"/>
    <col min="38" max="38" width="3.3828125" style="22" customWidth="1"/>
    <col min="39" max="44" width="2.84375" customWidth="1"/>
    <col min="45" max="45" width="23" customWidth="1"/>
    <col min="46" max="46" width="80.61328125" bestFit="1" customWidth="1"/>
    <col min="47" max="47" width="7.84375" customWidth="1"/>
    <col min="48" max="48" width="4.53515625" customWidth="1"/>
    <col min="49" max="49" width="11.69140625" customWidth="1"/>
    <col min="50" max="50" width="11.4609375" customWidth="1"/>
    <col min="51" max="51" width="10.53515625" customWidth="1"/>
    <col min="52" max="52" width="10.921875" customWidth="1"/>
    <col min="53" max="53" width="11.07421875" customWidth="1"/>
    <col min="54" max="54" width="9.84375" customWidth="1"/>
    <col min="55" max="59" width="4.69140625" customWidth="1"/>
    <col min="60" max="63" width="4.3046875" customWidth="1"/>
    <col min="64" max="64" width="18.3046875" customWidth="1"/>
  </cols>
  <sheetData>
    <row r="1" spans="1:64" ht="32.15" customHeight="1" x14ac:dyDescent="0.4">
      <c r="A1" s="17" t="s">
        <v>87</v>
      </c>
      <c r="B1" s="30" t="s">
        <v>7</v>
      </c>
      <c r="C1" t="s">
        <v>8</v>
      </c>
      <c r="D1" t="s">
        <v>5</v>
      </c>
      <c r="E1" t="s">
        <v>4</v>
      </c>
      <c r="F1" t="s">
        <v>168</v>
      </c>
      <c r="G1" t="s">
        <v>166</v>
      </c>
      <c r="H1" s="91" t="s">
        <v>92</v>
      </c>
      <c r="I1" s="39" t="s">
        <v>128</v>
      </c>
      <c r="J1" s="39" t="s">
        <v>129</v>
      </c>
      <c r="K1" t="s">
        <v>17</v>
      </c>
      <c r="L1" t="s">
        <v>91</v>
      </c>
      <c r="M1" t="s">
        <v>93</v>
      </c>
      <c r="N1" t="s">
        <v>2169</v>
      </c>
      <c r="O1" t="s">
        <v>2170</v>
      </c>
      <c r="P1" s="21" t="s">
        <v>2171</v>
      </c>
      <c r="Q1" t="s">
        <v>386</v>
      </c>
      <c r="R1" s="22" t="s">
        <v>16</v>
      </c>
      <c r="S1" s="21" t="s">
        <v>102</v>
      </c>
      <c r="T1" s="21" t="s">
        <v>88</v>
      </c>
      <c r="U1" t="s">
        <v>9</v>
      </c>
      <c r="V1" t="s">
        <v>1</v>
      </c>
      <c r="W1" s="14" t="s">
        <v>146</v>
      </c>
      <c r="X1" t="s">
        <v>0</v>
      </c>
      <c r="Y1" t="s">
        <v>10</v>
      </c>
      <c r="Z1" t="s">
        <v>18</v>
      </c>
      <c r="AA1" t="s">
        <v>385</v>
      </c>
      <c r="AB1" s="14" t="s">
        <v>2164</v>
      </c>
      <c r="AC1" s="30" t="s">
        <v>19</v>
      </c>
      <c r="AD1" t="s">
        <v>20</v>
      </c>
      <c r="AE1" t="s">
        <v>154</v>
      </c>
      <c r="AF1" t="s">
        <v>155</v>
      </c>
      <c r="AG1" s="14" t="s">
        <v>387</v>
      </c>
      <c r="AH1" s="21" t="s">
        <v>182</v>
      </c>
      <c r="AI1" t="s">
        <v>389</v>
      </c>
      <c r="AJ1" s="26" t="s">
        <v>23</v>
      </c>
      <c r="AK1" s="22" t="s">
        <v>150</v>
      </c>
      <c r="AL1" t="s">
        <v>388</v>
      </c>
      <c r="AM1" t="s">
        <v>390</v>
      </c>
      <c r="AN1" t="s">
        <v>149</v>
      </c>
      <c r="AO1" t="s">
        <v>2006</v>
      </c>
      <c r="AP1" t="s">
        <v>391</v>
      </c>
      <c r="AQ1" t="s">
        <v>392</v>
      </c>
      <c r="AR1" t="s">
        <v>393</v>
      </c>
      <c r="AS1" t="s">
        <v>169</v>
      </c>
      <c r="AT1" t="s">
        <v>36</v>
      </c>
      <c r="AU1" t="s">
        <v>2172</v>
      </c>
      <c r="AV1" t="s">
        <v>394</v>
      </c>
      <c r="AW1" t="s">
        <v>21</v>
      </c>
      <c r="AX1" t="s">
        <v>22</v>
      </c>
      <c r="AY1" t="s">
        <v>395</v>
      </c>
      <c r="AZ1" t="s">
        <v>396</v>
      </c>
      <c r="BA1" t="s">
        <v>397</v>
      </c>
      <c r="BB1" t="s">
        <v>398</v>
      </c>
      <c r="BC1" t="s">
        <v>399</v>
      </c>
      <c r="BD1" t="s">
        <v>400</v>
      </c>
      <c r="BE1" t="s">
        <v>401</v>
      </c>
      <c r="BF1" t="s">
        <v>402</v>
      </c>
      <c r="BG1" t="s">
        <v>403</v>
      </c>
      <c r="BH1" t="s">
        <v>136</v>
      </c>
      <c r="BI1" t="s">
        <v>137</v>
      </c>
      <c r="BJ1" t="s">
        <v>138</v>
      </c>
      <c r="BK1" t="s">
        <v>139</v>
      </c>
      <c r="BL1" t="s">
        <v>148</v>
      </c>
    </row>
    <row r="2" spans="1:64" x14ac:dyDescent="0.4">
      <c r="A2" s="30">
        <v>42677.396296296298</v>
      </c>
      <c r="B2" s="30">
        <v>42569.623611111114</v>
      </c>
      <c r="C2" t="s">
        <v>975</v>
      </c>
      <c r="D2" t="s">
        <v>222</v>
      </c>
      <c r="E2" t="s">
        <v>405</v>
      </c>
      <c r="F2" t="s">
        <v>976</v>
      </c>
      <c r="G2" t="s">
        <v>172</v>
      </c>
      <c r="H2" s="21" t="s">
        <v>94</v>
      </c>
      <c r="I2" s="87">
        <v>1</v>
      </c>
      <c r="J2" s="87">
        <v>0</v>
      </c>
      <c r="K2" t="s">
        <v>974</v>
      </c>
      <c r="L2" t="s">
        <v>422</v>
      </c>
      <c r="M2" t="s">
        <v>981</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983</v>
      </c>
      <c r="R2" s="22">
        <v>42676.702187499999</v>
      </c>
      <c r="S2" s="21">
        <f>S1+(ckCodingTable[[#This Row],[ILN]]&lt;"M")</f>
        <v>1</v>
      </c>
      <c r="T2" s="21" t="s">
        <v>96</v>
      </c>
      <c r="U2" t="s">
        <v>977</v>
      </c>
      <c r="V2" s="7" t="str">
        <f>HYPERLINK("https://www.ejacket.nsf.gov/ej/showProposal.do?ID="&amp;ckCodingTable[[#This Row],[prop_id]],"eJ")</f>
        <v>eJ</v>
      </c>
      <c r="W2" t="s">
        <v>224</v>
      </c>
      <c r="X2" t="s">
        <v>977</v>
      </c>
      <c r="Y2" t="s">
        <v>978</v>
      </c>
      <c r="Z2" t="s">
        <v>979</v>
      </c>
      <c r="AA2" t="s">
        <v>980</v>
      </c>
      <c r="AC2" s="30">
        <v>42887</v>
      </c>
      <c r="AD2">
        <v>60</v>
      </c>
      <c r="AE2">
        <v>1</v>
      </c>
      <c r="AH2" s="21">
        <v>3.18</v>
      </c>
      <c r="AI2" t="s">
        <v>984</v>
      </c>
      <c r="AJ2" s="26">
        <v>7.5</v>
      </c>
      <c r="AK2" s="22">
        <v>42658.968055555553</v>
      </c>
      <c r="AL2">
        <v>4</v>
      </c>
      <c r="AM2">
        <v>1</v>
      </c>
      <c r="AO2">
        <v>2</v>
      </c>
      <c r="AS2" t="s">
        <v>973</v>
      </c>
      <c r="AT2" t="s">
        <v>985</v>
      </c>
      <c r="AU2" t="b">
        <f>IF(ckCodingTable[[#This Row],[ILN]]="N",SUBSTITUTE(AT1," ","")&lt;&gt;SUBSTITUTE(ckCodingTable[[#This Row],[prop_titl_txt]]," ",""), FALSE)</f>
        <v>0</v>
      </c>
      <c r="AV2">
        <v>0</v>
      </c>
      <c r="AW2" s="13">
        <v>499038</v>
      </c>
      <c r="AX2" s="13">
        <v>499038</v>
      </c>
      <c r="AY2" s="13"/>
      <c r="AZ2" s="13">
        <v>15000</v>
      </c>
      <c r="BA2" s="13"/>
      <c r="BB2" s="13">
        <v>8000</v>
      </c>
      <c r="BC2">
        <v>5</v>
      </c>
      <c r="BD2">
        <v>5</v>
      </c>
      <c r="BE2">
        <v>9</v>
      </c>
      <c r="BH2">
        <v>0</v>
      </c>
      <c r="BI2">
        <v>0</v>
      </c>
      <c r="BJ2">
        <v>0</v>
      </c>
      <c r="BK2">
        <v>0</v>
      </c>
      <c r="BL2" t="s">
        <v>982</v>
      </c>
    </row>
    <row r="3" spans="1:64" x14ac:dyDescent="0.4">
      <c r="A3" s="30">
        <v>42684.464479166665</v>
      </c>
      <c r="B3" s="30">
        <v>42569.6875</v>
      </c>
      <c r="C3" t="s">
        <v>975</v>
      </c>
      <c r="D3" t="s">
        <v>222</v>
      </c>
      <c r="E3" t="s">
        <v>405</v>
      </c>
      <c r="F3" t="s">
        <v>976</v>
      </c>
      <c r="G3" t="s">
        <v>172</v>
      </c>
      <c r="H3" s="21" t="s">
        <v>94</v>
      </c>
      <c r="I3" s="87">
        <v>1</v>
      </c>
      <c r="J3" s="87">
        <v>0</v>
      </c>
      <c r="K3" t="s">
        <v>974</v>
      </c>
      <c r="L3" t="s">
        <v>422</v>
      </c>
      <c r="M3" t="s">
        <v>484</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411</v>
      </c>
      <c r="R3" s="22">
        <v>42683.53429398148</v>
      </c>
      <c r="S3" s="21">
        <f>S2+(ckCodingTable[[#This Row],[ILN]]&lt;"M")</f>
        <v>2</v>
      </c>
      <c r="T3" s="21" t="s">
        <v>96</v>
      </c>
      <c r="U3" t="s">
        <v>986</v>
      </c>
      <c r="V3" s="7" t="str">
        <f>HYPERLINK("https://www.ejacket.nsf.gov/ej/showProposal.do?ID="&amp;ckCodingTable[[#This Row],[prop_id]],"eJ")</f>
        <v>eJ</v>
      </c>
      <c r="W3" t="s">
        <v>224</v>
      </c>
      <c r="X3" t="s">
        <v>986</v>
      </c>
      <c r="Y3" t="s">
        <v>481</v>
      </c>
      <c r="Z3" t="s">
        <v>482</v>
      </c>
      <c r="AA3" t="s">
        <v>483</v>
      </c>
      <c r="AC3" s="30">
        <v>42856</v>
      </c>
      <c r="AD3">
        <v>60</v>
      </c>
      <c r="AE3">
        <v>1</v>
      </c>
      <c r="AH3" s="21">
        <v>2.14</v>
      </c>
      <c r="AI3" t="s">
        <v>443</v>
      </c>
      <c r="AJ3" s="26">
        <v>6.5</v>
      </c>
      <c r="AK3" s="22">
        <v>42660.114583333336</v>
      </c>
      <c r="AL3">
        <v>4</v>
      </c>
      <c r="AS3" t="s">
        <v>973</v>
      </c>
      <c r="AT3" t="s">
        <v>987</v>
      </c>
      <c r="AU3" t="b">
        <f>IF(ckCodingTable[[#This Row],[ILN]]="N",SUBSTITUTE(AT2," ","")&lt;&gt;SUBSTITUTE(ckCodingTable[[#This Row],[prop_titl_txt]]," ",""), FALSE)</f>
        <v>0</v>
      </c>
      <c r="AV3">
        <v>0</v>
      </c>
      <c r="AW3" s="13">
        <v>510836</v>
      </c>
      <c r="AX3" s="13">
        <v>510836</v>
      </c>
      <c r="AY3" s="13"/>
      <c r="AZ3" s="13"/>
      <c r="BA3" s="13"/>
      <c r="BB3" s="13"/>
      <c r="BC3">
        <v>5</v>
      </c>
      <c r="BD3">
        <v>5</v>
      </c>
      <c r="BE3">
        <v>5</v>
      </c>
      <c r="BH3">
        <v>0</v>
      </c>
      <c r="BI3">
        <v>0</v>
      </c>
      <c r="BJ3">
        <v>0</v>
      </c>
      <c r="BK3">
        <v>0</v>
      </c>
      <c r="BL3" t="s">
        <v>485</v>
      </c>
    </row>
    <row r="4" spans="1:64" x14ac:dyDescent="0.4">
      <c r="A4" s="30">
        <v>42682.410821759258</v>
      </c>
      <c r="B4" s="30">
        <v>42570.490277777775</v>
      </c>
      <c r="C4" t="s">
        <v>975</v>
      </c>
      <c r="D4" t="s">
        <v>222</v>
      </c>
      <c r="E4" t="s">
        <v>405</v>
      </c>
      <c r="F4" t="s">
        <v>976</v>
      </c>
      <c r="G4" t="s">
        <v>172</v>
      </c>
      <c r="H4" s="21" t="s">
        <v>94</v>
      </c>
      <c r="I4" s="87">
        <v>1</v>
      </c>
      <c r="J4" s="87">
        <v>0</v>
      </c>
      <c r="K4" t="s">
        <v>974</v>
      </c>
      <c r="L4" t="s">
        <v>406</v>
      </c>
      <c r="M4" t="s">
        <v>417</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419</v>
      </c>
      <c r="R4" s="22">
        <v>42678.449837962966</v>
      </c>
      <c r="S4" s="21">
        <f>S3+(ckCodingTable[[#This Row],[ILN]]&lt;"M")</f>
        <v>3</v>
      </c>
      <c r="T4" s="21" t="s">
        <v>96</v>
      </c>
      <c r="U4" t="s">
        <v>988</v>
      </c>
      <c r="V4" s="7" t="str">
        <f>HYPERLINK("https://www.ejacket.nsf.gov/ej/showProposal.do?ID="&amp;ckCodingTable[[#This Row],[prop_id]],"eJ")</f>
        <v>eJ</v>
      </c>
      <c r="W4" t="s">
        <v>224</v>
      </c>
      <c r="X4" t="s">
        <v>988</v>
      </c>
      <c r="Y4" t="s">
        <v>414</v>
      </c>
      <c r="Z4" t="s">
        <v>415</v>
      </c>
      <c r="AA4" t="s">
        <v>416</v>
      </c>
      <c r="AC4" s="30">
        <v>42979</v>
      </c>
      <c r="AD4">
        <v>60</v>
      </c>
      <c r="AE4">
        <v>1</v>
      </c>
      <c r="AH4" s="21">
        <v>2.13</v>
      </c>
      <c r="AI4" t="s">
        <v>989</v>
      </c>
      <c r="AJ4" s="26">
        <v>7.5</v>
      </c>
      <c r="AK4" s="22">
        <v>42661.481249999997</v>
      </c>
      <c r="AL4">
        <v>4</v>
      </c>
      <c r="AS4" t="s">
        <v>973</v>
      </c>
      <c r="AT4" t="s">
        <v>421</v>
      </c>
      <c r="AU4" t="b">
        <f>IF(ckCodingTable[[#This Row],[ILN]]="N",SUBSTITUTE(AT3," ","")&lt;&gt;SUBSTITUTE(ckCodingTable[[#This Row],[prop_titl_txt]]," ",""), FALSE)</f>
        <v>0</v>
      </c>
      <c r="AV4">
        <v>0</v>
      </c>
      <c r="AW4" s="13">
        <v>484868</v>
      </c>
      <c r="AX4" s="13">
        <v>484868</v>
      </c>
      <c r="AY4" s="13"/>
      <c r="AZ4" s="13">
        <v>12500</v>
      </c>
      <c r="BA4" s="13"/>
      <c r="BB4" s="13"/>
      <c r="BC4">
        <v>10</v>
      </c>
      <c r="BD4">
        <v>5</v>
      </c>
      <c r="BE4">
        <v>5</v>
      </c>
      <c r="BH4">
        <v>0</v>
      </c>
      <c r="BI4">
        <v>0</v>
      </c>
      <c r="BJ4">
        <v>0</v>
      </c>
      <c r="BK4">
        <v>0</v>
      </c>
      <c r="BL4" t="s">
        <v>418</v>
      </c>
    </row>
    <row r="5" spans="1:64" x14ac:dyDescent="0.4">
      <c r="A5" s="30">
        <v>42716.513449074075</v>
      </c>
      <c r="B5" s="30">
        <v>42570.572916666664</v>
      </c>
      <c r="C5" t="s">
        <v>975</v>
      </c>
      <c r="D5" t="s">
        <v>222</v>
      </c>
      <c r="E5" t="s">
        <v>405</v>
      </c>
      <c r="F5" t="s">
        <v>976</v>
      </c>
      <c r="G5" t="s">
        <v>172</v>
      </c>
      <c r="H5" s="21" t="s">
        <v>94</v>
      </c>
      <c r="I5" s="87">
        <v>1</v>
      </c>
      <c r="J5" s="87">
        <v>0</v>
      </c>
      <c r="K5" t="s">
        <v>974</v>
      </c>
      <c r="L5" t="s">
        <v>451</v>
      </c>
      <c r="M5" t="s">
        <v>280</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411</v>
      </c>
      <c r="R5" s="22">
        <v>42715.925185185188</v>
      </c>
      <c r="S5" s="21">
        <f>S4+(ckCodingTable[[#This Row],[ILN]]&lt;"M")</f>
        <v>4</v>
      </c>
      <c r="T5" s="21" t="s">
        <v>96</v>
      </c>
      <c r="U5" t="s">
        <v>990</v>
      </c>
      <c r="V5" s="7" t="str">
        <f>HYPERLINK("https://www.ejacket.nsf.gov/ej/showProposal.do?ID="&amp;ckCodingTable[[#This Row],[prop_id]],"eJ")</f>
        <v>eJ</v>
      </c>
      <c r="W5" t="s">
        <v>224</v>
      </c>
      <c r="X5" t="s">
        <v>990</v>
      </c>
      <c r="Y5" t="s">
        <v>499</v>
      </c>
      <c r="Z5" t="s">
        <v>500</v>
      </c>
      <c r="AA5" t="s">
        <v>501</v>
      </c>
      <c r="AC5" s="30">
        <v>42736</v>
      </c>
      <c r="AD5">
        <v>60</v>
      </c>
      <c r="AE5">
        <v>1</v>
      </c>
      <c r="AH5" s="21">
        <v>2.0699999999999998</v>
      </c>
      <c r="AI5" t="s">
        <v>989</v>
      </c>
      <c r="AJ5" s="26">
        <v>7.5</v>
      </c>
      <c r="AK5" s="22">
        <v>42660.115277777775</v>
      </c>
      <c r="AL5">
        <v>4</v>
      </c>
      <c r="AS5" t="s">
        <v>973</v>
      </c>
      <c r="AT5" t="s">
        <v>504</v>
      </c>
      <c r="AU5" t="b">
        <f>IF(ckCodingTable[[#This Row],[ILN]]="N",SUBSTITUTE(AT4," ","")&lt;&gt;SUBSTITUTE(ckCodingTable[[#This Row],[prop_titl_txt]]," ",""), FALSE)</f>
        <v>0</v>
      </c>
      <c r="AV5">
        <v>0</v>
      </c>
      <c r="AW5" s="13">
        <v>504558</v>
      </c>
      <c r="AX5" s="13">
        <v>504558</v>
      </c>
      <c r="AY5" s="13"/>
      <c r="AZ5" s="13">
        <v>15000</v>
      </c>
      <c r="BA5" s="13"/>
      <c r="BB5" s="13"/>
      <c r="BC5">
        <v>5</v>
      </c>
      <c r="BD5">
        <v>5</v>
      </c>
      <c r="BE5">
        <v>5</v>
      </c>
      <c r="BH5">
        <v>0</v>
      </c>
      <c r="BI5">
        <v>0</v>
      </c>
      <c r="BJ5">
        <v>0</v>
      </c>
      <c r="BK5">
        <v>0</v>
      </c>
      <c r="BL5" t="s">
        <v>502</v>
      </c>
    </row>
    <row r="6" spans="1:64" x14ac:dyDescent="0.4">
      <c r="A6" s="30">
        <v>42815.626736111109</v>
      </c>
      <c r="B6" s="30">
        <v>42570.777777777781</v>
      </c>
      <c r="C6" t="s">
        <v>975</v>
      </c>
      <c r="D6" t="s">
        <v>222</v>
      </c>
      <c r="E6" t="s">
        <v>405</v>
      </c>
      <c r="F6" t="s">
        <v>992</v>
      </c>
      <c r="G6" t="s">
        <v>172</v>
      </c>
      <c r="H6" s="21" t="s">
        <v>94</v>
      </c>
      <c r="I6" s="87">
        <v>1</v>
      </c>
      <c r="J6" s="87">
        <v>0</v>
      </c>
      <c r="K6" t="s">
        <v>974</v>
      </c>
      <c r="L6" t="s">
        <v>451</v>
      </c>
      <c r="M6" t="s">
        <v>280</v>
      </c>
      <c r="N6" t="str">
        <f>IF(SUM(ckCodingTable[[#This Row],[NfmlPIs]:[NnonWhtAsnPIs]])&gt;0,"WMD","")</f>
        <v>WMD</v>
      </c>
      <c r="O6" t="b">
        <f>_xlfn.XOR(IFERROR(MATCH(ckCodingTable[[#This Row],[st_code]],EpscorTable[],0)&gt;0,FALSE),IFERROR(FIND("9150",ckCodingTable[[#This Row],[propPRCs]])&gt;0,FALSE))</f>
        <v>0</v>
      </c>
      <c r="P6" s="21" t="b">
        <f>_xlfn.XOR(ckCodingTable[[#This Row],[wmd]]&lt;&gt;"",IFERROR(FIND("9102",ckCodingTable[[#This Row],[propPRCs]])&gt;0,FALSE))</f>
        <v>1</v>
      </c>
      <c r="Q6" t="s">
        <v>411</v>
      </c>
      <c r="R6" s="22">
        <v>42800.442499999997</v>
      </c>
      <c r="S6" s="21">
        <f>S5+(ckCodingTable[[#This Row],[ILN]]&lt;"M")</f>
        <v>5</v>
      </c>
      <c r="T6" s="21" t="s">
        <v>96</v>
      </c>
      <c r="U6" t="s">
        <v>993</v>
      </c>
      <c r="V6" s="7" t="str">
        <f>HYPERLINK("https://www.ejacket.nsf.gov/ej/showProposal.do?ID="&amp;ckCodingTable[[#This Row],[prop_id]],"eJ")</f>
        <v>eJ</v>
      </c>
      <c r="W6" t="s">
        <v>224</v>
      </c>
      <c r="X6" t="s">
        <v>993</v>
      </c>
      <c r="Y6" t="s">
        <v>994</v>
      </c>
      <c r="Z6" t="s">
        <v>995</v>
      </c>
      <c r="AA6" t="s">
        <v>223</v>
      </c>
      <c r="AC6" s="30">
        <v>42767</v>
      </c>
      <c r="AD6">
        <v>60</v>
      </c>
      <c r="AE6">
        <v>1</v>
      </c>
      <c r="AH6" s="21">
        <v>2.06</v>
      </c>
      <c r="AI6" t="s">
        <v>997</v>
      </c>
      <c r="AJ6" s="26">
        <v>6.6</v>
      </c>
      <c r="AK6" s="22">
        <v>42660.406944444447</v>
      </c>
      <c r="AL6">
        <v>5</v>
      </c>
      <c r="AS6" t="s">
        <v>991</v>
      </c>
      <c r="AT6" t="s">
        <v>998</v>
      </c>
      <c r="AU6" t="b">
        <f>IF(ckCodingTable[[#This Row],[ILN]]="N",SUBSTITUTE(AT5," ","")&lt;&gt;SUBSTITUTE(ckCodingTable[[#This Row],[prop_titl_txt]]," ",""), FALSE)</f>
        <v>0</v>
      </c>
      <c r="AV6">
        <v>1</v>
      </c>
      <c r="AW6" s="13">
        <v>550000</v>
      </c>
      <c r="AX6" s="13">
        <v>400000</v>
      </c>
      <c r="AY6" s="13"/>
      <c r="AZ6" s="13"/>
      <c r="BA6" s="13"/>
      <c r="BB6" s="13"/>
      <c r="BC6">
        <v>4</v>
      </c>
      <c r="BH6">
        <v>2</v>
      </c>
      <c r="BI6">
        <v>0</v>
      </c>
      <c r="BJ6">
        <v>0</v>
      </c>
      <c r="BK6">
        <v>0</v>
      </c>
      <c r="BL6" t="s">
        <v>996</v>
      </c>
    </row>
    <row r="7" spans="1:64" x14ac:dyDescent="0.4">
      <c r="A7" s="30">
        <v>42724.509884259256</v>
      </c>
      <c r="B7" s="30">
        <v>42570.840277777781</v>
      </c>
      <c r="C7" t="s">
        <v>975</v>
      </c>
      <c r="D7" t="s">
        <v>222</v>
      </c>
      <c r="E7" t="s">
        <v>405</v>
      </c>
      <c r="F7" t="s">
        <v>992</v>
      </c>
      <c r="G7" t="s">
        <v>172</v>
      </c>
      <c r="H7" s="21" t="s">
        <v>94</v>
      </c>
      <c r="I7" s="87">
        <v>1</v>
      </c>
      <c r="J7" s="87">
        <v>0</v>
      </c>
      <c r="K7" t="s">
        <v>974</v>
      </c>
      <c r="L7" t="s">
        <v>422</v>
      </c>
      <c r="M7" t="s">
        <v>278</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411</v>
      </c>
      <c r="R7" s="22">
        <v>42724.508750000001</v>
      </c>
      <c r="S7" s="21">
        <f>S6+(ckCodingTable[[#This Row],[ILN]]&lt;"M")</f>
        <v>6</v>
      </c>
      <c r="T7" s="21" t="s">
        <v>96</v>
      </c>
      <c r="U7" t="s">
        <v>999</v>
      </c>
      <c r="V7" s="7" t="str">
        <f>HYPERLINK("https://www.ejacket.nsf.gov/ej/showProposal.do?ID="&amp;ckCodingTable[[#This Row],[prop_id]],"eJ")</f>
        <v>eJ</v>
      </c>
      <c r="W7" t="s">
        <v>224</v>
      </c>
      <c r="X7" t="s">
        <v>999</v>
      </c>
      <c r="Y7" t="s">
        <v>1000</v>
      </c>
      <c r="Z7" t="s">
        <v>1001</v>
      </c>
      <c r="AA7" t="s">
        <v>258</v>
      </c>
      <c r="AC7" s="30">
        <v>42917</v>
      </c>
      <c r="AD7">
        <v>60</v>
      </c>
      <c r="AE7">
        <v>1</v>
      </c>
      <c r="AH7" s="21">
        <v>1.02</v>
      </c>
      <c r="AI7" t="s">
        <v>1003</v>
      </c>
      <c r="AJ7" s="26">
        <v>7.75</v>
      </c>
      <c r="AK7" s="22">
        <v>42660.116666666669</v>
      </c>
      <c r="AL7">
        <v>4</v>
      </c>
      <c r="AS7" t="s">
        <v>991</v>
      </c>
      <c r="AT7" t="s">
        <v>1004</v>
      </c>
      <c r="AU7" t="b">
        <f>IF(ckCodingTable[[#This Row],[ILN]]="N",SUBSTITUTE(AT6," ","")&lt;&gt;SUBSTITUTE(ckCodingTable[[#This Row],[prop_titl_txt]]," ",""), FALSE)</f>
        <v>0</v>
      </c>
      <c r="AV7">
        <v>0</v>
      </c>
      <c r="AW7" s="13">
        <v>522239</v>
      </c>
      <c r="AX7" s="13">
        <v>522239</v>
      </c>
      <c r="AY7" s="13"/>
      <c r="AZ7" s="13">
        <v>30000</v>
      </c>
      <c r="BA7" s="13">
        <v>93033</v>
      </c>
      <c r="BB7" s="13">
        <v>15000</v>
      </c>
      <c r="BD7">
        <v>5</v>
      </c>
      <c r="BE7">
        <v>10</v>
      </c>
      <c r="BG7">
        <v>10</v>
      </c>
      <c r="BH7">
        <v>0</v>
      </c>
      <c r="BI7">
        <v>0</v>
      </c>
      <c r="BJ7">
        <v>0</v>
      </c>
      <c r="BK7">
        <v>0</v>
      </c>
      <c r="BL7" t="s">
        <v>1002</v>
      </c>
    </row>
    <row r="8" spans="1:64" x14ac:dyDescent="0.4">
      <c r="A8" s="30">
        <v>42676.693391203706</v>
      </c>
      <c r="B8" s="30">
        <v>42571.410416666666</v>
      </c>
      <c r="C8" t="s">
        <v>975</v>
      </c>
      <c r="D8" t="s">
        <v>222</v>
      </c>
      <c r="E8" t="s">
        <v>405</v>
      </c>
      <c r="F8" t="s">
        <v>976</v>
      </c>
      <c r="G8" t="s">
        <v>172</v>
      </c>
      <c r="H8" s="21" t="s">
        <v>94</v>
      </c>
      <c r="I8" s="87">
        <v>1</v>
      </c>
      <c r="J8" s="87">
        <v>0</v>
      </c>
      <c r="K8" t="s">
        <v>974</v>
      </c>
      <c r="L8" t="s">
        <v>406</v>
      </c>
      <c r="M8" t="s">
        <v>508</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419</v>
      </c>
      <c r="R8" s="22">
        <v>42674.602546296293</v>
      </c>
      <c r="S8" s="21">
        <f>S7+(ckCodingTable[[#This Row],[ILN]]&lt;"M")</f>
        <v>7</v>
      </c>
      <c r="T8" s="21" t="s">
        <v>96</v>
      </c>
      <c r="U8" t="s">
        <v>1005</v>
      </c>
      <c r="V8" s="7" t="str">
        <f>HYPERLINK("https://www.ejacket.nsf.gov/ej/showProposal.do?ID="&amp;ckCodingTable[[#This Row],[prop_id]],"eJ")</f>
        <v>eJ</v>
      </c>
      <c r="W8" t="s">
        <v>224</v>
      </c>
      <c r="X8" t="s">
        <v>1005</v>
      </c>
      <c r="Y8" t="s">
        <v>505</v>
      </c>
      <c r="Z8" t="s">
        <v>506</v>
      </c>
      <c r="AA8" t="s">
        <v>507</v>
      </c>
      <c r="AC8" s="30">
        <v>42736</v>
      </c>
      <c r="AD8">
        <v>60</v>
      </c>
      <c r="AE8">
        <v>1</v>
      </c>
      <c r="AH8" s="21">
        <v>3.18</v>
      </c>
      <c r="AI8" t="s">
        <v>1006</v>
      </c>
      <c r="AJ8" s="26">
        <v>7.25</v>
      </c>
      <c r="AK8" s="22">
        <v>42660.460416666669</v>
      </c>
      <c r="AL8">
        <v>4</v>
      </c>
      <c r="AS8" t="s">
        <v>973</v>
      </c>
      <c r="AT8" t="s">
        <v>1007</v>
      </c>
      <c r="AU8" t="b">
        <f>IF(ckCodingTable[[#This Row],[ILN]]="N",SUBSTITUTE(AT7," ","")&lt;&gt;SUBSTITUTE(ckCodingTable[[#This Row],[prop_titl_txt]]," ",""), FALSE)</f>
        <v>0</v>
      </c>
      <c r="AV8">
        <v>0</v>
      </c>
      <c r="AW8" s="13">
        <v>518410</v>
      </c>
      <c r="AX8" s="13">
        <v>518410</v>
      </c>
      <c r="AY8" s="13"/>
      <c r="AZ8" s="13">
        <v>7500</v>
      </c>
      <c r="BA8" s="13"/>
      <c r="BB8" s="13"/>
      <c r="BC8">
        <v>5</v>
      </c>
      <c r="BD8">
        <v>5</v>
      </c>
      <c r="BE8">
        <v>6.5</v>
      </c>
      <c r="BH8">
        <v>0</v>
      </c>
      <c r="BI8">
        <v>0</v>
      </c>
      <c r="BJ8">
        <v>0</v>
      </c>
      <c r="BK8">
        <v>0</v>
      </c>
      <c r="BL8" t="s">
        <v>509</v>
      </c>
    </row>
    <row r="9" spans="1:64" x14ac:dyDescent="0.4">
      <c r="A9" s="30">
        <v>42706.641759259262</v>
      </c>
      <c r="B9" s="30">
        <v>42571.42291666667</v>
      </c>
      <c r="C9" t="s">
        <v>975</v>
      </c>
      <c r="D9" t="s">
        <v>222</v>
      </c>
      <c r="E9" t="s">
        <v>405</v>
      </c>
      <c r="F9" t="s">
        <v>976</v>
      </c>
      <c r="G9" t="s">
        <v>172</v>
      </c>
      <c r="H9" s="21" t="s">
        <v>94</v>
      </c>
      <c r="I9" s="87">
        <v>1</v>
      </c>
      <c r="J9" s="87">
        <v>0</v>
      </c>
      <c r="K9" t="s">
        <v>974</v>
      </c>
      <c r="L9" t="s">
        <v>422</v>
      </c>
      <c r="M9" t="s">
        <v>276</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1012</v>
      </c>
      <c r="R9" s="22">
        <v>42705.544803240744</v>
      </c>
      <c r="S9" s="21">
        <f>S8+(ckCodingTable[[#This Row],[ILN]]&lt;"M")</f>
        <v>8</v>
      </c>
      <c r="T9" s="21" t="s">
        <v>96</v>
      </c>
      <c r="U9" t="s">
        <v>1008</v>
      </c>
      <c r="V9" s="7" t="str">
        <f>HYPERLINK("https://www.ejacket.nsf.gov/ej/showProposal.do?ID="&amp;ckCodingTable[[#This Row],[prop_id]],"eJ")</f>
        <v>eJ</v>
      </c>
      <c r="W9" t="s">
        <v>224</v>
      </c>
      <c r="X9" t="s">
        <v>1008</v>
      </c>
      <c r="Y9" t="s">
        <v>1009</v>
      </c>
      <c r="Z9" t="s">
        <v>1010</v>
      </c>
      <c r="AA9" t="s">
        <v>424</v>
      </c>
      <c r="AC9" s="30">
        <v>42736</v>
      </c>
      <c r="AD9">
        <v>60</v>
      </c>
      <c r="AE9">
        <v>1</v>
      </c>
      <c r="AH9" s="21">
        <v>2.12</v>
      </c>
      <c r="AI9" t="s">
        <v>1013</v>
      </c>
      <c r="AJ9" s="26">
        <v>7.25</v>
      </c>
      <c r="AK9" s="22">
        <v>42661.832638888889</v>
      </c>
      <c r="AL9">
        <v>4</v>
      </c>
      <c r="AS9" t="s">
        <v>973</v>
      </c>
      <c r="AT9" t="s">
        <v>1014</v>
      </c>
      <c r="AU9" t="b">
        <f>IF(ckCodingTable[[#This Row],[ILN]]="N",SUBSTITUTE(AT8," ","")&lt;&gt;SUBSTITUTE(ckCodingTable[[#This Row],[prop_titl_txt]]," ",""), FALSE)</f>
        <v>0</v>
      </c>
      <c r="AV9">
        <v>0</v>
      </c>
      <c r="AW9" s="13">
        <v>485739</v>
      </c>
      <c r="AX9" s="13">
        <v>485739</v>
      </c>
      <c r="AY9" s="13"/>
      <c r="AZ9" s="13"/>
      <c r="BA9" s="13"/>
      <c r="BB9" s="13"/>
      <c r="BC9">
        <v>5</v>
      </c>
      <c r="BD9">
        <v>5</v>
      </c>
      <c r="BE9">
        <v>1.25</v>
      </c>
      <c r="BH9">
        <v>0</v>
      </c>
      <c r="BI9">
        <v>0</v>
      </c>
      <c r="BJ9">
        <v>0</v>
      </c>
      <c r="BK9">
        <v>0</v>
      </c>
      <c r="BL9" t="s">
        <v>1011</v>
      </c>
    </row>
    <row r="10" spans="1:64" x14ac:dyDescent="0.4">
      <c r="A10" s="30">
        <v>42677.397835648146</v>
      </c>
      <c r="B10" s="30">
        <v>42571.425000000003</v>
      </c>
      <c r="C10" t="s">
        <v>975</v>
      </c>
      <c r="D10" t="s">
        <v>222</v>
      </c>
      <c r="E10" t="s">
        <v>405</v>
      </c>
      <c r="F10" t="s">
        <v>976</v>
      </c>
      <c r="G10" t="s">
        <v>172</v>
      </c>
      <c r="H10" s="21" t="s">
        <v>94</v>
      </c>
      <c r="I10" s="87">
        <v>1</v>
      </c>
      <c r="J10" s="87">
        <v>0</v>
      </c>
      <c r="K10" t="s">
        <v>974</v>
      </c>
      <c r="L10" t="s">
        <v>422</v>
      </c>
      <c r="M10" t="s">
        <v>113</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1020</v>
      </c>
      <c r="R10" s="22">
        <v>42676.671111111114</v>
      </c>
      <c r="S10" s="21">
        <f>S9+(ckCodingTable[[#This Row],[ILN]]&lt;"M")</f>
        <v>9</v>
      </c>
      <c r="T10" s="21" t="s">
        <v>96</v>
      </c>
      <c r="U10" t="s">
        <v>1015</v>
      </c>
      <c r="V10" s="7" t="str">
        <f>HYPERLINK("https://www.ejacket.nsf.gov/ej/showProposal.do?ID="&amp;ckCodingTable[[#This Row],[prop_id]],"eJ")</f>
        <v>eJ</v>
      </c>
      <c r="W10" t="s">
        <v>224</v>
      </c>
      <c r="X10" t="s">
        <v>1015</v>
      </c>
      <c r="Y10" t="s">
        <v>1016</v>
      </c>
      <c r="Z10" t="s">
        <v>1017</v>
      </c>
      <c r="AA10" t="s">
        <v>1018</v>
      </c>
      <c r="AC10" s="30">
        <v>42917</v>
      </c>
      <c r="AD10">
        <v>60</v>
      </c>
      <c r="AE10">
        <v>1</v>
      </c>
      <c r="AH10" s="21">
        <v>3.18</v>
      </c>
      <c r="AI10" t="s">
        <v>1021</v>
      </c>
      <c r="AJ10" s="26">
        <v>4.666666666666667</v>
      </c>
      <c r="AK10" s="22">
        <v>42661.834722222222</v>
      </c>
      <c r="AL10">
        <v>3</v>
      </c>
      <c r="AS10" t="s">
        <v>973</v>
      </c>
      <c r="AT10" t="s">
        <v>1022</v>
      </c>
      <c r="AU10" t="b">
        <f>IF(ckCodingTable[[#This Row],[ILN]]="N",SUBSTITUTE(AT9," ","")&lt;&gt;SUBSTITUTE(ckCodingTable[[#This Row],[prop_titl_txt]]," ",""), FALSE)</f>
        <v>0</v>
      </c>
      <c r="AV10">
        <v>0</v>
      </c>
      <c r="AW10" s="13">
        <v>681281</v>
      </c>
      <c r="AX10" s="13">
        <v>681281</v>
      </c>
      <c r="AY10" s="13"/>
      <c r="AZ10" s="13">
        <v>15000</v>
      </c>
      <c r="BA10" s="13"/>
      <c r="BB10" s="13">
        <v>8550</v>
      </c>
      <c r="BC10">
        <v>10</v>
      </c>
      <c r="BD10">
        <v>5</v>
      </c>
      <c r="BE10">
        <v>5</v>
      </c>
      <c r="BH10">
        <v>0</v>
      </c>
      <c r="BI10">
        <v>0</v>
      </c>
      <c r="BJ10">
        <v>0</v>
      </c>
      <c r="BK10">
        <v>0</v>
      </c>
      <c r="BL10" t="s">
        <v>1019</v>
      </c>
    </row>
    <row r="11" spans="1:64" x14ac:dyDescent="0.4">
      <c r="A11" s="30">
        <v>42674.447048611109</v>
      </c>
      <c r="B11" s="30">
        <v>42571.428472222222</v>
      </c>
      <c r="C11" t="s">
        <v>975</v>
      </c>
      <c r="D11" t="s">
        <v>222</v>
      </c>
      <c r="E11" t="s">
        <v>405</v>
      </c>
      <c r="F11" t="s">
        <v>976</v>
      </c>
      <c r="G11" t="s">
        <v>172</v>
      </c>
      <c r="H11" s="21" t="s">
        <v>94</v>
      </c>
      <c r="I11" s="87">
        <v>1</v>
      </c>
      <c r="J11" s="87">
        <v>0</v>
      </c>
      <c r="K11" t="s">
        <v>974</v>
      </c>
      <c r="L11" t="s">
        <v>451</v>
      </c>
      <c r="M11" t="s">
        <v>113</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1020</v>
      </c>
      <c r="R11" s="22">
        <v>42667.539583333331</v>
      </c>
      <c r="S11" s="21">
        <f>S10+(ckCodingTable[[#This Row],[ILN]]&lt;"M")</f>
        <v>10</v>
      </c>
      <c r="T11" s="21" t="s">
        <v>96</v>
      </c>
      <c r="U11" t="s">
        <v>1023</v>
      </c>
      <c r="V11" s="7" t="str">
        <f>HYPERLINK("https://www.ejacket.nsf.gov/ej/showProposal.do?ID="&amp;ckCodingTable[[#This Row],[prop_id]],"eJ")</f>
        <v>eJ</v>
      </c>
      <c r="W11" t="s">
        <v>224</v>
      </c>
      <c r="X11" t="s">
        <v>1023</v>
      </c>
      <c r="Y11" t="s">
        <v>423</v>
      </c>
      <c r="Z11" t="s">
        <v>262</v>
      </c>
      <c r="AA11" t="s">
        <v>1018</v>
      </c>
      <c r="AC11" s="30">
        <v>42917</v>
      </c>
      <c r="AD11">
        <v>60</v>
      </c>
      <c r="AE11">
        <v>1</v>
      </c>
      <c r="AH11" s="21">
        <v>3.18</v>
      </c>
      <c r="AI11" t="s">
        <v>533</v>
      </c>
      <c r="AJ11" s="26">
        <v>6.75</v>
      </c>
      <c r="AK11" s="22">
        <v>42661.502083333333</v>
      </c>
      <c r="AL11">
        <v>4</v>
      </c>
      <c r="AS11" t="s">
        <v>973</v>
      </c>
      <c r="AT11" t="s">
        <v>1024</v>
      </c>
      <c r="AU11" t="b">
        <f>IF(ckCodingTable[[#This Row],[ILN]]="N",SUBSTITUTE(AT10," ","")&lt;&gt;SUBSTITUTE(ckCodingTable[[#This Row],[prop_titl_txt]]," ",""), FALSE)</f>
        <v>0</v>
      </c>
      <c r="AV11">
        <v>0</v>
      </c>
      <c r="AW11" s="13">
        <v>517179</v>
      </c>
      <c r="AX11" s="13">
        <v>517179</v>
      </c>
      <c r="AY11" s="13"/>
      <c r="AZ11" s="13"/>
      <c r="BA11" s="13"/>
      <c r="BB11" s="13"/>
      <c r="BC11">
        <v>5</v>
      </c>
      <c r="BD11">
        <v>5</v>
      </c>
      <c r="BE11">
        <v>6</v>
      </c>
      <c r="BH11">
        <v>0</v>
      </c>
      <c r="BI11">
        <v>0</v>
      </c>
      <c r="BJ11">
        <v>0</v>
      </c>
      <c r="BK11">
        <v>0</v>
      </c>
      <c r="BL11" t="s">
        <v>425</v>
      </c>
    </row>
    <row r="12" spans="1:64" x14ac:dyDescent="0.4">
      <c r="A12" s="30">
        <v>42674.448333333334</v>
      </c>
      <c r="B12" s="30">
        <v>42571.431250000001</v>
      </c>
      <c r="C12" t="s">
        <v>975</v>
      </c>
      <c r="D12" t="s">
        <v>222</v>
      </c>
      <c r="E12" t="s">
        <v>405</v>
      </c>
      <c r="F12" t="s">
        <v>976</v>
      </c>
      <c r="G12" t="s">
        <v>172</v>
      </c>
      <c r="H12" s="21" t="s">
        <v>94</v>
      </c>
      <c r="I12" s="87">
        <v>1</v>
      </c>
      <c r="J12" s="87">
        <v>0</v>
      </c>
      <c r="K12" t="s">
        <v>974</v>
      </c>
      <c r="L12" t="s">
        <v>451</v>
      </c>
      <c r="M12" t="s">
        <v>280</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411</v>
      </c>
      <c r="R12" s="22">
        <v>42667.540162037039</v>
      </c>
      <c r="S12" s="21">
        <f>S11+(ckCodingTable[[#This Row],[ILN]]&lt;"M")</f>
        <v>11</v>
      </c>
      <c r="T12" s="21" t="s">
        <v>96</v>
      </c>
      <c r="U12" t="s">
        <v>1025</v>
      </c>
      <c r="V12" s="7" t="str">
        <f>HYPERLINK("https://www.ejacket.nsf.gov/ej/showProposal.do?ID="&amp;ckCodingTable[[#This Row],[prop_id]],"eJ")</f>
        <v>eJ</v>
      </c>
      <c r="W12" t="s">
        <v>224</v>
      </c>
      <c r="X12" t="s">
        <v>1025</v>
      </c>
      <c r="Y12" t="s">
        <v>1026</v>
      </c>
      <c r="Z12" t="s">
        <v>1027</v>
      </c>
      <c r="AA12" t="s">
        <v>1028</v>
      </c>
      <c r="AC12" s="30">
        <v>42948</v>
      </c>
      <c r="AD12">
        <v>60</v>
      </c>
      <c r="AE12">
        <v>1</v>
      </c>
      <c r="AH12" s="21">
        <v>3.18</v>
      </c>
      <c r="AI12" t="s">
        <v>1013</v>
      </c>
      <c r="AJ12" s="26">
        <v>7.25</v>
      </c>
      <c r="AK12" s="22">
        <v>42661.607638888891</v>
      </c>
      <c r="AL12">
        <v>4</v>
      </c>
      <c r="AS12" t="s">
        <v>973</v>
      </c>
      <c r="AT12" t="s">
        <v>1030</v>
      </c>
      <c r="AU12" t="b">
        <f>IF(ckCodingTable[[#This Row],[ILN]]="N",SUBSTITUTE(AT11," ","")&lt;&gt;SUBSTITUTE(ckCodingTable[[#This Row],[prop_titl_txt]]," ",""), FALSE)</f>
        <v>0</v>
      </c>
      <c r="AV12">
        <v>0</v>
      </c>
      <c r="AW12" s="13">
        <v>535891</v>
      </c>
      <c r="AX12" s="13">
        <v>535891</v>
      </c>
      <c r="AY12" s="13"/>
      <c r="AZ12" s="13">
        <v>15928</v>
      </c>
      <c r="BA12" s="13"/>
      <c r="BB12" s="13"/>
      <c r="BC12">
        <v>5</v>
      </c>
      <c r="BD12">
        <v>5</v>
      </c>
      <c r="BE12">
        <v>5</v>
      </c>
      <c r="BH12">
        <v>0</v>
      </c>
      <c r="BI12">
        <v>0</v>
      </c>
      <c r="BJ12">
        <v>0</v>
      </c>
      <c r="BK12">
        <v>0</v>
      </c>
      <c r="BL12" t="s">
        <v>1029</v>
      </c>
    </row>
    <row r="13" spans="1:64" x14ac:dyDescent="0.4">
      <c r="A13" s="30">
        <v>42682.371863425928</v>
      </c>
      <c r="B13" s="30">
        <v>42571.449305555558</v>
      </c>
      <c r="C13" t="s">
        <v>975</v>
      </c>
      <c r="D13" t="s">
        <v>222</v>
      </c>
      <c r="E13" t="s">
        <v>405</v>
      </c>
      <c r="F13" t="s">
        <v>976</v>
      </c>
      <c r="G13" t="s">
        <v>172</v>
      </c>
      <c r="H13" s="21" t="s">
        <v>94</v>
      </c>
      <c r="I13" s="87">
        <v>1</v>
      </c>
      <c r="J13" s="87">
        <v>0</v>
      </c>
      <c r="K13" t="s">
        <v>974</v>
      </c>
      <c r="L13" t="s">
        <v>406</v>
      </c>
      <c r="M13" t="s">
        <v>491</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411</v>
      </c>
      <c r="R13" s="22">
        <v>42681.568692129629</v>
      </c>
      <c r="S13" s="21">
        <f>S12+(ckCodingTable[[#This Row],[ILN]]&lt;"M")</f>
        <v>12</v>
      </c>
      <c r="T13" s="21" t="s">
        <v>96</v>
      </c>
      <c r="U13" t="s">
        <v>1031</v>
      </c>
      <c r="V13" s="7" t="str">
        <f>HYPERLINK("https://www.ejacket.nsf.gov/ej/showProposal.do?ID="&amp;ckCodingTable[[#This Row],[prop_id]],"eJ")</f>
        <v>eJ</v>
      </c>
      <c r="W13" t="s">
        <v>224</v>
      </c>
      <c r="X13" t="s">
        <v>1031</v>
      </c>
      <c r="Y13" t="s">
        <v>1032</v>
      </c>
      <c r="Z13" t="s">
        <v>1033</v>
      </c>
      <c r="AA13" t="s">
        <v>490</v>
      </c>
      <c r="AC13" s="30">
        <v>42767</v>
      </c>
      <c r="AD13">
        <v>60</v>
      </c>
      <c r="AE13">
        <v>1</v>
      </c>
      <c r="AH13" s="21">
        <v>2.08</v>
      </c>
      <c r="AI13" t="s">
        <v>1035</v>
      </c>
      <c r="AJ13" s="26">
        <v>7.25</v>
      </c>
      <c r="AK13" s="22">
        <v>42661.406944444447</v>
      </c>
      <c r="AL13">
        <v>4</v>
      </c>
      <c r="AS13" t="s">
        <v>973</v>
      </c>
      <c r="AT13" t="s">
        <v>1036</v>
      </c>
      <c r="AU13" t="b">
        <f>IF(ckCodingTable[[#This Row],[ILN]]="N",SUBSTITUTE(AT12," ","")&lt;&gt;SUBSTITUTE(ckCodingTable[[#This Row],[prop_titl_txt]]," ",""), FALSE)</f>
        <v>0</v>
      </c>
      <c r="AV13">
        <v>0</v>
      </c>
      <c r="AW13" s="13">
        <v>521233</v>
      </c>
      <c r="AX13" s="13">
        <v>521233</v>
      </c>
      <c r="AY13" s="13"/>
      <c r="AZ13" s="13">
        <v>8762</v>
      </c>
      <c r="BA13" s="13"/>
      <c r="BB13" s="13">
        <v>8000</v>
      </c>
      <c r="BC13">
        <v>5</v>
      </c>
      <c r="BD13">
        <v>5</v>
      </c>
      <c r="BE13">
        <v>5</v>
      </c>
      <c r="BH13">
        <v>0</v>
      </c>
      <c r="BI13">
        <v>0</v>
      </c>
      <c r="BJ13">
        <v>0</v>
      </c>
      <c r="BK13">
        <v>0</v>
      </c>
      <c r="BL13" t="s">
        <v>1034</v>
      </c>
    </row>
    <row r="14" spans="1:64" x14ac:dyDescent="0.4">
      <c r="A14" s="30">
        <v>42676.693969907406</v>
      </c>
      <c r="B14" s="30">
        <v>42571.455555555556</v>
      </c>
      <c r="C14" t="s">
        <v>975</v>
      </c>
      <c r="D14" t="s">
        <v>222</v>
      </c>
      <c r="E14" t="s">
        <v>405</v>
      </c>
      <c r="F14" t="s">
        <v>976</v>
      </c>
      <c r="G14" t="s">
        <v>172</v>
      </c>
      <c r="H14" s="21" t="s">
        <v>94</v>
      </c>
      <c r="I14" s="87">
        <v>1</v>
      </c>
      <c r="J14" s="87">
        <v>0</v>
      </c>
      <c r="K14" t="s">
        <v>974</v>
      </c>
      <c r="L14" t="s">
        <v>406</v>
      </c>
      <c r="M14" t="s">
        <v>283</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411</v>
      </c>
      <c r="R14" s="22">
        <v>42674.614074074074</v>
      </c>
      <c r="S14" s="21">
        <f>S13+(ckCodingTable[[#This Row],[ILN]]&lt;"M")</f>
        <v>13</v>
      </c>
      <c r="T14" s="21" t="s">
        <v>96</v>
      </c>
      <c r="U14" t="s">
        <v>1037</v>
      </c>
      <c r="V14" s="7" t="str">
        <f>HYPERLINK("https://www.ejacket.nsf.gov/ej/showProposal.do?ID="&amp;ckCodingTable[[#This Row],[prop_id]],"eJ")</f>
        <v>eJ</v>
      </c>
      <c r="W14" t="s">
        <v>224</v>
      </c>
      <c r="X14" t="s">
        <v>1037</v>
      </c>
      <c r="Y14" t="s">
        <v>1038</v>
      </c>
      <c r="Z14" t="s">
        <v>1039</v>
      </c>
      <c r="AA14" t="s">
        <v>1040</v>
      </c>
      <c r="AC14" s="30">
        <v>42917</v>
      </c>
      <c r="AD14">
        <v>60</v>
      </c>
      <c r="AE14">
        <v>1</v>
      </c>
      <c r="AH14" s="21">
        <v>3.18</v>
      </c>
      <c r="AI14" t="s">
        <v>1042</v>
      </c>
      <c r="AJ14" s="26">
        <v>6.25</v>
      </c>
      <c r="AK14" s="22">
        <v>42660.753472222219</v>
      </c>
      <c r="AL14">
        <v>4</v>
      </c>
      <c r="AO14">
        <v>1</v>
      </c>
      <c r="AS14" t="s">
        <v>973</v>
      </c>
      <c r="AT14" t="s">
        <v>1043</v>
      </c>
      <c r="AU14" t="b">
        <f>IF(ckCodingTable[[#This Row],[ILN]]="N",SUBSTITUTE(AT13," ","")&lt;&gt;SUBSTITUTE(ckCodingTable[[#This Row],[prop_titl_txt]]," ",""), FALSE)</f>
        <v>0</v>
      </c>
      <c r="AV14">
        <v>0</v>
      </c>
      <c r="AW14" s="13">
        <v>600000</v>
      </c>
      <c r="AX14" s="13">
        <v>600000</v>
      </c>
      <c r="AY14" s="13"/>
      <c r="AZ14" s="13">
        <v>23000</v>
      </c>
      <c r="BA14" s="13"/>
      <c r="BB14" s="13"/>
      <c r="BC14">
        <v>5</v>
      </c>
      <c r="BD14">
        <v>5</v>
      </c>
      <c r="BE14">
        <v>5</v>
      </c>
      <c r="BH14">
        <v>0</v>
      </c>
      <c r="BI14">
        <v>0</v>
      </c>
      <c r="BJ14">
        <v>0</v>
      </c>
      <c r="BK14">
        <v>0</v>
      </c>
      <c r="BL14" t="s">
        <v>1041</v>
      </c>
    </row>
    <row r="15" spans="1:64" x14ac:dyDescent="0.4">
      <c r="A15" s="30">
        <v>42677.555532407408</v>
      </c>
      <c r="B15" s="30">
        <v>42571.484722222223</v>
      </c>
      <c r="C15" t="s">
        <v>975</v>
      </c>
      <c r="D15" t="s">
        <v>222</v>
      </c>
      <c r="E15" t="s">
        <v>405</v>
      </c>
      <c r="F15" t="s">
        <v>976</v>
      </c>
      <c r="G15" t="s">
        <v>172</v>
      </c>
      <c r="H15" s="21" t="s">
        <v>94</v>
      </c>
      <c r="I15" s="87">
        <v>1</v>
      </c>
      <c r="J15" s="87">
        <v>0</v>
      </c>
      <c r="K15" t="s">
        <v>974</v>
      </c>
      <c r="L15" t="s">
        <v>422</v>
      </c>
      <c r="M15" t="s">
        <v>280</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411</v>
      </c>
      <c r="R15" s="22">
        <v>42677.46193287037</v>
      </c>
      <c r="S15" s="21">
        <f>S14+(ckCodingTable[[#This Row],[ILN]]&lt;"M")</f>
        <v>14</v>
      </c>
      <c r="T15" s="21" t="s">
        <v>96</v>
      </c>
      <c r="U15" t="s">
        <v>1044</v>
      </c>
      <c r="V15" s="7" t="str">
        <f>HYPERLINK("https://www.ejacket.nsf.gov/ej/showProposal.do?ID="&amp;ckCodingTable[[#This Row],[prop_id]],"eJ")</f>
        <v>eJ</v>
      </c>
      <c r="W15" t="s">
        <v>224</v>
      </c>
      <c r="X15" t="s">
        <v>1044</v>
      </c>
      <c r="Y15" t="s">
        <v>1045</v>
      </c>
      <c r="Z15" t="s">
        <v>1046</v>
      </c>
      <c r="AA15" t="s">
        <v>1028</v>
      </c>
      <c r="AC15" s="30">
        <v>42856</v>
      </c>
      <c r="AD15">
        <v>60</v>
      </c>
      <c r="AE15">
        <v>1</v>
      </c>
      <c r="AH15" s="21">
        <v>3.18</v>
      </c>
      <c r="AI15" t="s">
        <v>984</v>
      </c>
      <c r="AJ15" s="26">
        <v>7.5</v>
      </c>
      <c r="AK15" s="22">
        <v>42660.408333333333</v>
      </c>
      <c r="AL15">
        <v>4</v>
      </c>
      <c r="AS15" t="s">
        <v>973</v>
      </c>
      <c r="AT15" t="s">
        <v>1048</v>
      </c>
      <c r="AU15" t="b">
        <f>IF(ckCodingTable[[#This Row],[ILN]]="N",SUBSTITUTE(AT14," ","")&lt;&gt;SUBSTITUTE(ckCodingTable[[#This Row],[prop_titl_txt]]," ",""), FALSE)</f>
        <v>0</v>
      </c>
      <c r="AV15">
        <v>0</v>
      </c>
      <c r="AW15" s="13">
        <v>534704</v>
      </c>
      <c r="AX15" s="13">
        <v>534704</v>
      </c>
      <c r="AY15" s="13"/>
      <c r="AZ15" s="13">
        <v>15928</v>
      </c>
      <c r="BA15" s="13"/>
      <c r="BB15" s="13"/>
      <c r="BC15">
        <v>5</v>
      </c>
      <c r="BD15">
        <v>5</v>
      </c>
      <c r="BE15">
        <v>5</v>
      </c>
      <c r="BH15">
        <v>0</v>
      </c>
      <c r="BI15">
        <v>0</v>
      </c>
      <c r="BJ15">
        <v>0</v>
      </c>
      <c r="BK15">
        <v>0</v>
      </c>
      <c r="BL15" t="s">
        <v>1047</v>
      </c>
    </row>
    <row r="16" spans="1:64" x14ac:dyDescent="0.4">
      <c r="A16" s="30">
        <v>42740.404988425929</v>
      </c>
      <c r="B16" s="30">
        <v>42571.563888888886</v>
      </c>
      <c r="C16" t="s">
        <v>975</v>
      </c>
      <c r="D16" t="s">
        <v>222</v>
      </c>
      <c r="E16" t="s">
        <v>405</v>
      </c>
      <c r="F16" t="s">
        <v>992</v>
      </c>
      <c r="G16" t="s">
        <v>172</v>
      </c>
      <c r="H16" s="21" t="s">
        <v>94</v>
      </c>
      <c r="I16" s="87">
        <v>1</v>
      </c>
      <c r="J16" s="87">
        <v>0</v>
      </c>
      <c r="K16" t="s">
        <v>974</v>
      </c>
      <c r="L16" t="s">
        <v>406</v>
      </c>
      <c r="M16" t="s">
        <v>1053</v>
      </c>
      <c r="N16" t="str">
        <f>IF(SUM(ckCodingTable[[#This Row],[NfmlPIs]:[NnonWhtAsnPIs]])&gt;0,"WMD","")</f>
        <v/>
      </c>
      <c r="O16" t="b">
        <f>_xlfn.XOR(IFERROR(MATCH(ckCodingTable[[#This Row],[st_code]],EpscorTable[],0)&gt;0,FALSE),IFERROR(FIND("9150",ckCodingTable[[#This Row],[propPRCs]])&gt;0,FALSE))</f>
        <v>0</v>
      </c>
      <c r="P16" s="21" t="b">
        <f>_xlfn.XOR(ckCodingTable[[#This Row],[wmd]]&lt;&gt;"",IFERROR(FIND("9102",ckCodingTable[[#This Row],[propPRCs]])&gt;0,FALSE))</f>
        <v>0</v>
      </c>
      <c r="Q16" t="s">
        <v>419</v>
      </c>
      <c r="R16" s="22">
        <v>42738.658738425926</v>
      </c>
      <c r="S16" s="21">
        <f>S15+(ckCodingTable[[#This Row],[ILN]]&lt;"M")</f>
        <v>15</v>
      </c>
      <c r="T16" s="21" t="s">
        <v>96</v>
      </c>
      <c r="U16" t="s">
        <v>1049</v>
      </c>
      <c r="V16" s="7" t="str">
        <f>HYPERLINK("https://www.ejacket.nsf.gov/ej/showProposal.do?ID="&amp;ckCodingTable[[#This Row],[prop_id]],"eJ")</f>
        <v>eJ</v>
      </c>
      <c r="W16" t="s">
        <v>224</v>
      </c>
      <c r="X16" t="s">
        <v>1049</v>
      </c>
      <c r="Y16" t="s">
        <v>1050</v>
      </c>
      <c r="Z16" t="s">
        <v>1051</v>
      </c>
      <c r="AA16" t="s">
        <v>1052</v>
      </c>
      <c r="AC16" s="30">
        <v>42767</v>
      </c>
      <c r="AD16">
        <v>60</v>
      </c>
      <c r="AE16">
        <v>1</v>
      </c>
      <c r="AH16" s="21">
        <v>1.02</v>
      </c>
      <c r="AI16" t="s">
        <v>1055</v>
      </c>
      <c r="AJ16" s="26">
        <v>8</v>
      </c>
      <c r="AK16" s="22">
        <v>42661.31527777778</v>
      </c>
      <c r="AL16">
        <v>4</v>
      </c>
      <c r="AS16" t="s">
        <v>991</v>
      </c>
      <c r="AT16" t="s">
        <v>1056</v>
      </c>
      <c r="AU16" t="b">
        <f>IF(ckCodingTable[[#This Row],[ILN]]="N",SUBSTITUTE(AT15," ","")&lt;&gt;SUBSTITUTE(ckCodingTable[[#This Row],[prop_titl_txt]]," ",""), FALSE)</f>
        <v>0</v>
      </c>
      <c r="AV16">
        <v>0</v>
      </c>
      <c r="AW16" s="13">
        <v>511429</v>
      </c>
      <c r="AX16" s="13">
        <v>511429</v>
      </c>
      <c r="AY16" s="13"/>
      <c r="AZ16" s="13">
        <v>20000</v>
      </c>
      <c r="BA16" s="13"/>
      <c r="BB16" s="13"/>
      <c r="BC16">
        <v>5</v>
      </c>
      <c r="BD16">
        <v>5</v>
      </c>
      <c r="BE16">
        <v>5</v>
      </c>
      <c r="BH16">
        <v>0</v>
      </c>
      <c r="BI16">
        <v>0</v>
      </c>
      <c r="BJ16">
        <v>0</v>
      </c>
      <c r="BK16">
        <v>0</v>
      </c>
      <c r="BL16" t="s">
        <v>1054</v>
      </c>
    </row>
    <row r="17" spans="1:64" x14ac:dyDescent="0.4">
      <c r="A17" s="30">
        <v>42677.393472222226</v>
      </c>
      <c r="B17" s="30">
        <v>42571.569444444445</v>
      </c>
      <c r="C17" t="s">
        <v>975</v>
      </c>
      <c r="D17" t="s">
        <v>222</v>
      </c>
      <c r="E17" t="s">
        <v>405</v>
      </c>
      <c r="F17" t="s">
        <v>976</v>
      </c>
      <c r="G17" t="s">
        <v>172</v>
      </c>
      <c r="H17" s="21" t="s">
        <v>94</v>
      </c>
      <c r="I17" s="87">
        <v>1</v>
      </c>
      <c r="J17" s="87">
        <v>0</v>
      </c>
      <c r="K17" t="s">
        <v>974</v>
      </c>
      <c r="L17" t="s">
        <v>451</v>
      </c>
      <c r="M17" t="s">
        <v>455</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1062</v>
      </c>
      <c r="R17" s="22">
        <v>42677.385023148148</v>
      </c>
      <c r="S17" s="21">
        <f>S16+(ckCodingTable[[#This Row],[ILN]]&lt;"M")</f>
        <v>16</v>
      </c>
      <c r="T17" s="21" t="s">
        <v>96</v>
      </c>
      <c r="U17" t="s">
        <v>1057</v>
      </c>
      <c r="V17" s="7" t="str">
        <f>HYPERLINK("https://www.ejacket.nsf.gov/ej/showProposal.do?ID="&amp;ckCodingTable[[#This Row],[prop_id]],"eJ")</f>
        <v>eJ</v>
      </c>
      <c r="W17" t="s">
        <v>224</v>
      </c>
      <c r="X17" t="s">
        <v>1057</v>
      </c>
      <c r="Y17" t="s">
        <v>1058</v>
      </c>
      <c r="Z17" t="s">
        <v>1059</v>
      </c>
      <c r="AA17" t="s">
        <v>1060</v>
      </c>
      <c r="AC17" s="30">
        <v>42736</v>
      </c>
      <c r="AD17">
        <v>60</v>
      </c>
      <c r="AE17">
        <v>1</v>
      </c>
      <c r="AH17" s="21">
        <v>2.11</v>
      </c>
      <c r="AI17" t="s">
        <v>1063</v>
      </c>
      <c r="AJ17" s="26">
        <v>6.5</v>
      </c>
      <c r="AK17" s="22">
        <v>42659.915972222225</v>
      </c>
      <c r="AL17">
        <v>4</v>
      </c>
      <c r="AS17" t="s">
        <v>973</v>
      </c>
      <c r="AT17" t="s">
        <v>1064</v>
      </c>
      <c r="AU17" t="b">
        <f>IF(ckCodingTable[[#This Row],[ILN]]="N",SUBSTITUTE(AT16," ","")&lt;&gt;SUBSTITUTE(ckCodingTable[[#This Row],[prop_titl_txt]]," ",""), FALSE)</f>
        <v>0</v>
      </c>
      <c r="AV17">
        <v>0</v>
      </c>
      <c r="AW17" s="13">
        <v>502206</v>
      </c>
      <c r="AX17" s="13">
        <v>502206</v>
      </c>
      <c r="AY17" s="13"/>
      <c r="AZ17" s="13"/>
      <c r="BA17" s="13"/>
      <c r="BB17" s="13"/>
      <c r="BC17">
        <v>5</v>
      </c>
      <c r="BD17">
        <v>5</v>
      </c>
      <c r="BE17">
        <v>9</v>
      </c>
      <c r="BH17">
        <v>0</v>
      </c>
      <c r="BI17">
        <v>0</v>
      </c>
      <c r="BJ17">
        <v>0</v>
      </c>
      <c r="BK17">
        <v>0</v>
      </c>
      <c r="BL17" t="s">
        <v>1061</v>
      </c>
    </row>
    <row r="18" spans="1:64" x14ac:dyDescent="0.4">
      <c r="A18" s="30">
        <v>42674.449259259258</v>
      </c>
      <c r="B18" s="30">
        <v>42571.574305555558</v>
      </c>
      <c r="C18" t="s">
        <v>975</v>
      </c>
      <c r="D18" t="s">
        <v>222</v>
      </c>
      <c r="E18" t="s">
        <v>405</v>
      </c>
      <c r="F18" t="s">
        <v>976</v>
      </c>
      <c r="G18" t="s">
        <v>172</v>
      </c>
      <c r="H18" s="21" t="s">
        <v>94</v>
      </c>
      <c r="I18" s="87">
        <v>1</v>
      </c>
      <c r="J18" s="87">
        <v>0</v>
      </c>
      <c r="K18" t="s">
        <v>974</v>
      </c>
      <c r="L18" t="s">
        <v>451</v>
      </c>
      <c r="M18" t="s">
        <v>491</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411</v>
      </c>
      <c r="R18" s="22">
        <v>42667.539884259262</v>
      </c>
      <c r="S18" s="21">
        <f>S17+(ckCodingTable[[#This Row],[ILN]]&lt;"M")</f>
        <v>17</v>
      </c>
      <c r="T18" s="21" t="s">
        <v>96</v>
      </c>
      <c r="U18" t="s">
        <v>1065</v>
      </c>
      <c r="V18" s="7" t="str">
        <f>HYPERLINK("https://www.ejacket.nsf.gov/ej/showProposal.do?ID="&amp;ckCodingTable[[#This Row],[prop_id]],"eJ")</f>
        <v>eJ</v>
      </c>
      <c r="W18" t="s">
        <v>224</v>
      </c>
      <c r="X18" t="s">
        <v>1065</v>
      </c>
      <c r="Y18" t="s">
        <v>488</v>
      </c>
      <c r="Z18" t="s">
        <v>489</v>
      </c>
      <c r="AA18" t="s">
        <v>490</v>
      </c>
      <c r="AC18" s="30">
        <v>42767</v>
      </c>
      <c r="AD18">
        <v>60</v>
      </c>
      <c r="AE18">
        <v>1</v>
      </c>
      <c r="AH18" s="21">
        <v>3.18</v>
      </c>
      <c r="AI18" t="s">
        <v>510</v>
      </c>
      <c r="AJ18" s="26">
        <v>6.5</v>
      </c>
      <c r="AK18" s="22">
        <v>42660.885416666664</v>
      </c>
      <c r="AL18">
        <v>4</v>
      </c>
      <c r="AS18" t="s">
        <v>973</v>
      </c>
      <c r="AT18" t="s">
        <v>493</v>
      </c>
      <c r="AU18" t="b">
        <f>IF(ckCodingTable[[#This Row],[ILN]]="N",SUBSTITUTE(AT17," ","")&lt;&gt;SUBSTITUTE(ckCodingTable[[#This Row],[prop_titl_txt]]," ",""), FALSE)</f>
        <v>0</v>
      </c>
      <c r="AV18">
        <v>0</v>
      </c>
      <c r="AW18" s="13">
        <v>529408</v>
      </c>
      <c r="AX18" s="13">
        <v>529408</v>
      </c>
      <c r="AY18" s="13"/>
      <c r="AZ18" s="13">
        <v>13273</v>
      </c>
      <c r="BA18" s="13"/>
      <c r="BB18" s="13">
        <v>16000</v>
      </c>
      <c r="BC18">
        <v>5</v>
      </c>
      <c r="BD18">
        <v>5</v>
      </c>
      <c r="BE18">
        <v>8</v>
      </c>
      <c r="BH18">
        <v>0</v>
      </c>
      <c r="BI18">
        <v>0</v>
      </c>
      <c r="BJ18">
        <v>0</v>
      </c>
      <c r="BK18">
        <v>0</v>
      </c>
      <c r="BL18" t="s">
        <v>492</v>
      </c>
    </row>
    <row r="19" spans="1:64" x14ac:dyDescent="0.4">
      <c r="A19" s="30">
        <v>42724.53979166667</v>
      </c>
      <c r="B19" s="30">
        <v>42571.576388888891</v>
      </c>
      <c r="C19" t="s">
        <v>975</v>
      </c>
      <c r="D19" t="s">
        <v>222</v>
      </c>
      <c r="E19" t="s">
        <v>405</v>
      </c>
      <c r="F19" t="s">
        <v>992</v>
      </c>
      <c r="G19" t="s">
        <v>172</v>
      </c>
      <c r="H19" s="21" t="s">
        <v>94</v>
      </c>
      <c r="I19" s="87">
        <v>1</v>
      </c>
      <c r="J19" s="87">
        <v>0</v>
      </c>
      <c r="K19" t="s">
        <v>974</v>
      </c>
      <c r="L19" t="s">
        <v>422</v>
      </c>
      <c r="M19" t="s">
        <v>282</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411</v>
      </c>
      <c r="R19" s="22">
        <v>42723.511550925927</v>
      </c>
      <c r="S19" s="21">
        <f>S18+(ckCodingTable[[#This Row],[ILN]]&lt;"M")</f>
        <v>18</v>
      </c>
      <c r="T19" s="21" t="s">
        <v>96</v>
      </c>
      <c r="U19" t="s">
        <v>1066</v>
      </c>
      <c r="V19" s="7" t="str">
        <f>HYPERLINK("https://www.ejacket.nsf.gov/ej/showProposal.do?ID="&amp;ckCodingTable[[#This Row],[prop_id]],"eJ")</f>
        <v>eJ</v>
      </c>
      <c r="W19" t="s">
        <v>224</v>
      </c>
      <c r="X19" t="s">
        <v>1066</v>
      </c>
      <c r="Y19" t="s">
        <v>1067</v>
      </c>
      <c r="Z19" t="s">
        <v>1068</v>
      </c>
      <c r="AA19" t="s">
        <v>495</v>
      </c>
      <c r="AC19" s="30">
        <v>42948</v>
      </c>
      <c r="AD19">
        <v>60</v>
      </c>
      <c r="AE19">
        <v>1</v>
      </c>
      <c r="AH19" s="21">
        <v>2.08</v>
      </c>
      <c r="AI19" t="s">
        <v>1070</v>
      </c>
      <c r="AJ19" s="26">
        <v>7</v>
      </c>
      <c r="AK19" s="22">
        <v>42660.072916666664</v>
      </c>
      <c r="AL19">
        <v>5</v>
      </c>
      <c r="AS19" t="s">
        <v>991</v>
      </c>
      <c r="AT19" t="s">
        <v>1071</v>
      </c>
      <c r="AU19" t="b">
        <f>IF(ckCodingTable[[#This Row],[ILN]]="N",SUBSTITUTE(AT18," ","")&lt;&gt;SUBSTITUTE(ckCodingTable[[#This Row],[prop_titl_txt]]," ",""), FALSE)</f>
        <v>0</v>
      </c>
      <c r="AV19">
        <v>2</v>
      </c>
      <c r="AW19" s="13">
        <v>628332</v>
      </c>
      <c r="AX19" s="13">
        <v>500000</v>
      </c>
      <c r="AY19" s="13"/>
      <c r="AZ19" s="13">
        <v>18337</v>
      </c>
      <c r="BA19" s="13"/>
      <c r="BB19" s="13">
        <v>9955</v>
      </c>
      <c r="BC19">
        <v>5</v>
      </c>
      <c r="BD19">
        <v>5</v>
      </c>
      <c r="BG19">
        <v>4.5</v>
      </c>
      <c r="BH19">
        <v>0</v>
      </c>
      <c r="BI19">
        <v>0</v>
      </c>
      <c r="BJ19">
        <v>0</v>
      </c>
      <c r="BK19">
        <v>0</v>
      </c>
      <c r="BL19" t="s">
        <v>1069</v>
      </c>
    </row>
    <row r="20" spans="1:64" x14ac:dyDescent="0.4">
      <c r="A20" s="30">
        <v>42724.488344907404</v>
      </c>
      <c r="B20" s="30">
        <v>42571.592361111114</v>
      </c>
      <c r="C20" t="s">
        <v>975</v>
      </c>
      <c r="D20" t="s">
        <v>222</v>
      </c>
      <c r="E20" t="s">
        <v>405</v>
      </c>
      <c r="F20" t="s">
        <v>992</v>
      </c>
      <c r="G20" t="s">
        <v>172</v>
      </c>
      <c r="H20" s="21" t="s">
        <v>94</v>
      </c>
      <c r="I20" s="87">
        <v>1</v>
      </c>
      <c r="J20" s="87">
        <v>0</v>
      </c>
      <c r="K20" t="s">
        <v>974</v>
      </c>
      <c r="L20" t="s">
        <v>422</v>
      </c>
      <c r="M20" t="s">
        <v>280</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411</v>
      </c>
      <c r="R20" s="22">
        <v>42723.459907407407</v>
      </c>
      <c r="S20" s="21">
        <f>S19+(ckCodingTable[[#This Row],[ILN]]&lt;"M")</f>
        <v>19</v>
      </c>
      <c r="T20" s="21" t="s">
        <v>96</v>
      </c>
      <c r="U20" t="s">
        <v>1072</v>
      </c>
      <c r="V20" s="7" t="str">
        <f>HYPERLINK("https://www.ejacket.nsf.gov/ej/showProposal.do?ID="&amp;ckCodingTable[[#This Row],[prop_id]],"eJ")</f>
        <v>eJ</v>
      </c>
      <c r="W20" t="s">
        <v>224</v>
      </c>
      <c r="X20" t="s">
        <v>1072</v>
      </c>
      <c r="Y20" t="s">
        <v>1073</v>
      </c>
      <c r="Z20" t="s">
        <v>1074</v>
      </c>
      <c r="AA20" t="s">
        <v>1075</v>
      </c>
      <c r="AC20" s="30">
        <v>42917</v>
      </c>
      <c r="AD20">
        <v>60</v>
      </c>
      <c r="AE20">
        <v>1</v>
      </c>
      <c r="AH20" s="21">
        <v>1.01</v>
      </c>
      <c r="AI20" t="s">
        <v>1077</v>
      </c>
      <c r="AJ20" s="26">
        <v>7.75</v>
      </c>
      <c r="AK20" s="22">
        <v>42659.771527777775</v>
      </c>
      <c r="AL20">
        <v>4</v>
      </c>
      <c r="AO20">
        <v>2</v>
      </c>
      <c r="AS20" t="s">
        <v>991</v>
      </c>
      <c r="AT20" t="s">
        <v>1078</v>
      </c>
      <c r="AU20" t="b">
        <f>IF(ckCodingTable[[#This Row],[ILN]]="N",SUBSTITUTE(AT19," ","")&lt;&gt;SUBSTITUTE(ckCodingTable[[#This Row],[prop_titl_txt]]," ",""), FALSE)</f>
        <v>0</v>
      </c>
      <c r="AV20">
        <v>1</v>
      </c>
      <c r="AW20" s="13">
        <v>597084</v>
      </c>
      <c r="AX20" s="13">
        <v>549986</v>
      </c>
      <c r="AY20" s="13"/>
      <c r="AZ20" s="13">
        <v>17500</v>
      </c>
      <c r="BA20" s="13"/>
      <c r="BB20" s="13"/>
      <c r="BC20">
        <v>5</v>
      </c>
      <c r="BD20">
        <v>5</v>
      </c>
      <c r="BE20">
        <v>5</v>
      </c>
      <c r="BH20">
        <v>2</v>
      </c>
      <c r="BI20">
        <v>0</v>
      </c>
      <c r="BJ20">
        <v>0</v>
      </c>
      <c r="BK20">
        <v>0</v>
      </c>
      <c r="BL20" t="s">
        <v>1076</v>
      </c>
    </row>
    <row r="21" spans="1:64" x14ac:dyDescent="0.4">
      <c r="A21" s="30">
        <v>42684.468310185184</v>
      </c>
      <c r="B21" s="30">
        <v>42571.602777777778</v>
      </c>
      <c r="C21" t="s">
        <v>975</v>
      </c>
      <c r="D21" t="s">
        <v>222</v>
      </c>
      <c r="E21" t="s">
        <v>405</v>
      </c>
      <c r="F21" t="s">
        <v>976</v>
      </c>
      <c r="G21" t="s">
        <v>172</v>
      </c>
      <c r="H21" s="21" t="s">
        <v>94</v>
      </c>
      <c r="I21" s="87">
        <v>0.01</v>
      </c>
      <c r="J21" s="87">
        <v>0</v>
      </c>
      <c r="K21" t="s">
        <v>974</v>
      </c>
      <c r="L21" t="s">
        <v>422</v>
      </c>
      <c r="M21" t="s">
        <v>279</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411</v>
      </c>
      <c r="R21" s="22">
        <v>42683.705682870372</v>
      </c>
      <c r="S21" s="21">
        <f>S20+(ckCodingTable[[#This Row],[ILN]]&lt;"M")</f>
        <v>20</v>
      </c>
      <c r="T21" s="21" t="s">
        <v>96</v>
      </c>
      <c r="U21" t="s">
        <v>1079</v>
      </c>
      <c r="V21" s="7" t="str">
        <f>HYPERLINK("https://www.ejacket.nsf.gov/ej/showProposal.do?ID="&amp;ckCodingTable[[#This Row],[prop_id]],"eJ")</f>
        <v>eJ</v>
      </c>
      <c r="W21" t="s">
        <v>224</v>
      </c>
      <c r="X21" t="s">
        <v>1079</v>
      </c>
      <c r="Y21" t="s">
        <v>1080</v>
      </c>
      <c r="Z21" t="s">
        <v>1081</v>
      </c>
      <c r="AA21" t="s">
        <v>1082</v>
      </c>
      <c r="AC21" s="30">
        <v>42644</v>
      </c>
      <c r="AD21">
        <v>60</v>
      </c>
      <c r="AE21">
        <v>1</v>
      </c>
      <c r="AH21" s="21">
        <v>2.14</v>
      </c>
      <c r="AI21" t="s">
        <v>533</v>
      </c>
      <c r="AJ21" s="26">
        <v>6.75</v>
      </c>
      <c r="AK21" s="22">
        <v>42661.84375</v>
      </c>
      <c r="AL21">
        <v>4</v>
      </c>
      <c r="AS21" t="s">
        <v>973</v>
      </c>
      <c r="AT21" t="s">
        <v>1084</v>
      </c>
      <c r="AU21" t="b">
        <f>IF(ckCodingTable[[#This Row],[ILN]]="N",SUBSTITUTE(AT20," ","")&lt;&gt;SUBSTITUTE(ckCodingTable[[#This Row],[prop_titl_txt]]," ",""), FALSE)</f>
        <v>0</v>
      </c>
      <c r="AV21">
        <v>0</v>
      </c>
      <c r="AW21" s="13">
        <v>483059</v>
      </c>
      <c r="AX21" s="13">
        <v>483059</v>
      </c>
      <c r="AY21" s="13"/>
      <c r="AZ21" s="13"/>
      <c r="BA21" s="13"/>
      <c r="BB21" s="13"/>
      <c r="BC21">
        <v>6</v>
      </c>
      <c r="BD21">
        <v>5</v>
      </c>
      <c r="BE21">
        <v>5</v>
      </c>
      <c r="BH21">
        <v>0</v>
      </c>
      <c r="BI21">
        <v>0</v>
      </c>
      <c r="BJ21">
        <v>0</v>
      </c>
      <c r="BK21">
        <v>0</v>
      </c>
      <c r="BL21" t="s">
        <v>1083</v>
      </c>
    </row>
    <row r="22" spans="1:64" x14ac:dyDescent="0.4">
      <c r="A22" s="30">
        <v>42802.699930555558</v>
      </c>
      <c r="B22" s="30">
        <v>42571.640972222223</v>
      </c>
      <c r="C22" t="s">
        <v>975</v>
      </c>
      <c r="D22" t="s">
        <v>222</v>
      </c>
      <c r="E22" t="s">
        <v>405</v>
      </c>
      <c r="F22" t="s">
        <v>992</v>
      </c>
      <c r="G22" t="s">
        <v>172</v>
      </c>
      <c r="H22" s="21" t="s">
        <v>94</v>
      </c>
      <c r="I22" s="87">
        <v>1</v>
      </c>
      <c r="J22" s="87">
        <v>0</v>
      </c>
      <c r="K22" t="s">
        <v>974</v>
      </c>
      <c r="L22" t="s">
        <v>451</v>
      </c>
      <c r="M22" t="s">
        <v>455</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Q22" t="s">
        <v>411</v>
      </c>
      <c r="R22" s="22">
        <v>42762.498981481483</v>
      </c>
      <c r="S22" s="21">
        <f>S21+(ckCodingTable[[#This Row],[ILN]]&lt;"M")</f>
        <v>21</v>
      </c>
      <c r="T22" s="21" t="s">
        <v>96</v>
      </c>
      <c r="U22" t="s">
        <v>1085</v>
      </c>
      <c r="V22" s="7" t="str">
        <f>HYPERLINK("https://www.ejacket.nsf.gov/ej/showProposal.do?ID="&amp;ckCodingTable[[#This Row],[prop_id]],"eJ")</f>
        <v>eJ</v>
      </c>
      <c r="W22" t="s">
        <v>224</v>
      </c>
      <c r="X22" t="s">
        <v>1085</v>
      </c>
      <c r="Y22" t="s">
        <v>1086</v>
      </c>
      <c r="Z22" t="s">
        <v>1087</v>
      </c>
      <c r="AA22" t="s">
        <v>1060</v>
      </c>
      <c r="AC22" s="30">
        <v>42736</v>
      </c>
      <c r="AD22">
        <v>60</v>
      </c>
      <c r="AE22">
        <v>1</v>
      </c>
      <c r="AH22" s="21">
        <v>2.0499999999999998</v>
      </c>
      <c r="AI22" t="s">
        <v>989</v>
      </c>
      <c r="AJ22" s="26">
        <v>7.5</v>
      </c>
      <c r="AK22" s="22">
        <v>42660.586111111108</v>
      </c>
      <c r="AL22">
        <v>4</v>
      </c>
      <c r="AS22" t="s">
        <v>991</v>
      </c>
      <c r="AT22" t="s">
        <v>1089</v>
      </c>
      <c r="AU22" t="b">
        <f>IF(ckCodingTable[[#This Row],[ILN]]="N",SUBSTITUTE(AT21," ","")&lt;&gt;SUBSTITUTE(ckCodingTable[[#This Row],[prop_titl_txt]]," ",""), FALSE)</f>
        <v>0</v>
      </c>
      <c r="AV22">
        <v>0</v>
      </c>
      <c r="AW22" s="13">
        <v>505251</v>
      </c>
      <c r="AX22" s="13">
        <v>505251</v>
      </c>
      <c r="AY22" s="13"/>
      <c r="AZ22" s="13">
        <v>10000</v>
      </c>
      <c r="BA22" s="13"/>
      <c r="BB22" s="13">
        <v>5000</v>
      </c>
      <c r="BC22">
        <v>5</v>
      </c>
      <c r="BD22">
        <v>5</v>
      </c>
      <c r="BE22">
        <v>5.5</v>
      </c>
      <c r="BH22">
        <v>0</v>
      </c>
      <c r="BI22">
        <v>0</v>
      </c>
      <c r="BJ22">
        <v>0</v>
      </c>
      <c r="BK22">
        <v>0</v>
      </c>
      <c r="BL22" t="s">
        <v>1088</v>
      </c>
    </row>
    <row r="23" spans="1:64" x14ac:dyDescent="0.4">
      <c r="A23" s="30">
        <v>42682.383391203701</v>
      </c>
      <c r="B23" s="30">
        <v>42571.675000000003</v>
      </c>
      <c r="C23" t="s">
        <v>975</v>
      </c>
      <c r="D23" t="s">
        <v>222</v>
      </c>
      <c r="E23" t="s">
        <v>405</v>
      </c>
      <c r="F23" t="s">
        <v>976</v>
      </c>
      <c r="G23" t="s">
        <v>172</v>
      </c>
      <c r="H23" s="21" t="s">
        <v>94</v>
      </c>
      <c r="I23" s="87">
        <v>1</v>
      </c>
      <c r="J23" s="87">
        <v>0</v>
      </c>
      <c r="K23" t="s">
        <v>974</v>
      </c>
      <c r="L23" t="s">
        <v>406</v>
      </c>
      <c r="M23" t="s">
        <v>560</v>
      </c>
      <c r="N23" t="str">
        <f>IF(SUM(ckCodingTable[[#This Row],[NfmlPIs]:[NnonWhtAsnPIs]])&gt;0,"WMD","")</f>
        <v>WMD</v>
      </c>
      <c r="O23" t="b">
        <f>_xlfn.XOR(IFERROR(MATCH(ckCodingTable[[#This Row],[st_code]],EpscorTable[],0)&gt;0,FALSE),IFERROR(FIND("9150",ckCodingTable[[#This Row],[propPRCs]])&gt;0,FALSE))</f>
        <v>0</v>
      </c>
      <c r="P23" s="21" t="b">
        <f>_xlfn.XOR(ckCodingTable[[#This Row],[wmd]]&lt;&gt;"",IFERROR(FIND("9102",ckCodingTable[[#This Row],[propPRCs]])&gt;0,FALSE))</f>
        <v>1</v>
      </c>
      <c r="Q23" t="s">
        <v>419</v>
      </c>
      <c r="R23" s="22">
        <v>42681.661168981482</v>
      </c>
      <c r="S23" s="21">
        <f>S22+(ckCodingTable[[#This Row],[ILN]]&lt;"M")</f>
        <v>22</v>
      </c>
      <c r="T23" s="21" t="s">
        <v>96</v>
      </c>
      <c r="U23" t="s">
        <v>1090</v>
      </c>
      <c r="V23" s="7" t="str">
        <f>HYPERLINK("https://www.ejacket.nsf.gov/ej/showProposal.do?ID="&amp;ckCodingTable[[#This Row],[prop_id]],"eJ")</f>
        <v>eJ</v>
      </c>
      <c r="W23" t="s">
        <v>224</v>
      </c>
      <c r="X23" t="s">
        <v>1090</v>
      </c>
      <c r="Y23" t="s">
        <v>1091</v>
      </c>
      <c r="Z23" t="s">
        <v>1092</v>
      </c>
      <c r="AA23" t="s">
        <v>1093</v>
      </c>
      <c r="AC23" s="30">
        <v>42917</v>
      </c>
      <c r="AD23">
        <v>60</v>
      </c>
      <c r="AE23">
        <v>1</v>
      </c>
      <c r="AH23" s="21">
        <v>2.14</v>
      </c>
      <c r="AI23" t="s">
        <v>1095</v>
      </c>
      <c r="AJ23" s="26">
        <v>6.2</v>
      </c>
      <c r="AK23" s="22">
        <v>42661.602083333331</v>
      </c>
      <c r="AL23">
        <v>5</v>
      </c>
      <c r="AS23" t="s">
        <v>973</v>
      </c>
      <c r="AT23" t="s">
        <v>1096</v>
      </c>
      <c r="AU23" t="b">
        <f>IF(ckCodingTable[[#This Row],[ILN]]="N",SUBSTITUTE(AT22," ","")&lt;&gt;SUBSTITUTE(ckCodingTable[[#This Row],[prop_titl_txt]]," ",""), FALSE)</f>
        <v>0</v>
      </c>
      <c r="AV23">
        <v>0</v>
      </c>
      <c r="AW23" s="13">
        <v>439758</v>
      </c>
      <c r="AX23" s="13">
        <v>439758</v>
      </c>
      <c r="AY23" s="13"/>
      <c r="AZ23" s="13">
        <v>20000</v>
      </c>
      <c r="BA23" s="13"/>
      <c r="BB23" s="13"/>
      <c r="BC23">
        <v>5</v>
      </c>
      <c r="BD23">
        <v>5</v>
      </c>
      <c r="BE23">
        <v>5</v>
      </c>
      <c r="BH23">
        <v>2</v>
      </c>
      <c r="BI23">
        <v>0</v>
      </c>
      <c r="BJ23">
        <v>0</v>
      </c>
      <c r="BK23">
        <v>0</v>
      </c>
      <c r="BL23" t="s">
        <v>1094</v>
      </c>
    </row>
    <row r="24" spans="1:64" x14ac:dyDescent="0.4">
      <c r="A24" s="30">
        <v>42921.439606481479</v>
      </c>
      <c r="B24" s="30">
        <v>42571.6875</v>
      </c>
      <c r="C24" t="s">
        <v>975</v>
      </c>
      <c r="D24" t="s">
        <v>222</v>
      </c>
      <c r="E24" t="s">
        <v>405</v>
      </c>
      <c r="F24" t="s">
        <v>976</v>
      </c>
      <c r="G24" t="s">
        <v>172</v>
      </c>
      <c r="H24" s="21" t="s">
        <v>94</v>
      </c>
      <c r="I24" s="87">
        <v>1</v>
      </c>
      <c r="J24" s="87">
        <v>0</v>
      </c>
      <c r="K24" t="s">
        <v>974</v>
      </c>
      <c r="L24" t="s">
        <v>406</v>
      </c>
      <c r="M24" t="s">
        <v>514</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419</v>
      </c>
      <c r="R24" s="22">
        <v>42674.650416666664</v>
      </c>
      <c r="S24" s="21">
        <f>S23+(ckCodingTable[[#This Row],[ILN]]&lt;"M")</f>
        <v>23</v>
      </c>
      <c r="T24" s="21" t="s">
        <v>96</v>
      </c>
      <c r="U24" t="s">
        <v>1097</v>
      </c>
      <c r="V24" s="7" t="str">
        <f>HYPERLINK("https://www.ejacket.nsf.gov/ej/showProposal.do?ID="&amp;ckCodingTable[[#This Row],[prop_id]],"eJ")</f>
        <v>eJ</v>
      </c>
      <c r="W24" t="s">
        <v>224</v>
      </c>
      <c r="X24" t="s">
        <v>1097</v>
      </c>
      <c r="Y24" t="s">
        <v>523</v>
      </c>
      <c r="Z24" t="s">
        <v>524</v>
      </c>
      <c r="AA24" t="s">
        <v>525</v>
      </c>
      <c r="AC24" s="30">
        <v>42948</v>
      </c>
      <c r="AD24">
        <v>60</v>
      </c>
      <c r="AE24">
        <v>1</v>
      </c>
      <c r="AH24" s="21">
        <v>2.14</v>
      </c>
      <c r="AI24" t="s">
        <v>1098</v>
      </c>
      <c r="AJ24" s="26">
        <v>7.5</v>
      </c>
      <c r="AK24" s="22">
        <v>42659.875</v>
      </c>
      <c r="AL24">
        <v>4</v>
      </c>
      <c r="AO24">
        <v>1</v>
      </c>
      <c r="AS24" t="s">
        <v>973</v>
      </c>
      <c r="AT24" t="s">
        <v>1099</v>
      </c>
      <c r="AU24" t="b">
        <f>IF(ckCodingTable[[#This Row],[ILN]]="N",SUBSTITUTE(AT23," ","")&lt;&gt;SUBSTITUTE(ckCodingTable[[#This Row],[prop_titl_txt]]," ",""), FALSE)</f>
        <v>0</v>
      </c>
      <c r="AV24">
        <v>0</v>
      </c>
      <c r="AW24" s="13">
        <v>501317</v>
      </c>
      <c r="AX24" s="13">
        <v>501317</v>
      </c>
      <c r="AY24" s="13"/>
      <c r="AZ24" s="13">
        <v>10000</v>
      </c>
      <c r="BA24" s="13"/>
      <c r="BB24" s="13"/>
      <c r="BC24">
        <v>8</v>
      </c>
      <c r="BD24">
        <v>5</v>
      </c>
      <c r="BE24">
        <v>2</v>
      </c>
      <c r="BH24">
        <v>0</v>
      </c>
      <c r="BI24">
        <v>0</v>
      </c>
      <c r="BJ24">
        <v>0</v>
      </c>
      <c r="BK24">
        <v>0</v>
      </c>
      <c r="BL24" t="s">
        <v>526</v>
      </c>
    </row>
    <row r="25" spans="1:64" x14ac:dyDescent="0.4">
      <c r="A25" s="30">
        <v>42716.515243055554</v>
      </c>
      <c r="B25" s="30">
        <v>42571.726388888892</v>
      </c>
      <c r="C25" t="s">
        <v>975</v>
      </c>
      <c r="D25" t="s">
        <v>222</v>
      </c>
      <c r="E25" t="s">
        <v>405</v>
      </c>
      <c r="F25" t="s">
        <v>976</v>
      </c>
      <c r="G25" t="s">
        <v>172</v>
      </c>
      <c r="H25" s="21" t="s">
        <v>94</v>
      </c>
      <c r="I25" s="87">
        <v>1</v>
      </c>
      <c r="J25" s="87">
        <v>0</v>
      </c>
      <c r="K25" t="s">
        <v>974</v>
      </c>
      <c r="L25" t="s">
        <v>451</v>
      </c>
      <c r="M25" t="s">
        <v>514</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411</v>
      </c>
      <c r="R25" s="22">
        <v>42715.928981481484</v>
      </c>
      <c r="S25" s="21">
        <f>S24+(ckCodingTable[[#This Row],[ILN]]&lt;"M")</f>
        <v>24</v>
      </c>
      <c r="T25" s="21" t="s">
        <v>96</v>
      </c>
      <c r="U25" t="s">
        <v>1100</v>
      </c>
      <c r="V25" s="7" t="str">
        <f>HYPERLINK("https://www.ejacket.nsf.gov/ej/showProposal.do?ID="&amp;ckCodingTable[[#This Row],[prop_id]],"eJ")</f>
        <v>eJ</v>
      </c>
      <c r="W25" t="s">
        <v>224</v>
      </c>
      <c r="X25" t="s">
        <v>1100</v>
      </c>
      <c r="Y25" t="s">
        <v>1101</v>
      </c>
      <c r="Z25" t="s">
        <v>1102</v>
      </c>
      <c r="AA25" t="s">
        <v>525</v>
      </c>
      <c r="AC25" s="30">
        <v>42979</v>
      </c>
      <c r="AD25">
        <v>60</v>
      </c>
      <c r="AE25">
        <v>1</v>
      </c>
      <c r="AH25" s="21">
        <v>2.08</v>
      </c>
      <c r="AI25" t="s">
        <v>984</v>
      </c>
      <c r="AJ25" s="26">
        <v>7.5</v>
      </c>
      <c r="AK25" s="22">
        <v>42660.275000000001</v>
      </c>
      <c r="AL25">
        <v>4</v>
      </c>
      <c r="AO25">
        <v>2</v>
      </c>
      <c r="AS25" t="s">
        <v>973</v>
      </c>
      <c r="AT25" t="s">
        <v>1104</v>
      </c>
      <c r="AU25" t="b">
        <f>IF(ckCodingTable[[#This Row],[ILN]]="N",SUBSTITUTE(AT24," ","")&lt;&gt;SUBSTITUTE(ckCodingTable[[#This Row],[prop_titl_txt]]," ",""), FALSE)</f>
        <v>0</v>
      </c>
      <c r="AV25">
        <v>0</v>
      </c>
      <c r="AW25" s="13">
        <v>499916</v>
      </c>
      <c r="AX25" s="13">
        <v>499916</v>
      </c>
      <c r="AY25" s="13"/>
      <c r="AZ25" s="13">
        <v>9500</v>
      </c>
      <c r="BA25" s="13"/>
      <c r="BB25" s="13"/>
      <c r="BC25">
        <v>5</v>
      </c>
      <c r="BD25">
        <v>5</v>
      </c>
      <c r="BE25">
        <v>5</v>
      </c>
      <c r="BH25">
        <v>0</v>
      </c>
      <c r="BI25">
        <v>0</v>
      </c>
      <c r="BJ25">
        <v>0</v>
      </c>
      <c r="BK25">
        <v>0</v>
      </c>
      <c r="BL25" t="s">
        <v>1103</v>
      </c>
    </row>
    <row r="26" spans="1:64" x14ac:dyDescent="0.4">
      <c r="A26" s="30">
        <v>42682.56795138889</v>
      </c>
      <c r="B26" s="30">
        <v>42571.730555555558</v>
      </c>
      <c r="C26" t="s">
        <v>975</v>
      </c>
      <c r="D26" t="s">
        <v>222</v>
      </c>
      <c r="E26" t="s">
        <v>405</v>
      </c>
      <c r="F26" t="s">
        <v>976</v>
      </c>
      <c r="G26" t="s">
        <v>172</v>
      </c>
      <c r="H26" s="21" t="s">
        <v>94</v>
      </c>
      <c r="I26" s="87">
        <v>1</v>
      </c>
      <c r="J26" s="87">
        <v>0</v>
      </c>
      <c r="K26" t="s">
        <v>974</v>
      </c>
      <c r="L26" t="s">
        <v>406</v>
      </c>
      <c r="M26" t="s">
        <v>514</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419</v>
      </c>
      <c r="R26" s="22">
        <v>42681.576493055552</v>
      </c>
      <c r="S26" s="21">
        <f>S25+(ckCodingTable[[#This Row],[ILN]]&lt;"M")</f>
        <v>25</v>
      </c>
      <c r="T26" s="21" t="s">
        <v>96</v>
      </c>
      <c r="U26" t="s">
        <v>1105</v>
      </c>
      <c r="V26" s="7" t="str">
        <f>HYPERLINK("https://www.ejacket.nsf.gov/ej/showProposal.do?ID="&amp;ckCodingTable[[#This Row],[prop_id]],"eJ")</f>
        <v>eJ</v>
      </c>
      <c r="W26" t="s">
        <v>224</v>
      </c>
      <c r="X26" t="s">
        <v>1105</v>
      </c>
      <c r="Y26" t="s">
        <v>517</v>
      </c>
      <c r="Z26" t="s">
        <v>518</v>
      </c>
      <c r="AA26" t="s">
        <v>519</v>
      </c>
      <c r="AC26" s="30">
        <v>42736</v>
      </c>
      <c r="AD26">
        <v>60</v>
      </c>
      <c r="AE26">
        <v>1</v>
      </c>
      <c r="AH26" s="21">
        <v>3.18</v>
      </c>
      <c r="AI26" t="s">
        <v>1106</v>
      </c>
      <c r="AJ26" s="26">
        <v>6.5</v>
      </c>
      <c r="AK26" s="22">
        <v>42660.104166666664</v>
      </c>
      <c r="AL26">
        <v>4</v>
      </c>
      <c r="AS26" t="s">
        <v>973</v>
      </c>
      <c r="AT26" t="s">
        <v>1107</v>
      </c>
      <c r="AU26" t="b">
        <f>IF(ckCodingTable[[#This Row],[ILN]]="N",SUBSTITUTE(AT25," ","")&lt;&gt;SUBSTITUTE(ckCodingTable[[#This Row],[prop_titl_txt]]," ",""), FALSE)</f>
        <v>0</v>
      </c>
      <c r="AV26">
        <v>0</v>
      </c>
      <c r="AW26" s="13">
        <v>672214</v>
      </c>
      <c r="AX26" s="13">
        <v>672214</v>
      </c>
      <c r="AY26" s="13"/>
      <c r="AZ26" s="13">
        <v>12250</v>
      </c>
      <c r="BA26" s="13"/>
      <c r="BB26" s="13">
        <v>16000</v>
      </c>
      <c r="BC26">
        <v>10</v>
      </c>
      <c r="BD26">
        <v>5</v>
      </c>
      <c r="BE26">
        <v>5</v>
      </c>
      <c r="BH26">
        <v>0</v>
      </c>
      <c r="BI26">
        <v>0</v>
      </c>
      <c r="BJ26">
        <v>0</v>
      </c>
      <c r="BK26">
        <v>0</v>
      </c>
      <c r="BL26" t="s">
        <v>520</v>
      </c>
    </row>
    <row r="27" spans="1:64" x14ac:dyDescent="0.4">
      <c r="A27" s="30">
        <v>42724.644189814811</v>
      </c>
      <c r="B27" s="30">
        <v>42571.734027777777</v>
      </c>
      <c r="C27" t="s">
        <v>975</v>
      </c>
      <c r="D27" t="s">
        <v>222</v>
      </c>
      <c r="E27" t="s">
        <v>405</v>
      </c>
      <c r="F27" t="s">
        <v>992</v>
      </c>
      <c r="G27" t="s">
        <v>172</v>
      </c>
      <c r="H27" s="21" t="s">
        <v>94</v>
      </c>
      <c r="I27" s="87">
        <v>1</v>
      </c>
      <c r="J27" s="87">
        <v>0</v>
      </c>
      <c r="K27" t="s">
        <v>974</v>
      </c>
      <c r="L27" t="s">
        <v>451</v>
      </c>
      <c r="M27" t="s">
        <v>279</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411</v>
      </c>
      <c r="R27" s="22">
        <v>42719.660844907405</v>
      </c>
      <c r="S27" s="21">
        <f>S26+(ckCodingTable[[#This Row],[ILN]]&lt;"M")</f>
        <v>26</v>
      </c>
      <c r="T27" s="21" t="s">
        <v>96</v>
      </c>
      <c r="U27" t="s">
        <v>1108</v>
      </c>
      <c r="V27" s="7" t="str">
        <f>HYPERLINK("https://www.ejacket.nsf.gov/ej/showProposal.do?ID="&amp;ckCodingTable[[#This Row],[prop_id]],"eJ")</f>
        <v>eJ</v>
      </c>
      <c r="W27" t="s">
        <v>224</v>
      </c>
      <c r="X27" t="s">
        <v>1108</v>
      </c>
      <c r="Y27" t="s">
        <v>1109</v>
      </c>
      <c r="Z27" t="s">
        <v>1110</v>
      </c>
      <c r="AA27" t="s">
        <v>1111</v>
      </c>
      <c r="AC27" s="30">
        <v>42767</v>
      </c>
      <c r="AD27">
        <v>60</v>
      </c>
      <c r="AE27">
        <v>1</v>
      </c>
      <c r="AH27" s="21">
        <v>2.04</v>
      </c>
      <c r="AI27" t="s">
        <v>984</v>
      </c>
      <c r="AJ27" s="26">
        <v>7.5</v>
      </c>
      <c r="AK27" s="22">
        <v>42660.40902777778</v>
      </c>
      <c r="AL27">
        <v>4</v>
      </c>
      <c r="AO27">
        <v>1</v>
      </c>
      <c r="AS27" t="s">
        <v>991</v>
      </c>
      <c r="AT27" t="s">
        <v>1113</v>
      </c>
      <c r="AU27" t="b">
        <f>IF(ckCodingTable[[#This Row],[ILN]]="N",SUBSTITUTE(AT26," ","")&lt;&gt;SUBSTITUTE(ckCodingTable[[#This Row],[prop_titl_txt]]," ",""), FALSE)</f>
        <v>0</v>
      </c>
      <c r="AV27">
        <v>1</v>
      </c>
      <c r="AW27" s="13">
        <v>601594</v>
      </c>
      <c r="AX27" s="13">
        <v>540000</v>
      </c>
      <c r="AY27" s="13"/>
      <c r="AZ27" s="13">
        <v>21500</v>
      </c>
      <c r="BA27" s="13"/>
      <c r="BB27" s="13">
        <v>15000</v>
      </c>
      <c r="BC27">
        <v>5</v>
      </c>
      <c r="BD27">
        <v>5</v>
      </c>
      <c r="BE27">
        <v>5</v>
      </c>
      <c r="BH27">
        <v>0</v>
      </c>
      <c r="BI27">
        <v>0</v>
      </c>
      <c r="BJ27">
        <v>0</v>
      </c>
      <c r="BK27">
        <v>0</v>
      </c>
      <c r="BL27" t="s">
        <v>1112</v>
      </c>
    </row>
    <row r="28" spans="1:64" x14ac:dyDescent="0.4">
      <c r="A28" s="30">
        <v>42677.401122685187</v>
      </c>
      <c r="B28" s="30">
        <v>42571.899305555555</v>
      </c>
      <c r="C28" t="s">
        <v>975</v>
      </c>
      <c r="D28" t="s">
        <v>222</v>
      </c>
      <c r="E28" t="s">
        <v>405</v>
      </c>
      <c r="F28" t="s">
        <v>976</v>
      </c>
      <c r="G28" t="s">
        <v>172</v>
      </c>
      <c r="H28" s="21" t="s">
        <v>94</v>
      </c>
      <c r="I28" s="87">
        <v>1</v>
      </c>
      <c r="J28" s="87">
        <v>0</v>
      </c>
      <c r="K28" t="s">
        <v>974</v>
      </c>
      <c r="L28" t="s">
        <v>422</v>
      </c>
      <c r="M28" t="s">
        <v>101</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Q28" t="s">
        <v>545</v>
      </c>
      <c r="R28" s="22">
        <v>42676.678472222222</v>
      </c>
      <c r="S28" s="21">
        <f>S27+(ckCodingTable[[#This Row],[ILN]]&lt;"M")</f>
        <v>27</v>
      </c>
      <c r="T28" s="21" t="s">
        <v>96</v>
      </c>
      <c r="U28" t="s">
        <v>1114</v>
      </c>
      <c r="V28" s="7" t="str">
        <f>HYPERLINK("https://www.ejacket.nsf.gov/ej/showProposal.do?ID="&amp;ckCodingTable[[#This Row],[prop_id]],"eJ")</f>
        <v>eJ</v>
      </c>
      <c r="W28" t="s">
        <v>224</v>
      </c>
      <c r="X28" t="s">
        <v>1114</v>
      </c>
      <c r="Y28" t="s">
        <v>541</v>
      </c>
      <c r="Z28" t="s">
        <v>542</v>
      </c>
      <c r="AA28" t="s">
        <v>543</v>
      </c>
      <c r="AC28" s="30">
        <v>42795</v>
      </c>
      <c r="AD28">
        <v>60</v>
      </c>
      <c r="AE28">
        <v>1</v>
      </c>
      <c r="AH28" s="21">
        <v>4.29</v>
      </c>
      <c r="AI28" t="s">
        <v>1115</v>
      </c>
      <c r="AJ28" s="26">
        <v>4.5</v>
      </c>
      <c r="AK28" s="22">
        <v>42660.406944444447</v>
      </c>
      <c r="AL28">
        <v>4</v>
      </c>
      <c r="AS28" t="s">
        <v>973</v>
      </c>
      <c r="AT28" t="s">
        <v>547</v>
      </c>
      <c r="AU28" t="b">
        <f>IF(ckCodingTable[[#This Row],[ILN]]="N",SUBSTITUTE(AT27," ","")&lt;&gt;SUBSTITUTE(ckCodingTable[[#This Row],[prop_titl_txt]]," ",""), FALSE)</f>
        <v>0</v>
      </c>
      <c r="AV28">
        <v>0</v>
      </c>
      <c r="AW28" s="13">
        <v>542978</v>
      </c>
      <c r="AX28" s="13">
        <v>542978</v>
      </c>
      <c r="AY28" s="13"/>
      <c r="AZ28" s="13">
        <v>25000</v>
      </c>
      <c r="BA28" s="13"/>
      <c r="BB28" s="13"/>
      <c r="BC28">
        <v>5</v>
      </c>
      <c r="BD28">
        <v>5</v>
      </c>
      <c r="BE28">
        <v>5.5</v>
      </c>
      <c r="BF28">
        <v>3.39</v>
      </c>
      <c r="BH28">
        <v>0</v>
      </c>
      <c r="BI28">
        <v>0</v>
      </c>
      <c r="BJ28">
        <v>0</v>
      </c>
      <c r="BK28">
        <v>0</v>
      </c>
      <c r="BL28" t="s">
        <v>544</v>
      </c>
    </row>
    <row r="29" spans="1:64" x14ac:dyDescent="0.4">
      <c r="A29" s="30">
        <v>42721.748391203706</v>
      </c>
      <c r="B29" s="30">
        <v>42576.481944444444</v>
      </c>
      <c r="C29" t="s">
        <v>975</v>
      </c>
      <c r="D29" t="s">
        <v>1117</v>
      </c>
      <c r="E29" t="s">
        <v>1118</v>
      </c>
      <c r="F29" t="s">
        <v>976</v>
      </c>
      <c r="G29" t="s">
        <v>172</v>
      </c>
      <c r="H29" s="21" t="s">
        <v>94</v>
      </c>
      <c r="I29" s="87">
        <v>1</v>
      </c>
      <c r="J29" s="87">
        <v>0</v>
      </c>
      <c r="K29" t="s">
        <v>1116</v>
      </c>
      <c r="L29" t="s">
        <v>1119</v>
      </c>
      <c r="M29" t="s">
        <v>276</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265</v>
      </c>
      <c r="R29" s="22">
        <v>42712.581944444442</v>
      </c>
      <c r="S29" s="21">
        <f>S28+(ckCodingTable[[#This Row],[ILN]]&lt;"M")</f>
        <v>28</v>
      </c>
      <c r="T29" s="21" t="s">
        <v>96</v>
      </c>
      <c r="U29" t="s">
        <v>1121</v>
      </c>
      <c r="V29" s="7" t="str">
        <f>HYPERLINK("https://www.ejacket.nsf.gov/ej/showProposal.do?ID="&amp;ckCodingTable[[#This Row],[prop_id]],"eJ")</f>
        <v>eJ</v>
      </c>
      <c r="W29" t="s">
        <v>1120</v>
      </c>
      <c r="X29" t="s">
        <v>1121</v>
      </c>
      <c r="Y29" t="s">
        <v>1122</v>
      </c>
      <c r="Z29" t="s">
        <v>1123</v>
      </c>
      <c r="AA29" t="s">
        <v>424</v>
      </c>
      <c r="AC29" s="30">
        <v>42736</v>
      </c>
      <c r="AD29">
        <v>60</v>
      </c>
      <c r="AE29">
        <v>2</v>
      </c>
      <c r="AH29" s="21">
        <v>3.18</v>
      </c>
      <c r="AI29" t="s">
        <v>1125</v>
      </c>
      <c r="AJ29" s="26">
        <v>5.7142857142857144</v>
      </c>
      <c r="AK29" s="22">
        <v>42670.978472222225</v>
      </c>
      <c r="AL29">
        <v>7</v>
      </c>
      <c r="AS29" t="s">
        <v>973</v>
      </c>
      <c r="AT29" t="s">
        <v>1126</v>
      </c>
      <c r="AU29" t="b">
        <f>IF(ckCodingTable[[#This Row],[ILN]]="N",SUBSTITUTE(AT28," ","")&lt;&gt;SUBSTITUTE(ckCodingTable[[#This Row],[prop_titl_txt]]," ",""), FALSE)</f>
        <v>0</v>
      </c>
      <c r="AV29">
        <v>0</v>
      </c>
      <c r="AW29" s="13">
        <v>514170</v>
      </c>
      <c r="AX29" s="13">
        <v>514170</v>
      </c>
      <c r="AY29" s="13"/>
      <c r="AZ29" s="13"/>
      <c r="BA29" s="13"/>
      <c r="BB29" s="13"/>
      <c r="BC29">
        <v>5</v>
      </c>
      <c r="BD29">
        <v>5</v>
      </c>
      <c r="BE29">
        <v>2.5</v>
      </c>
      <c r="BH29">
        <v>0</v>
      </c>
      <c r="BI29">
        <v>0</v>
      </c>
      <c r="BJ29">
        <v>0</v>
      </c>
      <c r="BK29">
        <v>0</v>
      </c>
      <c r="BL29" t="s">
        <v>1124</v>
      </c>
    </row>
    <row r="30" spans="1:64" x14ac:dyDescent="0.4">
      <c r="A30" s="30">
        <v>42682.568460648145</v>
      </c>
      <c r="B30" s="30">
        <v>42576.672222222223</v>
      </c>
      <c r="C30" t="s">
        <v>975</v>
      </c>
      <c r="D30" t="s">
        <v>222</v>
      </c>
      <c r="E30" t="s">
        <v>405</v>
      </c>
      <c r="F30" t="s">
        <v>976</v>
      </c>
      <c r="G30" t="s">
        <v>172</v>
      </c>
      <c r="H30" s="21" t="s">
        <v>94</v>
      </c>
      <c r="I30" s="87">
        <v>1</v>
      </c>
      <c r="J30" s="87">
        <v>0</v>
      </c>
      <c r="K30" t="s">
        <v>974</v>
      </c>
      <c r="L30" t="s">
        <v>406</v>
      </c>
      <c r="M30" t="s">
        <v>99</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Q30" t="s">
        <v>1132</v>
      </c>
      <c r="R30" s="22">
        <v>42682.524143518516</v>
      </c>
      <c r="S30" s="21">
        <f>S29+(ckCodingTable[[#This Row],[ILN]]&lt;"M")</f>
        <v>29</v>
      </c>
      <c r="T30" s="21" t="s">
        <v>96</v>
      </c>
      <c r="U30" t="s">
        <v>1127</v>
      </c>
      <c r="V30" s="7" t="str">
        <f>HYPERLINK("https://www.ejacket.nsf.gov/ej/showProposal.do?ID="&amp;ckCodingTable[[#This Row],[prop_id]],"eJ")</f>
        <v>eJ</v>
      </c>
      <c r="W30" t="s">
        <v>224</v>
      </c>
      <c r="X30" t="s">
        <v>1127</v>
      </c>
      <c r="Y30" t="s">
        <v>1128</v>
      </c>
      <c r="Z30" t="s">
        <v>1129</v>
      </c>
      <c r="AA30" t="s">
        <v>1130</v>
      </c>
      <c r="AC30" s="30">
        <v>42870</v>
      </c>
      <c r="AD30">
        <v>60</v>
      </c>
      <c r="AE30">
        <v>1</v>
      </c>
      <c r="AH30" s="21">
        <v>3.18</v>
      </c>
      <c r="AI30" t="s">
        <v>1133</v>
      </c>
      <c r="AJ30" s="26">
        <v>4.8</v>
      </c>
      <c r="AK30" s="22">
        <v>42661.424305555556</v>
      </c>
      <c r="AL30">
        <v>5</v>
      </c>
      <c r="AS30" t="s">
        <v>973</v>
      </c>
      <c r="AT30" t="s">
        <v>1134</v>
      </c>
      <c r="AU30" t="b">
        <f>IF(ckCodingTable[[#This Row],[ILN]]="N",SUBSTITUTE(AT29," ","")&lt;&gt;SUBSTITUTE(ckCodingTable[[#This Row],[prop_titl_txt]]," ",""), FALSE)</f>
        <v>0</v>
      </c>
      <c r="AV30">
        <v>0</v>
      </c>
      <c r="AW30" s="13">
        <v>601079</v>
      </c>
      <c r="AX30" s="13">
        <v>601079</v>
      </c>
      <c r="AY30" s="13"/>
      <c r="AZ30" s="13">
        <v>37500</v>
      </c>
      <c r="BA30" s="13"/>
      <c r="BB30" s="13">
        <v>10000</v>
      </c>
      <c r="BC30">
        <v>10</v>
      </c>
      <c r="BD30">
        <v>5</v>
      </c>
      <c r="BE30">
        <v>10</v>
      </c>
      <c r="BH30">
        <v>0</v>
      </c>
      <c r="BI30">
        <v>0</v>
      </c>
      <c r="BJ30">
        <v>0</v>
      </c>
      <c r="BK30">
        <v>0</v>
      </c>
      <c r="BL30" t="s">
        <v>1131</v>
      </c>
    </row>
    <row r="31" spans="1:64" x14ac:dyDescent="0.4">
      <c r="A31" s="30">
        <v>42954.663657407407</v>
      </c>
      <c r="B31" s="30">
        <v>42807.46597222222</v>
      </c>
      <c r="C31" t="s">
        <v>1136</v>
      </c>
      <c r="D31" t="s">
        <v>222</v>
      </c>
      <c r="E31" t="s">
        <v>1137</v>
      </c>
      <c r="F31" t="s">
        <v>976</v>
      </c>
      <c r="G31" t="s">
        <v>172</v>
      </c>
      <c r="H31" s="21" t="s">
        <v>94</v>
      </c>
      <c r="I31" s="87">
        <v>1</v>
      </c>
      <c r="J31" s="87">
        <v>0</v>
      </c>
      <c r="K31" t="s">
        <v>1135</v>
      </c>
      <c r="L31" t="s">
        <v>451</v>
      </c>
      <c r="M31" t="s">
        <v>281</v>
      </c>
      <c r="N31" t="str">
        <f>IF(SUM(ckCodingTable[[#This Row],[NfmlPIs]:[NnonWhtAsnPIs]])&gt;0,"WMD","")</f>
        <v>WMD</v>
      </c>
      <c r="O31" t="b">
        <f>_xlfn.XOR(IFERROR(MATCH(ckCodingTable[[#This Row],[st_code]],EpscorTable[],0)&gt;0,FALSE),IFERROR(FIND("9150",ckCodingTable[[#This Row],[propPRCs]])&gt;0,FALSE))</f>
        <v>0</v>
      </c>
      <c r="P31" s="21" t="b">
        <f>_xlfn.XOR(ckCodingTable[[#This Row],[wmd]]&lt;&gt;"",IFERROR(FIND("9102",ckCodingTable[[#This Row],[propPRCs]])&gt;0,FALSE))</f>
        <v>1</v>
      </c>
      <c r="Q31" t="s">
        <v>1142</v>
      </c>
      <c r="R31" s="22">
        <v>42951.478125000001</v>
      </c>
      <c r="S31" s="21">
        <f>S30+(ckCodingTable[[#This Row],[ILN]]&lt;"M")</f>
        <v>30</v>
      </c>
      <c r="T31" s="21" t="s">
        <v>96</v>
      </c>
      <c r="U31" t="s">
        <v>1138</v>
      </c>
      <c r="V31" s="7" t="str">
        <f>HYPERLINK("https://www.ejacket.nsf.gov/ej/showProposal.do?ID="&amp;ckCodingTable[[#This Row],[prop_id]],"eJ")</f>
        <v>eJ</v>
      </c>
      <c r="W31" t="s">
        <v>224</v>
      </c>
      <c r="X31" t="s">
        <v>1138</v>
      </c>
      <c r="Y31" t="s">
        <v>1139</v>
      </c>
      <c r="Z31" t="s">
        <v>273</v>
      </c>
      <c r="AA31" t="s">
        <v>1140</v>
      </c>
      <c r="AC31" s="30">
        <v>42972</v>
      </c>
      <c r="AD31">
        <v>36</v>
      </c>
      <c r="AE31">
        <v>1</v>
      </c>
      <c r="AH31" s="21">
        <v>3.11</v>
      </c>
      <c r="AI31" t="s">
        <v>562</v>
      </c>
      <c r="AJ31" s="26">
        <v>5</v>
      </c>
      <c r="AK31" s="22">
        <v>42872.504861111112</v>
      </c>
      <c r="AL31">
        <v>3</v>
      </c>
      <c r="AS31" t="s">
        <v>973</v>
      </c>
      <c r="AT31" t="s">
        <v>1143</v>
      </c>
      <c r="AU31" t="b">
        <f>IF(ckCodingTable[[#This Row],[ILN]]="N",SUBSTITUTE(AT30," ","")&lt;&gt;SUBSTITUTE(ckCodingTable[[#This Row],[prop_titl_txt]]," ",""), FALSE)</f>
        <v>0</v>
      </c>
      <c r="AV31">
        <v>0</v>
      </c>
      <c r="AW31" s="13">
        <v>1485814</v>
      </c>
      <c r="AX31" s="13">
        <v>1485814</v>
      </c>
      <c r="AY31" s="13"/>
      <c r="AZ31" s="13"/>
      <c r="BA31" s="13">
        <v>198926</v>
      </c>
      <c r="BB31" s="13"/>
      <c r="BC31">
        <v>9</v>
      </c>
      <c r="BD31">
        <v>15</v>
      </c>
      <c r="BE31">
        <v>1.95</v>
      </c>
      <c r="BH31">
        <v>0</v>
      </c>
      <c r="BI31">
        <v>0</v>
      </c>
      <c r="BJ31">
        <v>2</v>
      </c>
      <c r="BK31">
        <v>0</v>
      </c>
      <c r="BL31" t="s">
        <v>1141</v>
      </c>
    </row>
    <row r="32" spans="1:64" x14ac:dyDescent="0.4">
      <c r="A32" s="30">
        <v>42957.678148148145</v>
      </c>
      <c r="B32" s="30">
        <v>42807.553472222222</v>
      </c>
      <c r="C32" t="s">
        <v>1136</v>
      </c>
      <c r="D32" t="s">
        <v>222</v>
      </c>
      <c r="E32" t="s">
        <v>1137</v>
      </c>
      <c r="F32" t="s">
        <v>976</v>
      </c>
      <c r="G32" t="s">
        <v>172</v>
      </c>
      <c r="H32" s="21" t="s">
        <v>94</v>
      </c>
      <c r="I32" s="87">
        <v>1</v>
      </c>
      <c r="J32" s="87">
        <v>0</v>
      </c>
      <c r="K32" t="s">
        <v>1135</v>
      </c>
      <c r="L32" t="s">
        <v>406</v>
      </c>
      <c r="M32" t="s">
        <v>282</v>
      </c>
      <c r="N32" t="str">
        <f>IF(SUM(ckCodingTable[[#This Row],[NfmlPIs]:[NnonWhtAsnPIs]])&gt;0,"WMD","")</f>
        <v/>
      </c>
      <c r="O32" t="b">
        <f>_xlfn.XOR(IFERROR(MATCH(ckCodingTable[[#This Row],[st_code]],EpscorTable[],0)&gt;0,FALSE),IFERROR(FIND("9150",ckCodingTable[[#This Row],[propPRCs]])&gt;0,FALSE))</f>
        <v>0</v>
      </c>
      <c r="P32" s="21" t="b">
        <f>_xlfn.XOR(ckCodingTable[[#This Row],[wmd]]&lt;&gt;"",IFERROR(FIND("9102",ckCodingTable[[#This Row],[propPRCs]])&gt;0,FALSE))</f>
        <v>0</v>
      </c>
      <c r="Q32" t="s">
        <v>1142</v>
      </c>
      <c r="R32" s="22">
        <v>42914.640243055554</v>
      </c>
      <c r="S32" s="21">
        <f>S31+(ckCodingTable[[#This Row],[ILN]]&lt;"M")</f>
        <v>31</v>
      </c>
      <c r="T32" s="21" t="s">
        <v>1145</v>
      </c>
      <c r="U32" t="s">
        <v>1144</v>
      </c>
      <c r="V32" s="7" t="str">
        <f>HYPERLINK("https://www.ejacket.nsf.gov/ej/showProposal.do?ID="&amp;ckCodingTable[[#This Row],[prop_id]],"eJ")</f>
        <v>eJ</v>
      </c>
      <c r="W32" t="s">
        <v>224</v>
      </c>
      <c r="X32" t="s">
        <v>1144</v>
      </c>
      <c r="Y32" t="s">
        <v>1146</v>
      </c>
      <c r="Z32" t="s">
        <v>1147</v>
      </c>
      <c r="AA32" t="s">
        <v>495</v>
      </c>
      <c r="AC32" s="30">
        <v>42948</v>
      </c>
      <c r="AD32">
        <v>36</v>
      </c>
      <c r="AE32">
        <v>1</v>
      </c>
      <c r="AG32">
        <v>1</v>
      </c>
      <c r="AH32" s="21">
        <v>4.22</v>
      </c>
      <c r="AI32" t="s">
        <v>1149</v>
      </c>
      <c r="AJ32" s="26">
        <v>4.333333333333333</v>
      </c>
      <c r="AK32" s="22">
        <v>42872.39166666667</v>
      </c>
      <c r="AL32">
        <v>3</v>
      </c>
      <c r="AP32">
        <v>2</v>
      </c>
      <c r="AQ32">
        <v>2</v>
      </c>
      <c r="AS32" t="s">
        <v>973</v>
      </c>
      <c r="AT32" t="s">
        <v>1150</v>
      </c>
      <c r="AU32" t="b">
        <f>IF(ckCodingTable[[#This Row],[ILN]]="N",SUBSTITUTE(AT31," ","")&lt;&gt;SUBSTITUTE(ckCodingTable[[#This Row],[prop_titl_txt]]," ",""), FALSE)</f>
        <v>0</v>
      </c>
      <c r="AV32">
        <v>0</v>
      </c>
      <c r="AW32" s="13">
        <v>748969</v>
      </c>
      <c r="AX32" s="13">
        <v>748969</v>
      </c>
      <c r="AY32" s="13"/>
      <c r="AZ32" s="13"/>
      <c r="BA32" s="13">
        <v>165000</v>
      </c>
      <c r="BB32" s="13"/>
      <c r="BD32">
        <v>6</v>
      </c>
      <c r="BG32">
        <v>9</v>
      </c>
      <c r="BH32">
        <v>0</v>
      </c>
      <c r="BI32">
        <v>0</v>
      </c>
      <c r="BJ32">
        <v>0</v>
      </c>
      <c r="BK32">
        <v>0</v>
      </c>
      <c r="BL32" t="s">
        <v>1148</v>
      </c>
    </row>
    <row r="33" spans="1:64" x14ac:dyDescent="0.4">
      <c r="A33" s="30">
        <v>42957.678148148145</v>
      </c>
      <c r="B33" s="30">
        <v>42807.668055555558</v>
      </c>
      <c r="C33" t="s">
        <v>1136</v>
      </c>
      <c r="D33" t="s">
        <v>222</v>
      </c>
      <c r="E33" t="s">
        <v>1137</v>
      </c>
      <c r="F33" t="s">
        <v>976</v>
      </c>
      <c r="G33" t="s">
        <v>172</v>
      </c>
      <c r="H33" s="21" t="s">
        <v>94</v>
      </c>
      <c r="I33" s="87">
        <v>1</v>
      </c>
      <c r="J33" s="87">
        <v>0</v>
      </c>
      <c r="K33" t="s">
        <v>1135</v>
      </c>
      <c r="L33" t="s">
        <v>406</v>
      </c>
      <c r="M33" t="s">
        <v>114</v>
      </c>
      <c r="N33" t="str">
        <f>IF(SUM(ckCodingTable[[#This Row],[NfmlPIs]:[NnonWhtAsnPIs]])&gt;0,"WMD","")</f>
        <v>WMD</v>
      </c>
      <c r="O33" t="b">
        <f>_xlfn.XOR(IFERROR(MATCH(ckCodingTable[[#This Row],[st_code]],EpscorTable[],0)&gt;0,FALSE),IFERROR(FIND("9150",ckCodingTable[[#This Row],[propPRCs]])&gt;0,FALSE))</f>
        <v>1</v>
      </c>
      <c r="P33" s="21" t="b">
        <f>_xlfn.XOR(ckCodingTable[[#This Row],[wmd]]&lt;&gt;"",IFERROR(FIND("9102",ckCodingTable[[#This Row],[propPRCs]])&gt;0,FALSE))</f>
        <v>1</v>
      </c>
      <c r="R33" s="22">
        <v>42914.640243055554</v>
      </c>
      <c r="S33" s="21">
        <f>S32+(ckCodingTable[[#This Row],[ILN]]&lt;"M")</f>
        <v>31</v>
      </c>
      <c r="T33" s="21" t="s">
        <v>965</v>
      </c>
      <c r="U33" t="s">
        <v>1144</v>
      </c>
      <c r="V33" s="7" t="str">
        <f>HYPERLINK("https://www.ejacket.nsf.gov/ej/showProposal.do?ID="&amp;ckCodingTable[[#This Row],[prop_id]],"eJ")</f>
        <v>eJ</v>
      </c>
      <c r="W33" t="s">
        <v>224</v>
      </c>
      <c r="X33" t="s">
        <v>1151</v>
      </c>
      <c r="Y33" t="s">
        <v>1152</v>
      </c>
      <c r="Z33" t="s">
        <v>1153</v>
      </c>
      <c r="AA33" t="s">
        <v>1154</v>
      </c>
      <c r="AC33" s="30">
        <v>42948</v>
      </c>
      <c r="AD33">
        <v>36</v>
      </c>
      <c r="AJ33" s="26"/>
      <c r="AK33" s="22"/>
      <c r="AL33"/>
      <c r="AS33" t="s">
        <v>973</v>
      </c>
      <c r="AT33" t="s">
        <v>1150</v>
      </c>
      <c r="AU33" t="b">
        <f>IF(ckCodingTable[[#This Row],[ILN]]="N",SUBSTITUTE(AT32," ","")&lt;&gt;SUBSTITUTE(ckCodingTable[[#This Row],[prop_titl_txt]]," ",""), FALSE)</f>
        <v>0</v>
      </c>
      <c r="AV33">
        <v>0</v>
      </c>
      <c r="AW33" s="13">
        <v>374812</v>
      </c>
      <c r="AX33" s="13">
        <v>374812</v>
      </c>
      <c r="AY33" s="13"/>
      <c r="AZ33" s="13"/>
      <c r="BA33" s="13"/>
      <c r="BB33" s="13"/>
      <c r="BC33">
        <v>6</v>
      </c>
      <c r="BD33">
        <v>3</v>
      </c>
      <c r="BE33">
        <v>6</v>
      </c>
      <c r="BH33">
        <v>2</v>
      </c>
      <c r="BI33">
        <v>0</v>
      </c>
      <c r="BJ33">
        <v>0</v>
      </c>
      <c r="BK33">
        <v>0</v>
      </c>
      <c r="BL33" t="s">
        <v>1155</v>
      </c>
    </row>
    <row r="34" spans="1:64" x14ac:dyDescent="0.4">
      <c r="A34" s="30">
        <v>42957.678148148145</v>
      </c>
      <c r="B34" s="30">
        <v>42807.717361111114</v>
      </c>
      <c r="C34" t="s">
        <v>1136</v>
      </c>
      <c r="D34" t="s">
        <v>222</v>
      </c>
      <c r="E34" t="s">
        <v>1137</v>
      </c>
      <c r="F34" t="s">
        <v>976</v>
      </c>
      <c r="G34" t="s">
        <v>172</v>
      </c>
      <c r="H34" s="21" t="s">
        <v>94</v>
      </c>
      <c r="I34" s="87">
        <v>1</v>
      </c>
      <c r="J34" s="87">
        <v>0</v>
      </c>
      <c r="K34" t="s">
        <v>1135</v>
      </c>
      <c r="L34" t="s">
        <v>406</v>
      </c>
      <c r="M34" t="s">
        <v>127</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Q34" t="s">
        <v>1162</v>
      </c>
      <c r="R34" s="22">
        <v>42914.640243055554</v>
      </c>
      <c r="S34" s="21">
        <f>S33+(ckCodingTable[[#This Row],[ILN]]&lt;"M")</f>
        <v>31</v>
      </c>
      <c r="T34" s="21" t="s">
        <v>965</v>
      </c>
      <c r="U34" t="s">
        <v>1144</v>
      </c>
      <c r="V34" s="7" t="str">
        <f>HYPERLINK("https://www.ejacket.nsf.gov/ej/showProposal.do?ID="&amp;ckCodingTable[[#This Row],[prop_id]],"eJ")</f>
        <v>eJ</v>
      </c>
      <c r="W34" t="s">
        <v>224</v>
      </c>
      <c r="X34" t="s">
        <v>1157</v>
      </c>
      <c r="Y34" t="s">
        <v>1158</v>
      </c>
      <c r="Z34" t="s">
        <v>1159</v>
      </c>
      <c r="AA34" t="s">
        <v>1160</v>
      </c>
      <c r="AC34" s="30">
        <v>42948</v>
      </c>
      <c r="AD34">
        <v>36</v>
      </c>
      <c r="AJ34" s="26"/>
      <c r="AK34" s="22"/>
      <c r="AL34"/>
      <c r="AS34" t="s">
        <v>973</v>
      </c>
      <c r="AT34" t="s">
        <v>1150</v>
      </c>
      <c r="AU34" t="b">
        <f>IF(ckCodingTable[[#This Row],[ILN]]="N",SUBSTITUTE(AT33," ","")&lt;&gt;SUBSTITUTE(ckCodingTable[[#This Row],[prop_titl_txt]]," ",""), FALSE)</f>
        <v>0</v>
      </c>
      <c r="AV34">
        <v>0</v>
      </c>
      <c r="AW34" s="13">
        <v>372322</v>
      </c>
      <c r="AX34" s="13">
        <v>372322</v>
      </c>
      <c r="AY34" s="13"/>
      <c r="AZ34" s="13"/>
      <c r="BA34" s="13"/>
      <c r="BB34" s="13"/>
      <c r="BC34">
        <v>6</v>
      </c>
      <c r="BD34">
        <v>3</v>
      </c>
      <c r="BE34">
        <v>4.05</v>
      </c>
      <c r="BH34">
        <v>0</v>
      </c>
      <c r="BI34">
        <v>0</v>
      </c>
      <c r="BJ34">
        <v>0</v>
      </c>
      <c r="BK34">
        <v>0</v>
      </c>
      <c r="BL34" t="s">
        <v>1161</v>
      </c>
    </row>
    <row r="35" spans="1:64" x14ac:dyDescent="0.4">
      <c r="A35" s="30">
        <v>42955.353391203702</v>
      </c>
      <c r="B35" s="30">
        <v>42807.602777777778</v>
      </c>
      <c r="C35" t="s">
        <v>1136</v>
      </c>
      <c r="D35" t="s">
        <v>222</v>
      </c>
      <c r="E35" t="s">
        <v>1137</v>
      </c>
      <c r="F35" t="s">
        <v>976</v>
      </c>
      <c r="G35" t="s">
        <v>172</v>
      </c>
      <c r="H35" s="21" t="s">
        <v>94</v>
      </c>
      <c r="I35" s="87">
        <v>1</v>
      </c>
      <c r="J35" s="87">
        <v>0</v>
      </c>
      <c r="K35" t="s">
        <v>1135</v>
      </c>
      <c r="L35" t="s">
        <v>451</v>
      </c>
      <c r="M35" t="s">
        <v>1167</v>
      </c>
      <c r="N35" t="str">
        <f>IF(SUM(ckCodingTable[[#This Row],[NfmlPIs]:[NnonWhtAsnPIs]])&gt;0,"WMD","")</f>
        <v>WMD</v>
      </c>
      <c r="O35" t="b">
        <f>_xlfn.XOR(IFERROR(MATCH(ckCodingTable[[#This Row],[st_code]],EpscorTable[],0)&gt;0,FALSE),IFERROR(FIND("9150",ckCodingTable[[#This Row],[propPRCs]])&gt;0,FALSE))</f>
        <v>0</v>
      </c>
      <c r="P35" s="21" t="b">
        <f>_xlfn.XOR(ckCodingTable[[#This Row],[wmd]]&lt;&gt;"",IFERROR(FIND("9102",ckCodingTable[[#This Row],[propPRCs]])&gt;0,FALSE))</f>
        <v>1</v>
      </c>
      <c r="Q35" t="s">
        <v>1142</v>
      </c>
      <c r="R35" s="22">
        <v>42951.514120370368</v>
      </c>
      <c r="S35" s="21">
        <f>S34+(ckCodingTable[[#This Row],[ILN]]&lt;"M")</f>
        <v>32</v>
      </c>
      <c r="T35" s="21" t="s">
        <v>1145</v>
      </c>
      <c r="U35" t="s">
        <v>1163</v>
      </c>
      <c r="V35" s="7" t="str">
        <f>HYPERLINK("https://www.ejacket.nsf.gov/ej/showProposal.do?ID="&amp;ckCodingTable[[#This Row],[prop_id]],"eJ")</f>
        <v>eJ</v>
      </c>
      <c r="W35" t="s">
        <v>224</v>
      </c>
      <c r="X35" t="s">
        <v>1163</v>
      </c>
      <c r="Y35" t="s">
        <v>1164</v>
      </c>
      <c r="Z35" t="s">
        <v>1165</v>
      </c>
      <c r="AA35" t="s">
        <v>1166</v>
      </c>
      <c r="AC35" s="30">
        <v>42979</v>
      </c>
      <c r="AD35">
        <v>36</v>
      </c>
      <c r="AE35">
        <v>1</v>
      </c>
      <c r="AG35">
        <v>1</v>
      </c>
      <c r="AH35" s="21">
        <v>4.22</v>
      </c>
      <c r="AI35" t="s">
        <v>1169</v>
      </c>
      <c r="AJ35" s="26">
        <v>3.6666666666666665</v>
      </c>
      <c r="AK35" s="22">
        <v>42872.458333333336</v>
      </c>
      <c r="AL35">
        <v>3</v>
      </c>
      <c r="AS35" t="s">
        <v>973</v>
      </c>
      <c r="AT35" t="s">
        <v>1170</v>
      </c>
      <c r="AU35" t="b">
        <f>IF(ckCodingTable[[#This Row],[ILN]]="N",SUBSTITUTE(AT34," ","")&lt;&gt;SUBSTITUTE(ckCodingTable[[#This Row],[prop_titl_txt]]," ",""), FALSE)</f>
        <v>0</v>
      </c>
      <c r="AV35">
        <v>0</v>
      </c>
      <c r="AW35" s="13">
        <v>1221000</v>
      </c>
      <c r="AX35" s="13">
        <v>1221000</v>
      </c>
      <c r="AY35" s="13"/>
      <c r="AZ35" s="13"/>
      <c r="BA35" s="13">
        <v>106100</v>
      </c>
      <c r="BB35" s="13">
        <v>70000</v>
      </c>
      <c r="BC35">
        <v>6</v>
      </c>
      <c r="BD35">
        <v>15</v>
      </c>
      <c r="BE35">
        <v>15</v>
      </c>
      <c r="BH35">
        <v>2</v>
      </c>
      <c r="BI35">
        <v>0</v>
      </c>
      <c r="BJ35">
        <v>0</v>
      </c>
      <c r="BK35">
        <v>1</v>
      </c>
      <c r="BL35" t="s">
        <v>1168</v>
      </c>
    </row>
    <row r="36" spans="1:64" x14ac:dyDescent="0.4">
      <c r="A36" s="30">
        <v>42955.353391203702</v>
      </c>
      <c r="B36" s="30">
        <v>42804.649305555555</v>
      </c>
      <c r="C36" t="s">
        <v>1136</v>
      </c>
      <c r="D36" t="s">
        <v>222</v>
      </c>
      <c r="E36" t="s">
        <v>1137</v>
      </c>
      <c r="F36" t="s">
        <v>976</v>
      </c>
      <c r="G36" t="s">
        <v>172</v>
      </c>
      <c r="H36" s="21" t="s">
        <v>94</v>
      </c>
      <c r="I36" s="87">
        <v>1</v>
      </c>
      <c r="J36" s="87">
        <v>0</v>
      </c>
      <c r="K36" t="s">
        <v>1135</v>
      </c>
      <c r="L36" t="s">
        <v>451</v>
      </c>
      <c r="M36" t="s">
        <v>1167</v>
      </c>
      <c r="N36" t="str">
        <f>IF(SUM(ckCodingTable[[#This Row],[NfmlPIs]:[NnonWhtAsnPIs]])&gt;0,"WMD","")</f>
        <v>WMD</v>
      </c>
      <c r="O36" t="b">
        <f>_xlfn.XOR(IFERROR(MATCH(ckCodingTable[[#This Row],[st_code]],EpscorTable[],0)&gt;0,FALSE),IFERROR(FIND("9150",ckCodingTable[[#This Row],[propPRCs]])&gt;0,FALSE))</f>
        <v>0</v>
      </c>
      <c r="P36" s="21" t="b">
        <f>_xlfn.XOR(ckCodingTable[[#This Row],[wmd]]&lt;&gt;"",IFERROR(FIND("9102",ckCodingTable[[#This Row],[propPRCs]])&gt;0,FALSE))</f>
        <v>0</v>
      </c>
      <c r="Q36" t="s">
        <v>1176</v>
      </c>
      <c r="R36" s="22">
        <v>42951.514120370368</v>
      </c>
      <c r="S36" s="21">
        <f>S35+(ckCodingTable[[#This Row],[ILN]]&lt;"M")</f>
        <v>32</v>
      </c>
      <c r="T36" s="21" t="s">
        <v>965</v>
      </c>
      <c r="U36" t="s">
        <v>1163</v>
      </c>
      <c r="V36" s="7" t="str">
        <f>HYPERLINK("https://www.ejacket.nsf.gov/ej/showProposal.do?ID="&amp;ckCodingTable[[#This Row],[prop_id]],"eJ")</f>
        <v>eJ</v>
      </c>
      <c r="W36" t="s">
        <v>224</v>
      </c>
      <c r="X36" t="s">
        <v>1171</v>
      </c>
      <c r="Y36" t="s">
        <v>1172</v>
      </c>
      <c r="Z36" t="s">
        <v>1173</v>
      </c>
      <c r="AA36" t="s">
        <v>1174</v>
      </c>
      <c r="AC36" s="30">
        <v>42979</v>
      </c>
      <c r="AD36">
        <v>36</v>
      </c>
      <c r="AJ36" s="26"/>
      <c r="AK36" s="22"/>
      <c r="AL36"/>
      <c r="AS36" t="s">
        <v>973</v>
      </c>
      <c r="AT36" t="s">
        <v>1170</v>
      </c>
      <c r="AU36" t="b">
        <f>IF(ckCodingTable[[#This Row],[ILN]]="N",SUBSTITUTE(AT35," ","")&lt;&gt;SUBSTITUTE(ckCodingTable[[#This Row],[prop_titl_txt]]," ",""), FALSE)</f>
        <v>0</v>
      </c>
      <c r="AV36">
        <v>0</v>
      </c>
      <c r="AW36" s="13">
        <v>279000</v>
      </c>
      <c r="AX36" s="13">
        <v>279000</v>
      </c>
      <c r="AY36" s="13"/>
      <c r="AZ36" s="13">
        <v>9000</v>
      </c>
      <c r="BA36" s="13"/>
      <c r="BB36" s="13"/>
      <c r="BC36">
        <v>3</v>
      </c>
      <c r="BD36">
        <v>3</v>
      </c>
      <c r="BE36">
        <v>1.44</v>
      </c>
      <c r="BH36">
        <v>1</v>
      </c>
      <c r="BI36">
        <v>0</v>
      </c>
      <c r="BJ36">
        <v>0</v>
      </c>
      <c r="BK36">
        <v>0</v>
      </c>
      <c r="BL36" t="s">
        <v>1175</v>
      </c>
    </row>
    <row r="37" spans="1:64" x14ac:dyDescent="0.4">
      <c r="A37" s="30">
        <v>42955.353842592594</v>
      </c>
      <c r="B37" s="30">
        <v>42807.683333333334</v>
      </c>
      <c r="C37" t="s">
        <v>1136</v>
      </c>
      <c r="D37" t="s">
        <v>222</v>
      </c>
      <c r="E37" t="s">
        <v>1137</v>
      </c>
      <c r="F37" t="s">
        <v>976</v>
      </c>
      <c r="G37" t="s">
        <v>172</v>
      </c>
      <c r="H37" s="21" t="s">
        <v>94</v>
      </c>
      <c r="I37" s="87">
        <v>1</v>
      </c>
      <c r="J37" s="87">
        <v>0</v>
      </c>
      <c r="K37" t="s">
        <v>1135</v>
      </c>
      <c r="L37" t="s">
        <v>451</v>
      </c>
      <c r="M37" t="s">
        <v>1053</v>
      </c>
      <c r="N37" t="str">
        <f>IF(SUM(ckCodingTable[[#This Row],[NfmlPIs]:[NnonWhtAsnPIs]])&gt;0,"WMD","")</f>
        <v>WMD</v>
      </c>
      <c r="O37" t="b">
        <f>_xlfn.XOR(IFERROR(MATCH(ckCodingTable[[#This Row],[st_code]],EpscorTable[],0)&gt;0,FALSE),IFERROR(FIND("9150",ckCodingTable[[#This Row],[propPRCs]])&gt;0,FALSE))</f>
        <v>0</v>
      </c>
      <c r="P37" s="21" t="b">
        <f>_xlfn.XOR(ckCodingTable[[#This Row],[wmd]]&lt;&gt;"",IFERROR(FIND("9102",ckCodingTable[[#This Row],[propPRCs]])&gt;0,FALSE))</f>
        <v>1</v>
      </c>
      <c r="Q37" t="s">
        <v>1142</v>
      </c>
      <c r="R37" s="22">
        <v>42951.518680555557</v>
      </c>
      <c r="S37" s="21">
        <f>S36+(ckCodingTable[[#This Row],[ILN]]&lt;"M")</f>
        <v>33</v>
      </c>
      <c r="T37" s="21" t="s">
        <v>1145</v>
      </c>
      <c r="U37" t="s">
        <v>1177</v>
      </c>
      <c r="V37" s="7" t="str">
        <f>HYPERLINK("https://www.ejacket.nsf.gov/ej/showProposal.do?ID="&amp;ckCodingTable[[#This Row],[prop_id]],"eJ")</f>
        <v>eJ</v>
      </c>
      <c r="W37" t="s">
        <v>224</v>
      </c>
      <c r="X37" t="s">
        <v>1177</v>
      </c>
      <c r="Y37" t="s">
        <v>1178</v>
      </c>
      <c r="Z37" t="s">
        <v>1179</v>
      </c>
      <c r="AA37" t="s">
        <v>1052</v>
      </c>
      <c r="AC37" s="30">
        <v>42979</v>
      </c>
      <c r="AD37">
        <v>36</v>
      </c>
      <c r="AE37">
        <v>1</v>
      </c>
      <c r="AG37">
        <v>1</v>
      </c>
      <c r="AH37" s="21">
        <v>4.22</v>
      </c>
      <c r="AI37" t="s">
        <v>1181</v>
      </c>
      <c r="AJ37" s="26">
        <v>4.666666666666667</v>
      </c>
      <c r="AK37" s="22">
        <v>42871.922222222223</v>
      </c>
      <c r="AL37">
        <v>3</v>
      </c>
      <c r="AS37" t="s">
        <v>973</v>
      </c>
      <c r="AT37" t="s">
        <v>1182</v>
      </c>
      <c r="AU37" t="b">
        <f>IF(ckCodingTable[[#This Row],[ILN]]="N",SUBSTITUTE(AT36," ","")&lt;&gt;SUBSTITUTE(ckCodingTable[[#This Row],[prop_titl_txt]]," ",""), FALSE)</f>
        <v>0</v>
      </c>
      <c r="AV37">
        <v>0</v>
      </c>
      <c r="AW37" s="13">
        <v>825000</v>
      </c>
      <c r="AX37" s="13">
        <v>825000</v>
      </c>
      <c r="AY37" s="13"/>
      <c r="AZ37" s="13"/>
      <c r="BA37" s="13">
        <v>173388</v>
      </c>
      <c r="BB37" s="13">
        <v>45000</v>
      </c>
      <c r="BC37">
        <v>9</v>
      </c>
      <c r="BD37">
        <v>9</v>
      </c>
      <c r="BE37">
        <v>2.1</v>
      </c>
      <c r="BH37">
        <v>2</v>
      </c>
      <c r="BI37">
        <v>0</v>
      </c>
      <c r="BJ37">
        <v>0</v>
      </c>
      <c r="BK37">
        <v>0</v>
      </c>
      <c r="BL37" t="s">
        <v>1180</v>
      </c>
    </row>
    <row r="38" spans="1:64" x14ac:dyDescent="0.4">
      <c r="A38" s="30">
        <v>42955.353842592594</v>
      </c>
      <c r="B38" s="30">
        <v>42807.572222222225</v>
      </c>
      <c r="C38" t="s">
        <v>1136</v>
      </c>
      <c r="D38" t="s">
        <v>222</v>
      </c>
      <c r="E38" t="s">
        <v>1137</v>
      </c>
      <c r="F38" t="s">
        <v>976</v>
      </c>
      <c r="G38" t="s">
        <v>172</v>
      </c>
      <c r="H38" s="21" t="s">
        <v>94</v>
      </c>
      <c r="I38" s="87">
        <v>1</v>
      </c>
      <c r="J38" s="87">
        <v>0</v>
      </c>
      <c r="K38" t="s">
        <v>1135</v>
      </c>
      <c r="L38" t="s">
        <v>451</v>
      </c>
      <c r="M38" t="s">
        <v>1053</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1142</v>
      </c>
      <c r="R38" s="22">
        <v>42951.518680555557</v>
      </c>
      <c r="S38" s="21">
        <f>S37+(ckCodingTable[[#This Row],[ILN]]&lt;"M")</f>
        <v>33</v>
      </c>
      <c r="T38" s="21" t="s">
        <v>965</v>
      </c>
      <c r="U38" t="s">
        <v>1177</v>
      </c>
      <c r="V38" s="7" t="str">
        <f>HYPERLINK("https://www.ejacket.nsf.gov/ej/showProposal.do?ID="&amp;ckCodingTable[[#This Row],[prop_id]],"eJ")</f>
        <v>eJ</v>
      </c>
      <c r="W38" t="s">
        <v>224</v>
      </c>
      <c r="X38" t="s">
        <v>1183</v>
      </c>
      <c r="Y38" t="s">
        <v>1184</v>
      </c>
      <c r="Z38" t="s">
        <v>1185</v>
      </c>
      <c r="AA38" t="s">
        <v>1186</v>
      </c>
      <c r="AC38" s="30">
        <v>42979</v>
      </c>
      <c r="AD38">
        <v>36</v>
      </c>
      <c r="AJ38" s="26"/>
      <c r="AK38" s="22"/>
      <c r="AL38"/>
      <c r="AS38" t="s">
        <v>973</v>
      </c>
      <c r="AT38" t="s">
        <v>1188</v>
      </c>
      <c r="AU38" t="b">
        <f>IF(ckCodingTable[[#This Row],[ILN]]="N",SUBSTITUTE(AT37," ","")&lt;&gt;SUBSTITUTE(ckCodingTable[[#This Row],[prop_titl_txt]]," ",""), FALSE)</f>
        <v>1</v>
      </c>
      <c r="AV38">
        <v>0</v>
      </c>
      <c r="AW38" s="13">
        <v>224999</v>
      </c>
      <c r="AX38" s="13">
        <v>224999</v>
      </c>
      <c r="AY38" s="13"/>
      <c r="AZ38" s="13"/>
      <c r="BA38" s="13"/>
      <c r="BB38" s="13"/>
      <c r="BC38">
        <v>3</v>
      </c>
      <c r="BD38">
        <v>3</v>
      </c>
      <c r="BG38">
        <v>0.36</v>
      </c>
      <c r="BH38">
        <v>0</v>
      </c>
      <c r="BI38">
        <v>0</v>
      </c>
      <c r="BJ38">
        <v>0</v>
      </c>
      <c r="BK38">
        <v>0</v>
      </c>
      <c r="BL38" t="s">
        <v>1187</v>
      </c>
    </row>
    <row r="39" spans="1:64" x14ac:dyDescent="0.4">
      <c r="A39" s="30">
        <v>42955.353842592594</v>
      </c>
      <c r="B39" s="30">
        <v>42809.648611111108</v>
      </c>
      <c r="C39" t="s">
        <v>1136</v>
      </c>
      <c r="D39" t="s">
        <v>222</v>
      </c>
      <c r="E39" t="s">
        <v>1137</v>
      </c>
      <c r="F39" t="s">
        <v>976</v>
      </c>
      <c r="G39" t="s">
        <v>172</v>
      </c>
      <c r="H39" s="21" t="s">
        <v>94</v>
      </c>
      <c r="I39" s="87">
        <v>1</v>
      </c>
      <c r="J39" s="87">
        <v>0</v>
      </c>
      <c r="K39" t="s">
        <v>1135</v>
      </c>
      <c r="L39" t="s">
        <v>451</v>
      </c>
      <c r="M39" t="s">
        <v>280</v>
      </c>
      <c r="N39" t="str">
        <f>IF(SUM(ckCodingTable[[#This Row],[NfmlPIs]:[NnonWhtAsnPIs]])&gt;0,"WMD","")</f>
        <v>WMD</v>
      </c>
      <c r="O39" t="b">
        <f>_xlfn.XOR(IFERROR(MATCH(ckCodingTable[[#This Row],[st_code]],EpscorTable[],0)&gt;0,FALSE),IFERROR(FIND("9150",ckCodingTable[[#This Row],[propPRCs]])&gt;0,FALSE))</f>
        <v>0</v>
      </c>
      <c r="P39" s="21" t="b">
        <f>_xlfn.XOR(ckCodingTable[[#This Row],[wmd]]&lt;&gt;"",IFERROR(FIND("9102",ckCodingTable[[#This Row],[propPRCs]])&gt;0,FALSE))</f>
        <v>0</v>
      </c>
      <c r="Q39" t="s">
        <v>1176</v>
      </c>
      <c r="R39" s="22">
        <v>42951.518680555557</v>
      </c>
      <c r="S39" s="21">
        <f>S38+(ckCodingTable[[#This Row],[ILN]]&lt;"M")</f>
        <v>33</v>
      </c>
      <c r="T39" s="21" t="s">
        <v>965</v>
      </c>
      <c r="U39" t="s">
        <v>1177</v>
      </c>
      <c r="V39" s="7" t="str">
        <f>HYPERLINK("https://www.ejacket.nsf.gov/ej/showProposal.do?ID="&amp;ckCodingTable[[#This Row],[prop_id]],"eJ")</f>
        <v>eJ</v>
      </c>
      <c r="W39" t="s">
        <v>224</v>
      </c>
      <c r="X39" t="s">
        <v>1189</v>
      </c>
      <c r="Y39" t="s">
        <v>1190</v>
      </c>
      <c r="Z39" t="s">
        <v>273</v>
      </c>
      <c r="AA39" t="s">
        <v>1075</v>
      </c>
      <c r="AC39" s="30">
        <v>42979</v>
      </c>
      <c r="AD39">
        <v>36</v>
      </c>
      <c r="AJ39" s="26"/>
      <c r="AK39" s="22"/>
      <c r="AL39"/>
      <c r="AS39" t="s">
        <v>973</v>
      </c>
      <c r="AT39" t="s">
        <v>1182</v>
      </c>
      <c r="AU39" t="b">
        <f>IF(ckCodingTable[[#This Row],[ILN]]="N",SUBSTITUTE(AT38," ","")&lt;&gt;SUBSTITUTE(ckCodingTable[[#This Row],[prop_titl_txt]]," ",""), FALSE)</f>
        <v>1</v>
      </c>
      <c r="AV39">
        <v>0</v>
      </c>
      <c r="AW39" s="13">
        <v>374046</v>
      </c>
      <c r="AX39" s="13">
        <v>374046</v>
      </c>
      <c r="AY39" s="13"/>
      <c r="AZ39" s="13"/>
      <c r="BA39" s="13">
        <v>149744</v>
      </c>
      <c r="BB39" s="13"/>
      <c r="BC39">
        <v>4</v>
      </c>
      <c r="BD39">
        <v>12</v>
      </c>
      <c r="BE39">
        <v>1.08</v>
      </c>
      <c r="BH39">
        <v>2</v>
      </c>
      <c r="BI39">
        <v>0</v>
      </c>
      <c r="BJ39">
        <v>0</v>
      </c>
      <c r="BK39">
        <v>1</v>
      </c>
      <c r="BL39" t="s">
        <v>1191</v>
      </c>
    </row>
    <row r="40" spans="1:64" x14ac:dyDescent="0.4">
      <c r="A40" s="30">
        <v>42955.686261574076</v>
      </c>
      <c r="B40" s="30">
        <v>42809.441666666666</v>
      </c>
      <c r="C40" t="s">
        <v>1136</v>
      </c>
      <c r="D40" t="s">
        <v>222</v>
      </c>
      <c r="E40" t="s">
        <v>1137</v>
      </c>
      <c r="F40" t="s">
        <v>976</v>
      </c>
      <c r="G40" t="s">
        <v>172</v>
      </c>
      <c r="H40" s="21" t="s">
        <v>94</v>
      </c>
      <c r="I40" s="87">
        <v>1</v>
      </c>
      <c r="J40" s="87">
        <v>0</v>
      </c>
      <c r="K40" t="s">
        <v>1135</v>
      </c>
      <c r="L40" t="s">
        <v>406</v>
      </c>
      <c r="M40" t="s">
        <v>98</v>
      </c>
      <c r="N40" t="str">
        <f>IF(SUM(ckCodingTable[[#This Row],[NfmlPIs]:[NnonWhtAsnPIs]])&gt;0,"WMD","")</f>
        <v>WMD</v>
      </c>
      <c r="O40" t="b">
        <f>_xlfn.XOR(IFERROR(MATCH(ckCodingTable[[#This Row],[st_code]],EpscorTable[],0)&gt;0,FALSE),IFERROR(FIND("9150",ckCodingTable[[#This Row],[propPRCs]])&gt;0,FALSE))</f>
        <v>0</v>
      </c>
      <c r="P40" s="21" t="b">
        <f>_xlfn.XOR(ckCodingTable[[#This Row],[wmd]]&lt;&gt;"",IFERROR(FIND("9102",ckCodingTable[[#This Row],[propPRCs]])&gt;0,FALSE))</f>
        <v>0</v>
      </c>
      <c r="Q40" t="s">
        <v>1156</v>
      </c>
      <c r="R40" s="22">
        <v>42914.640416666669</v>
      </c>
      <c r="S40" s="21">
        <f>S39+(ckCodingTable[[#This Row],[ILN]]&lt;"M")</f>
        <v>34</v>
      </c>
      <c r="T40" s="21" t="s">
        <v>96</v>
      </c>
      <c r="U40" t="s">
        <v>1192</v>
      </c>
      <c r="V40" s="7" t="str">
        <f>HYPERLINK("https://www.ejacket.nsf.gov/ej/showProposal.do?ID="&amp;ckCodingTable[[#This Row],[prop_id]],"eJ")</f>
        <v>eJ</v>
      </c>
      <c r="W40" t="s">
        <v>224</v>
      </c>
      <c r="X40" t="s">
        <v>1192</v>
      </c>
      <c r="Y40" t="s">
        <v>1193</v>
      </c>
      <c r="Z40" t="s">
        <v>1194</v>
      </c>
      <c r="AA40" t="s">
        <v>1195</v>
      </c>
      <c r="AC40" s="30">
        <v>42979</v>
      </c>
      <c r="AD40">
        <v>36</v>
      </c>
      <c r="AE40">
        <v>1</v>
      </c>
      <c r="AG40">
        <v>1</v>
      </c>
      <c r="AH40" s="21">
        <v>4.22</v>
      </c>
      <c r="AI40" t="s">
        <v>1197</v>
      </c>
      <c r="AJ40" s="26">
        <v>1.6666666666666667</v>
      </c>
      <c r="AK40" s="22">
        <v>42872.461111111108</v>
      </c>
      <c r="AL40">
        <v>3</v>
      </c>
      <c r="AS40" t="s">
        <v>973</v>
      </c>
      <c r="AT40" t="s">
        <v>1198</v>
      </c>
      <c r="AU40" t="b">
        <f>IF(ckCodingTable[[#This Row],[ILN]]="N",SUBSTITUTE(AT39," ","")&lt;&gt;SUBSTITUTE(ckCodingTable[[#This Row],[prop_titl_txt]]," ",""), FALSE)</f>
        <v>0</v>
      </c>
      <c r="AV40">
        <v>0</v>
      </c>
      <c r="AW40" s="13">
        <v>1319163</v>
      </c>
      <c r="AX40" s="13">
        <v>1319163</v>
      </c>
      <c r="AY40" s="13"/>
      <c r="AZ40" s="13">
        <v>15000</v>
      </c>
      <c r="BA40" s="13">
        <v>155628</v>
      </c>
      <c r="BB40" s="13">
        <v>66000</v>
      </c>
      <c r="BC40">
        <v>23</v>
      </c>
      <c r="BD40">
        <v>9</v>
      </c>
      <c r="BE40">
        <v>18</v>
      </c>
      <c r="BH40">
        <v>1</v>
      </c>
      <c r="BI40">
        <v>0</v>
      </c>
      <c r="BJ40">
        <v>0</v>
      </c>
      <c r="BK40">
        <v>0</v>
      </c>
      <c r="BL40" t="s">
        <v>1196</v>
      </c>
    </row>
    <row r="41" spans="1:64" x14ac:dyDescent="0.4">
      <c r="A41" s="30">
        <v>42933.475868055553</v>
      </c>
      <c r="B41" s="30">
        <v>42809.474999999999</v>
      </c>
      <c r="C41" t="s">
        <v>1136</v>
      </c>
      <c r="D41" t="s">
        <v>222</v>
      </c>
      <c r="E41" t="s">
        <v>1137</v>
      </c>
      <c r="F41" t="s">
        <v>992</v>
      </c>
      <c r="G41" t="s">
        <v>172</v>
      </c>
      <c r="H41" s="21" t="s">
        <v>94</v>
      </c>
      <c r="I41" s="87">
        <v>1</v>
      </c>
      <c r="J41" s="87">
        <v>0</v>
      </c>
      <c r="K41" t="s">
        <v>1135</v>
      </c>
      <c r="L41" t="s">
        <v>406</v>
      </c>
      <c r="M41" t="s">
        <v>98</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1204</v>
      </c>
      <c r="R41" s="22">
        <v>42927.466689814813</v>
      </c>
      <c r="S41" s="21">
        <f>S40+(ckCodingTable[[#This Row],[ILN]]&lt;"M")</f>
        <v>35</v>
      </c>
      <c r="T41" s="21" t="s">
        <v>96</v>
      </c>
      <c r="U41" t="s">
        <v>1199</v>
      </c>
      <c r="V41" s="7" t="str">
        <f>HYPERLINK("https://www.ejacket.nsf.gov/ej/showProposal.do?ID="&amp;ckCodingTable[[#This Row],[prop_id]],"eJ")</f>
        <v>eJ</v>
      </c>
      <c r="W41" t="s">
        <v>224</v>
      </c>
      <c r="X41" t="s">
        <v>1199</v>
      </c>
      <c r="Y41" t="s">
        <v>1200</v>
      </c>
      <c r="Z41" t="s">
        <v>1201</v>
      </c>
      <c r="AA41" t="s">
        <v>1202</v>
      </c>
      <c r="AC41" s="30">
        <v>42979</v>
      </c>
      <c r="AD41">
        <v>36</v>
      </c>
      <c r="AE41">
        <v>1</v>
      </c>
      <c r="AH41" s="21">
        <v>2.0299999999999998</v>
      </c>
      <c r="AI41" t="s">
        <v>1205</v>
      </c>
      <c r="AJ41" s="26">
        <v>7.333333333333333</v>
      </c>
      <c r="AK41" s="22">
        <v>42872.390277777777</v>
      </c>
      <c r="AL41">
        <v>3</v>
      </c>
      <c r="AS41" t="s">
        <v>991</v>
      </c>
      <c r="AT41" t="s">
        <v>1206</v>
      </c>
      <c r="AU41" t="b">
        <f>IF(ckCodingTable[[#This Row],[ILN]]="N",SUBSTITUTE(AT40," ","")&lt;&gt;SUBSTITUTE(ckCodingTable[[#This Row],[prop_titl_txt]]," ",""), FALSE)</f>
        <v>0</v>
      </c>
      <c r="AV41">
        <v>0</v>
      </c>
      <c r="AW41" s="13">
        <v>1482177</v>
      </c>
      <c r="AX41" s="13">
        <v>1482177</v>
      </c>
      <c r="AY41" s="13"/>
      <c r="AZ41" s="13"/>
      <c r="BA41" s="13">
        <v>204000</v>
      </c>
      <c r="BB41" s="13">
        <v>330000</v>
      </c>
      <c r="BC41">
        <v>15</v>
      </c>
      <c r="BD41">
        <v>15</v>
      </c>
      <c r="BE41">
        <v>7.5</v>
      </c>
      <c r="BH41">
        <v>0</v>
      </c>
      <c r="BI41">
        <v>0</v>
      </c>
      <c r="BJ41">
        <v>0</v>
      </c>
      <c r="BK41">
        <v>0</v>
      </c>
      <c r="BL41" t="s">
        <v>1203</v>
      </c>
    </row>
    <row r="42" spans="1:64" x14ac:dyDescent="0.4">
      <c r="A42" s="30">
        <v>42955.725289351853</v>
      </c>
      <c r="B42" s="30">
        <v>42809.494444444441</v>
      </c>
      <c r="C42" t="s">
        <v>1136</v>
      </c>
      <c r="D42" t="s">
        <v>222</v>
      </c>
      <c r="E42" t="s">
        <v>1137</v>
      </c>
      <c r="F42" t="s">
        <v>976</v>
      </c>
      <c r="G42" t="s">
        <v>172</v>
      </c>
      <c r="H42" s="21" t="s">
        <v>94</v>
      </c>
      <c r="I42" s="87">
        <v>1</v>
      </c>
      <c r="J42" s="87">
        <v>0</v>
      </c>
      <c r="K42" t="s">
        <v>1135</v>
      </c>
      <c r="L42" t="s">
        <v>406</v>
      </c>
      <c r="M42" t="s">
        <v>280</v>
      </c>
      <c r="N42" t="str">
        <f>IF(SUM(ckCodingTable[[#This Row],[NfmlPIs]:[NnonWhtAsnPIs]])&gt;0,"WMD","")</f>
        <v/>
      </c>
      <c r="O42" t="b">
        <f>_xlfn.XOR(IFERROR(MATCH(ckCodingTable[[#This Row],[st_code]],EpscorTable[],0)&gt;0,FALSE),IFERROR(FIND("9150",ckCodingTable[[#This Row],[propPRCs]])&gt;0,FALSE))</f>
        <v>0</v>
      </c>
      <c r="P42" s="21" t="b">
        <f>_xlfn.XOR(ckCodingTable[[#This Row],[wmd]]&lt;&gt;"",IFERROR(FIND("9102",ckCodingTable[[#This Row],[propPRCs]])&gt;0,FALSE))</f>
        <v>0</v>
      </c>
      <c r="Q42" t="s">
        <v>1142</v>
      </c>
      <c r="R42" s="22">
        <v>42914.640474537038</v>
      </c>
      <c r="S42" s="21">
        <f>S41+(ckCodingTable[[#This Row],[ILN]]&lt;"M")</f>
        <v>36</v>
      </c>
      <c r="T42" s="21" t="s">
        <v>1145</v>
      </c>
      <c r="U42" t="s">
        <v>1207</v>
      </c>
      <c r="V42" s="7" t="str">
        <f>HYPERLINK("https://www.ejacket.nsf.gov/ej/showProposal.do?ID="&amp;ckCodingTable[[#This Row],[prop_id]],"eJ")</f>
        <v>eJ</v>
      </c>
      <c r="W42" t="s">
        <v>224</v>
      </c>
      <c r="X42" t="s">
        <v>1207</v>
      </c>
      <c r="Y42" t="s">
        <v>1208</v>
      </c>
      <c r="Z42" t="s">
        <v>1209</v>
      </c>
      <c r="AA42" t="s">
        <v>223</v>
      </c>
      <c r="AC42" s="30">
        <v>43009</v>
      </c>
      <c r="AD42">
        <v>36</v>
      </c>
      <c r="AE42">
        <v>1</v>
      </c>
      <c r="AG42">
        <v>1</v>
      </c>
      <c r="AH42" s="21">
        <v>4.22</v>
      </c>
      <c r="AI42" t="s">
        <v>1149</v>
      </c>
      <c r="AJ42" s="26">
        <v>4.333333333333333</v>
      </c>
      <c r="AK42" s="22">
        <v>42871.874305555553</v>
      </c>
      <c r="AL42">
        <v>3</v>
      </c>
      <c r="AS42" t="s">
        <v>973</v>
      </c>
      <c r="AT42" t="s">
        <v>1211</v>
      </c>
      <c r="AU42" t="b">
        <f>IF(ckCodingTable[[#This Row],[ILN]]="N",SUBSTITUTE(AT41," ","")&lt;&gt;SUBSTITUTE(ckCodingTable[[#This Row],[prop_titl_txt]]," ",""), FALSE)</f>
        <v>0</v>
      </c>
      <c r="AV42">
        <v>0</v>
      </c>
      <c r="AW42" s="13">
        <v>600000</v>
      </c>
      <c r="AX42" s="13">
        <v>600000</v>
      </c>
      <c r="AY42" s="13"/>
      <c r="AZ42" s="13"/>
      <c r="BA42" s="13"/>
      <c r="BB42" s="13"/>
      <c r="BH42">
        <v>0</v>
      </c>
      <c r="BI42">
        <v>0</v>
      </c>
      <c r="BJ42">
        <v>0</v>
      </c>
      <c r="BK42">
        <v>0</v>
      </c>
      <c r="BL42" t="s">
        <v>1210</v>
      </c>
    </row>
    <row r="43" spans="1:64" x14ac:dyDescent="0.4">
      <c r="A43" s="30">
        <v>42955.725289351853</v>
      </c>
      <c r="B43" s="30">
        <v>42808.49722222222</v>
      </c>
      <c r="C43" t="s">
        <v>1136</v>
      </c>
      <c r="D43" t="s">
        <v>222</v>
      </c>
      <c r="E43" t="s">
        <v>1137</v>
      </c>
      <c r="F43" t="s">
        <v>976</v>
      </c>
      <c r="G43" t="s">
        <v>172</v>
      </c>
      <c r="H43" s="21" t="s">
        <v>94</v>
      </c>
      <c r="I43" s="87">
        <v>1</v>
      </c>
      <c r="J43" s="87">
        <v>0</v>
      </c>
      <c r="K43" t="s">
        <v>1135</v>
      </c>
      <c r="L43" t="s">
        <v>406</v>
      </c>
      <c r="M43" t="s">
        <v>280</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1142</v>
      </c>
      <c r="R43" s="22">
        <v>42914.640474537038</v>
      </c>
      <c r="S43" s="21">
        <f>S42+(ckCodingTable[[#This Row],[ILN]]&lt;"M")</f>
        <v>36</v>
      </c>
      <c r="T43" s="21" t="s">
        <v>965</v>
      </c>
      <c r="U43" t="s">
        <v>1207</v>
      </c>
      <c r="V43" s="7" t="str">
        <f>HYPERLINK("https://www.ejacket.nsf.gov/ej/showProposal.do?ID="&amp;ckCodingTable[[#This Row],[prop_id]],"eJ")</f>
        <v>eJ</v>
      </c>
      <c r="W43" t="s">
        <v>224</v>
      </c>
      <c r="X43" t="s">
        <v>1212</v>
      </c>
      <c r="Y43" t="s">
        <v>1213</v>
      </c>
      <c r="Z43" t="s">
        <v>1214</v>
      </c>
      <c r="AA43" t="s">
        <v>1215</v>
      </c>
      <c r="AC43" s="30">
        <v>43009</v>
      </c>
      <c r="AD43">
        <v>36</v>
      </c>
      <c r="AJ43" s="26"/>
      <c r="AK43" s="22"/>
      <c r="AL43"/>
      <c r="AS43" t="s">
        <v>973</v>
      </c>
      <c r="AT43" t="s">
        <v>1211</v>
      </c>
      <c r="AU43" t="b">
        <f>IF(ckCodingTable[[#This Row],[ILN]]="N",SUBSTITUTE(AT42," ","")&lt;&gt;SUBSTITUTE(ckCodingTable[[#This Row],[prop_titl_txt]]," ",""), FALSE)</f>
        <v>0</v>
      </c>
      <c r="AV43">
        <v>0</v>
      </c>
      <c r="AW43" s="13">
        <v>450000</v>
      </c>
      <c r="AX43" s="13">
        <v>450000</v>
      </c>
      <c r="AY43" s="13"/>
      <c r="AZ43" s="13"/>
      <c r="BA43" s="13">
        <v>115470</v>
      </c>
      <c r="BB43" s="13"/>
      <c r="BD43">
        <v>3</v>
      </c>
      <c r="BG43">
        <v>1.8</v>
      </c>
      <c r="BH43">
        <v>0</v>
      </c>
      <c r="BI43">
        <v>0</v>
      </c>
      <c r="BJ43">
        <v>0</v>
      </c>
      <c r="BK43">
        <v>0</v>
      </c>
      <c r="BL43" t="s">
        <v>1216</v>
      </c>
    </row>
    <row r="44" spans="1:64" x14ac:dyDescent="0.4">
      <c r="A44" s="30">
        <v>42955.725289351853</v>
      </c>
      <c r="B44" s="30">
        <v>42809.477083333331</v>
      </c>
      <c r="C44" t="s">
        <v>1136</v>
      </c>
      <c r="D44" t="s">
        <v>222</v>
      </c>
      <c r="E44" t="s">
        <v>1137</v>
      </c>
      <c r="F44" t="s">
        <v>976</v>
      </c>
      <c r="G44" t="s">
        <v>172</v>
      </c>
      <c r="H44" s="21" t="s">
        <v>94</v>
      </c>
      <c r="I44" s="87">
        <v>1</v>
      </c>
      <c r="J44" s="87">
        <v>0</v>
      </c>
      <c r="K44" t="s">
        <v>1135</v>
      </c>
      <c r="L44" t="s">
        <v>406</v>
      </c>
      <c r="M44" t="s">
        <v>281</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1142</v>
      </c>
      <c r="R44" s="22">
        <v>42914.640474537038</v>
      </c>
      <c r="S44" s="21">
        <f>S43+(ckCodingTable[[#This Row],[ILN]]&lt;"M")</f>
        <v>36</v>
      </c>
      <c r="T44" s="21" t="s">
        <v>965</v>
      </c>
      <c r="U44" t="s">
        <v>1207</v>
      </c>
      <c r="V44" s="7" t="str">
        <f>HYPERLINK("https://www.ejacket.nsf.gov/ej/showProposal.do?ID="&amp;ckCodingTable[[#This Row],[prop_id]],"eJ")</f>
        <v>eJ</v>
      </c>
      <c r="W44" t="s">
        <v>224</v>
      </c>
      <c r="X44" t="s">
        <v>1217</v>
      </c>
      <c r="Y44" t="s">
        <v>1218</v>
      </c>
      <c r="Z44" t="s">
        <v>1219</v>
      </c>
      <c r="AA44" t="s">
        <v>1220</v>
      </c>
      <c r="AC44" s="30">
        <v>43009</v>
      </c>
      <c r="AD44">
        <v>36</v>
      </c>
      <c r="AJ44" s="26"/>
      <c r="AK44" s="22"/>
      <c r="AL44"/>
      <c r="AS44" t="s">
        <v>973</v>
      </c>
      <c r="AT44" t="s">
        <v>1211</v>
      </c>
      <c r="AU44" t="b">
        <f>IF(ckCodingTable[[#This Row],[ILN]]="N",SUBSTITUTE(AT43," ","")&lt;&gt;SUBSTITUTE(ckCodingTable[[#This Row],[prop_titl_txt]]," ",""), FALSE)</f>
        <v>0</v>
      </c>
      <c r="AV44">
        <v>1</v>
      </c>
      <c r="AW44" s="13">
        <v>438059</v>
      </c>
      <c r="AX44" s="13">
        <v>438059</v>
      </c>
      <c r="AY44" s="13"/>
      <c r="AZ44" s="13"/>
      <c r="BA44" s="13"/>
      <c r="BB44" s="13"/>
      <c r="BD44">
        <v>3</v>
      </c>
      <c r="BE44">
        <v>0.75</v>
      </c>
      <c r="BH44">
        <v>0</v>
      </c>
      <c r="BI44">
        <v>0</v>
      </c>
      <c r="BJ44">
        <v>0</v>
      </c>
      <c r="BK44">
        <v>0</v>
      </c>
      <c r="BL44" t="s">
        <v>1221</v>
      </c>
    </row>
    <row r="45" spans="1:64" x14ac:dyDescent="0.4">
      <c r="A45" s="30">
        <v>42934.517997685187</v>
      </c>
      <c r="B45" s="30">
        <v>42809.505555555559</v>
      </c>
      <c r="C45" t="s">
        <v>1136</v>
      </c>
      <c r="D45" t="s">
        <v>222</v>
      </c>
      <c r="E45" t="s">
        <v>1137</v>
      </c>
      <c r="F45" t="s">
        <v>992</v>
      </c>
      <c r="G45" t="s">
        <v>172</v>
      </c>
      <c r="H45" s="21" t="s">
        <v>94</v>
      </c>
      <c r="I45" s="87">
        <v>1</v>
      </c>
      <c r="J45" s="87">
        <v>0</v>
      </c>
      <c r="K45" t="s">
        <v>1135</v>
      </c>
      <c r="L45" t="s">
        <v>451</v>
      </c>
      <c r="M45" t="s">
        <v>280</v>
      </c>
      <c r="N45" t="str">
        <f>IF(SUM(ckCodingTable[[#This Row],[NfmlPIs]:[NnonWhtAsnPIs]])&gt;0,"WMD","")</f>
        <v>WMD</v>
      </c>
      <c r="O45" t="b">
        <f>_xlfn.XOR(IFERROR(MATCH(ckCodingTable[[#This Row],[st_code]],EpscorTable[],0)&gt;0,FALSE),IFERROR(FIND("9150",ckCodingTable[[#This Row],[propPRCs]])&gt;0,FALSE))</f>
        <v>0</v>
      </c>
      <c r="P45" s="21" t="b">
        <f>_xlfn.XOR(ckCodingTable[[#This Row],[wmd]]&lt;&gt;"",IFERROR(FIND("9102",ckCodingTable[[#This Row],[propPRCs]])&gt;0,FALSE))</f>
        <v>1</v>
      </c>
      <c r="Q45" t="s">
        <v>1142</v>
      </c>
      <c r="R45" s="22">
        <v>42933.641435185185</v>
      </c>
      <c r="S45" s="21">
        <f>S44+(ckCodingTable[[#This Row],[ILN]]&lt;"M")</f>
        <v>37</v>
      </c>
      <c r="T45" s="21" t="s">
        <v>96</v>
      </c>
      <c r="U45" t="s">
        <v>1222</v>
      </c>
      <c r="V45" s="7" t="str">
        <f>HYPERLINK("https://www.ejacket.nsf.gov/ej/showProposal.do?ID="&amp;ckCodingTable[[#This Row],[prop_id]],"eJ")</f>
        <v>eJ</v>
      </c>
      <c r="W45" t="s">
        <v>224</v>
      </c>
      <c r="X45" t="s">
        <v>1222</v>
      </c>
      <c r="Y45" t="s">
        <v>1223</v>
      </c>
      <c r="Z45" t="s">
        <v>1224</v>
      </c>
      <c r="AA45" t="s">
        <v>223</v>
      </c>
      <c r="AC45" s="30">
        <v>43009</v>
      </c>
      <c r="AD45">
        <v>36</v>
      </c>
      <c r="AE45">
        <v>1</v>
      </c>
      <c r="AH45" s="21">
        <v>2.08</v>
      </c>
      <c r="AI45" t="s">
        <v>1226</v>
      </c>
      <c r="AJ45" s="26">
        <v>7</v>
      </c>
      <c r="AK45" s="22">
        <v>42872.510416666664</v>
      </c>
      <c r="AL45">
        <v>3</v>
      </c>
      <c r="AO45">
        <v>2</v>
      </c>
      <c r="AS45" t="s">
        <v>991</v>
      </c>
      <c r="AT45" t="s">
        <v>1227</v>
      </c>
      <c r="AU45" t="b">
        <f>IF(ckCodingTable[[#This Row],[ILN]]="N",SUBSTITUTE(AT44," ","")&lt;&gt;SUBSTITUTE(ckCodingTable[[#This Row],[prop_titl_txt]]," ",""), FALSE)</f>
        <v>0</v>
      </c>
      <c r="AV45">
        <v>1</v>
      </c>
      <c r="AW45" s="13">
        <v>1500000</v>
      </c>
      <c r="AX45" s="13">
        <v>1368500</v>
      </c>
      <c r="AY45" s="13"/>
      <c r="AZ45" s="13"/>
      <c r="BA45" s="13">
        <v>248951</v>
      </c>
      <c r="BB45" s="13"/>
      <c r="BD45">
        <v>15</v>
      </c>
      <c r="BE45">
        <v>12</v>
      </c>
      <c r="BH45">
        <v>2</v>
      </c>
      <c r="BI45">
        <v>0</v>
      </c>
      <c r="BJ45">
        <v>0</v>
      </c>
      <c r="BK45">
        <v>0</v>
      </c>
      <c r="BL45" t="s">
        <v>1225</v>
      </c>
    </row>
    <row r="46" spans="1:64" x14ac:dyDescent="0.4">
      <c r="A46" s="30">
        <v>42955.695937500001</v>
      </c>
      <c r="B46" s="30">
        <v>42809.513194444444</v>
      </c>
      <c r="C46" t="s">
        <v>1136</v>
      </c>
      <c r="D46" t="s">
        <v>222</v>
      </c>
      <c r="E46" t="s">
        <v>1137</v>
      </c>
      <c r="F46" t="s">
        <v>976</v>
      </c>
      <c r="G46" t="s">
        <v>172</v>
      </c>
      <c r="H46" s="21" t="s">
        <v>94</v>
      </c>
      <c r="I46" s="87">
        <v>1</v>
      </c>
      <c r="J46" s="87">
        <v>0</v>
      </c>
      <c r="K46" t="s">
        <v>1135</v>
      </c>
      <c r="L46" t="s">
        <v>406</v>
      </c>
      <c r="M46" t="s">
        <v>276</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1142</v>
      </c>
      <c r="R46" s="22">
        <v>42914.640543981484</v>
      </c>
      <c r="S46" s="21">
        <f>S45+(ckCodingTable[[#This Row],[ILN]]&lt;"M")</f>
        <v>38</v>
      </c>
      <c r="T46" s="21" t="s">
        <v>96</v>
      </c>
      <c r="U46" t="s">
        <v>1228</v>
      </c>
      <c r="V46" s="7" t="str">
        <f>HYPERLINK("https://www.ejacket.nsf.gov/ej/showProposal.do?ID="&amp;ckCodingTable[[#This Row],[prop_id]],"eJ")</f>
        <v>eJ</v>
      </c>
      <c r="W46" t="s">
        <v>224</v>
      </c>
      <c r="X46" t="s">
        <v>1228</v>
      </c>
      <c r="Y46" t="s">
        <v>1229</v>
      </c>
      <c r="Z46" t="s">
        <v>1230</v>
      </c>
      <c r="AA46" t="s">
        <v>1231</v>
      </c>
      <c r="AC46" s="30">
        <v>43009</v>
      </c>
      <c r="AD46">
        <v>36</v>
      </c>
      <c r="AE46">
        <v>1</v>
      </c>
      <c r="AG46">
        <v>1</v>
      </c>
      <c r="AH46" s="21">
        <v>4.22</v>
      </c>
      <c r="AI46" t="s">
        <v>1233</v>
      </c>
      <c r="AJ46" s="26">
        <v>3.6666666666666665</v>
      </c>
      <c r="AK46" s="22">
        <v>42870.936111111114</v>
      </c>
      <c r="AL46">
        <v>3</v>
      </c>
      <c r="AS46" t="s">
        <v>973</v>
      </c>
      <c r="AT46" t="s">
        <v>1234</v>
      </c>
      <c r="AU46" t="b">
        <f>IF(ckCodingTable[[#This Row],[ILN]]="N",SUBSTITUTE(AT45," ","")&lt;&gt;SUBSTITUTE(ckCodingTable[[#This Row],[prop_titl_txt]]," ",""), FALSE)</f>
        <v>0</v>
      </c>
      <c r="AV46">
        <v>0</v>
      </c>
      <c r="AW46" s="13">
        <v>1499915</v>
      </c>
      <c r="AX46" s="13">
        <v>1499915</v>
      </c>
      <c r="AY46" s="13"/>
      <c r="AZ46" s="13">
        <v>29000</v>
      </c>
      <c r="BA46" s="13">
        <v>170000</v>
      </c>
      <c r="BB46" s="13">
        <v>8000</v>
      </c>
      <c r="BC46">
        <v>18</v>
      </c>
      <c r="BD46">
        <v>36</v>
      </c>
      <c r="BE46">
        <v>12</v>
      </c>
      <c r="BH46">
        <v>0</v>
      </c>
      <c r="BI46">
        <v>0</v>
      </c>
      <c r="BJ46">
        <v>0</v>
      </c>
      <c r="BK46">
        <v>0</v>
      </c>
      <c r="BL46" t="s">
        <v>1232</v>
      </c>
    </row>
    <row r="47" spans="1:64" x14ac:dyDescent="0.4">
      <c r="A47" s="30">
        <v>42954.665173611109</v>
      </c>
      <c r="B47" s="30">
        <v>42809.573611111111</v>
      </c>
      <c r="C47" t="s">
        <v>1136</v>
      </c>
      <c r="D47" t="s">
        <v>222</v>
      </c>
      <c r="E47" t="s">
        <v>1137</v>
      </c>
      <c r="F47" t="s">
        <v>976</v>
      </c>
      <c r="G47" t="s">
        <v>172</v>
      </c>
      <c r="H47" s="21" t="s">
        <v>94</v>
      </c>
      <c r="I47" s="87">
        <v>1</v>
      </c>
      <c r="J47" s="87">
        <v>0</v>
      </c>
      <c r="K47" t="s">
        <v>1135</v>
      </c>
      <c r="L47" t="s">
        <v>451</v>
      </c>
      <c r="M47" t="s">
        <v>276</v>
      </c>
      <c r="N47" t="str">
        <f>IF(SUM(ckCodingTable[[#This Row],[NfmlPIs]:[NnonWhtAsnPIs]])&gt;0,"WMD","")</f>
        <v>WMD</v>
      </c>
      <c r="O47" t="b">
        <f>_xlfn.XOR(IFERROR(MATCH(ckCodingTable[[#This Row],[st_code]],EpscorTable[],0)&gt;0,FALSE),IFERROR(FIND("9150",ckCodingTable[[#This Row],[propPRCs]])&gt;0,FALSE))</f>
        <v>0</v>
      </c>
      <c r="P47" s="21" t="b">
        <f>_xlfn.XOR(ckCodingTable[[#This Row],[wmd]]&lt;&gt;"",IFERROR(FIND("9102",ckCodingTable[[#This Row],[propPRCs]])&gt;0,FALSE))</f>
        <v>1</v>
      </c>
      <c r="Q47" t="s">
        <v>1142</v>
      </c>
      <c r="R47" s="22">
        <v>42951.496446759258</v>
      </c>
      <c r="S47" s="21">
        <f>S46+(ckCodingTable[[#This Row],[ILN]]&lt;"M")</f>
        <v>39</v>
      </c>
      <c r="T47" s="21" t="s">
        <v>96</v>
      </c>
      <c r="U47" t="s">
        <v>1235</v>
      </c>
      <c r="V47" s="7" t="str">
        <f>HYPERLINK("https://www.ejacket.nsf.gov/ej/showProposal.do?ID="&amp;ckCodingTable[[#This Row],[prop_id]],"eJ")</f>
        <v>eJ</v>
      </c>
      <c r="W47" t="s">
        <v>224</v>
      </c>
      <c r="X47" t="s">
        <v>1235</v>
      </c>
      <c r="Y47" t="s">
        <v>1236</v>
      </c>
      <c r="Z47" t="s">
        <v>1237</v>
      </c>
      <c r="AA47" t="s">
        <v>424</v>
      </c>
      <c r="AC47" s="30">
        <v>43282</v>
      </c>
      <c r="AD47">
        <v>36</v>
      </c>
      <c r="AE47">
        <v>1</v>
      </c>
      <c r="AH47" s="21">
        <v>3.11</v>
      </c>
      <c r="AI47" t="s">
        <v>1239</v>
      </c>
      <c r="AJ47" s="26">
        <v>5.333333333333333</v>
      </c>
      <c r="AK47" s="22">
        <v>42872.477777777778</v>
      </c>
      <c r="AL47">
        <v>3</v>
      </c>
      <c r="AO47">
        <v>1</v>
      </c>
      <c r="AS47" t="s">
        <v>973</v>
      </c>
      <c r="AT47" t="s">
        <v>1240</v>
      </c>
      <c r="AU47" t="b">
        <f>IF(ckCodingTable[[#This Row],[ILN]]="N",SUBSTITUTE(AT46," ","")&lt;&gt;SUBSTITUTE(ckCodingTable[[#This Row],[prop_titl_txt]]," ",""), FALSE)</f>
        <v>0</v>
      </c>
      <c r="AV47">
        <v>0</v>
      </c>
      <c r="AW47" s="13">
        <v>1500000</v>
      </c>
      <c r="AX47" s="13">
        <v>1500000</v>
      </c>
      <c r="AY47" s="13"/>
      <c r="AZ47" s="13"/>
      <c r="BA47" s="13"/>
      <c r="BB47" s="13">
        <v>66540</v>
      </c>
      <c r="BC47">
        <v>18</v>
      </c>
      <c r="BD47">
        <v>15</v>
      </c>
      <c r="BE47">
        <v>3</v>
      </c>
      <c r="BG47">
        <v>6</v>
      </c>
      <c r="BH47">
        <v>2</v>
      </c>
      <c r="BI47">
        <v>0</v>
      </c>
      <c r="BJ47">
        <v>0</v>
      </c>
      <c r="BK47">
        <v>0</v>
      </c>
      <c r="BL47" t="s">
        <v>1238</v>
      </c>
    </row>
    <row r="48" spans="1:64" x14ac:dyDescent="0.4">
      <c r="A48" s="30">
        <v>42930.452893518515</v>
      </c>
      <c r="B48" s="30">
        <v>42809.593055555553</v>
      </c>
      <c r="C48" t="s">
        <v>1136</v>
      </c>
      <c r="D48" t="s">
        <v>222</v>
      </c>
      <c r="E48" t="s">
        <v>1137</v>
      </c>
      <c r="F48" t="s">
        <v>992</v>
      </c>
      <c r="G48" t="s">
        <v>172</v>
      </c>
      <c r="H48" s="21" t="s">
        <v>94</v>
      </c>
      <c r="I48" s="87">
        <v>1</v>
      </c>
      <c r="J48" s="87">
        <v>0</v>
      </c>
      <c r="K48" t="s">
        <v>1135</v>
      </c>
      <c r="L48" t="s">
        <v>1241</v>
      </c>
      <c r="M48" t="s">
        <v>283</v>
      </c>
      <c r="N48" t="str">
        <f>IF(SUM(ckCodingTable[[#This Row],[NfmlPIs]:[NnonWhtAsnPIs]])&gt;0,"WMD","")</f>
        <v>WMD</v>
      </c>
      <c r="O48" t="b">
        <f>_xlfn.XOR(IFERROR(MATCH(ckCodingTable[[#This Row],[st_code]],EpscorTable[],0)&gt;0,FALSE),IFERROR(FIND("9150",ckCodingTable[[#This Row],[propPRCs]])&gt;0,FALSE))</f>
        <v>0</v>
      </c>
      <c r="P48" s="21" t="b">
        <f>_xlfn.XOR(ckCodingTable[[#This Row],[wmd]]&lt;&gt;"",IFERROR(FIND("9102",ckCodingTable[[#This Row],[propPRCs]])&gt;0,FALSE))</f>
        <v>1</v>
      </c>
      <c r="Q48" t="s">
        <v>1142</v>
      </c>
      <c r="R48" s="22">
        <v>42926.717858796299</v>
      </c>
      <c r="S48" s="21">
        <f>S47+(ckCodingTable[[#This Row],[ILN]]&lt;"M")</f>
        <v>40</v>
      </c>
      <c r="T48" s="21" t="s">
        <v>96</v>
      </c>
      <c r="U48" t="s">
        <v>1242</v>
      </c>
      <c r="V48" s="7" t="str">
        <f>HYPERLINK("https://www.ejacket.nsf.gov/ej/showProposal.do?ID="&amp;ckCodingTable[[#This Row],[prop_id]],"eJ")</f>
        <v>eJ</v>
      </c>
      <c r="W48" t="s">
        <v>224</v>
      </c>
      <c r="X48" t="s">
        <v>1242</v>
      </c>
      <c r="Y48" t="s">
        <v>1243</v>
      </c>
      <c r="Z48" t="s">
        <v>1244</v>
      </c>
      <c r="AA48" t="s">
        <v>1040</v>
      </c>
      <c r="AC48" s="30">
        <v>42979</v>
      </c>
      <c r="AD48">
        <v>36</v>
      </c>
      <c r="AE48">
        <v>1</v>
      </c>
      <c r="AH48" s="21">
        <v>2.0299999999999998</v>
      </c>
      <c r="AI48" t="s">
        <v>1226</v>
      </c>
      <c r="AJ48" s="26">
        <v>7</v>
      </c>
      <c r="AK48" s="22">
        <v>42871.888888888891</v>
      </c>
      <c r="AL48">
        <v>3</v>
      </c>
      <c r="AO48">
        <v>1</v>
      </c>
      <c r="AS48" t="s">
        <v>991</v>
      </c>
      <c r="AT48" t="s">
        <v>1246</v>
      </c>
      <c r="AU48" t="b">
        <f>IF(ckCodingTable[[#This Row],[ILN]]="N",SUBSTITUTE(AT47," ","")&lt;&gt;SUBSTITUTE(ckCodingTable[[#This Row],[prop_titl_txt]]," ",""), FALSE)</f>
        <v>0</v>
      </c>
      <c r="AV48">
        <v>0</v>
      </c>
      <c r="AW48" s="13">
        <v>1500000</v>
      </c>
      <c r="AX48" s="13">
        <v>1500000</v>
      </c>
      <c r="AY48" s="13"/>
      <c r="AZ48" s="13">
        <v>22500</v>
      </c>
      <c r="BA48" s="13">
        <v>185454</v>
      </c>
      <c r="BB48" s="13">
        <v>168750</v>
      </c>
      <c r="BC48">
        <v>6</v>
      </c>
      <c r="BD48">
        <v>24</v>
      </c>
      <c r="BG48">
        <v>3.87</v>
      </c>
      <c r="BH48">
        <v>2</v>
      </c>
      <c r="BI48">
        <v>0</v>
      </c>
      <c r="BJ48">
        <v>0</v>
      </c>
      <c r="BK48">
        <v>0</v>
      </c>
      <c r="BL48" t="s">
        <v>1245</v>
      </c>
    </row>
    <row r="49" spans="1:64" x14ac:dyDescent="0.4">
      <c r="A49" s="30">
        <v>42955.726944444446</v>
      </c>
      <c r="B49" s="30">
        <v>42809.597916666666</v>
      </c>
      <c r="C49" t="s">
        <v>1136</v>
      </c>
      <c r="D49" t="s">
        <v>222</v>
      </c>
      <c r="E49" t="s">
        <v>1137</v>
      </c>
      <c r="F49" t="s">
        <v>976</v>
      </c>
      <c r="G49" t="s">
        <v>172</v>
      </c>
      <c r="H49" s="21" t="s">
        <v>94</v>
      </c>
      <c r="I49" s="87">
        <v>1</v>
      </c>
      <c r="J49" s="87">
        <v>0</v>
      </c>
      <c r="K49" t="s">
        <v>1135</v>
      </c>
      <c r="L49" t="s">
        <v>406</v>
      </c>
      <c r="M49" t="s">
        <v>281</v>
      </c>
      <c r="N49" t="str">
        <f>IF(SUM(ckCodingTable[[#This Row],[NfmlPIs]:[NnonWhtAsnPIs]])&gt;0,"WMD","")</f>
        <v>WMD</v>
      </c>
      <c r="O49" t="b">
        <f>_xlfn.XOR(IFERROR(MATCH(ckCodingTable[[#This Row],[st_code]],EpscorTable[],0)&gt;0,FALSE),IFERROR(FIND("9150",ckCodingTable[[#This Row],[propPRCs]])&gt;0,FALSE))</f>
        <v>0</v>
      </c>
      <c r="P49" s="21" t="b">
        <f>_xlfn.XOR(ckCodingTable[[#This Row],[wmd]]&lt;&gt;"",IFERROR(FIND("9102",ckCodingTable[[#This Row],[propPRCs]])&gt;0,FALSE))</f>
        <v>0</v>
      </c>
      <c r="Q49" t="s">
        <v>1176</v>
      </c>
      <c r="R49" s="22">
        <v>42914.640601851854</v>
      </c>
      <c r="S49" s="21">
        <f>S48+(ckCodingTable[[#This Row],[ILN]]&lt;"M")</f>
        <v>41</v>
      </c>
      <c r="T49" s="21" t="s">
        <v>1145</v>
      </c>
      <c r="U49" t="s">
        <v>1247</v>
      </c>
      <c r="V49" s="7" t="str">
        <f>HYPERLINK("https://www.ejacket.nsf.gov/ej/showProposal.do?ID="&amp;ckCodingTable[[#This Row],[prop_id]],"eJ")</f>
        <v>eJ</v>
      </c>
      <c r="W49" t="s">
        <v>224</v>
      </c>
      <c r="X49" t="s">
        <v>1247</v>
      </c>
      <c r="Y49" t="s">
        <v>1248</v>
      </c>
      <c r="Z49" t="s">
        <v>1249</v>
      </c>
      <c r="AA49" t="s">
        <v>1250</v>
      </c>
      <c r="AC49" s="30">
        <v>42979</v>
      </c>
      <c r="AD49">
        <v>36</v>
      </c>
      <c r="AE49">
        <v>1</v>
      </c>
      <c r="AG49">
        <v>1</v>
      </c>
      <c r="AH49" s="21">
        <v>4.22</v>
      </c>
      <c r="AI49" t="s">
        <v>1252</v>
      </c>
      <c r="AJ49" s="26">
        <v>3.6666666666666665</v>
      </c>
      <c r="AK49" s="22">
        <v>42871.856249999997</v>
      </c>
      <c r="AL49">
        <v>3</v>
      </c>
      <c r="AO49">
        <v>1</v>
      </c>
      <c r="AS49" t="s">
        <v>973</v>
      </c>
      <c r="AT49" t="s">
        <v>1253</v>
      </c>
      <c r="AU49" t="b">
        <f>IF(ckCodingTable[[#This Row],[ILN]]="N",SUBSTITUTE(AT48," ","")&lt;&gt;SUBSTITUTE(ckCodingTable[[#This Row],[prop_titl_txt]]," ",""), FALSE)</f>
        <v>0</v>
      </c>
      <c r="AV49">
        <v>0</v>
      </c>
      <c r="AW49" s="13">
        <v>285964</v>
      </c>
      <c r="AX49" s="13">
        <v>285964</v>
      </c>
      <c r="AY49" s="13"/>
      <c r="AZ49" s="13"/>
      <c r="BA49" s="13"/>
      <c r="BB49" s="13">
        <v>10000</v>
      </c>
      <c r="BC49">
        <v>3</v>
      </c>
      <c r="BD49">
        <v>6</v>
      </c>
      <c r="BE49">
        <v>6</v>
      </c>
      <c r="BH49">
        <v>0</v>
      </c>
      <c r="BI49">
        <v>1</v>
      </c>
      <c r="BJ49">
        <v>0</v>
      </c>
      <c r="BK49">
        <v>0</v>
      </c>
      <c r="BL49" t="s">
        <v>1251</v>
      </c>
    </row>
    <row r="50" spans="1:64" x14ac:dyDescent="0.4">
      <c r="A50" s="30">
        <v>42955.726944444446</v>
      </c>
      <c r="B50" s="30">
        <v>42809.414583333331</v>
      </c>
      <c r="C50" t="s">
        <v>1136</v>
      </c>
      <c r="D50" t="s">
        <v>222</v>
      </c>
      <c r="E50" t="s">
        <v>1137</v>
      </c>
      <c r="F50" t="s">
        <v>976</v>
      </c>
      <c r="G50" t="s">
        <v>172</v>
      </c>
      <c r="H50" s="21" t="s">
        <v>94</v>
      </c>
      <c r="I50" s="87">
        <v>1</v>
      </c>
      <c r="J50" s="87">
        <v>0</v>
      </c>
      <c r="K50" t="s">
        <v>1135</v>
      </c>
      <c r="L50" t="s">
        <v>406</v>
      </c>
      <c r="M50" t="s">
        <v>281</v>
      </c>
      <c r="N50" t="str">
        <f>IF(SUM(ckCodingTable[[#This Row],[NfmlPIs]:[NnonWhtAsnPIs]])&gt;0,"WMD","")</f>
        <v>WMD</v>
      </c>
      <c r="O50" t="b">
        <f>_xlfn.XOR(IFERROR(MATCH(ckCodingTable[[#This Row],[st_code]],EpscorTable[],0)&gt;0,FALSE),IFERROR(FIND("9150",ckCodingTable[[#This Row],[propPRCs]])&gt;0,FALSE))</f>
        <v>0</v>
      </c>
      <c r="P50" s="21" t="b">
        <f>_xlfn.XOR(ckCodingTable[[#This Row],[wmd]]&lt;&gt;"",IFERROR(FIND("9102",ckCodingTable[[#This Row],[propPRCs]])&gt;0,FALSE))</f>
        <v>0</v>
      </c>
      <c r="Q50" t="s">
        <v>1176</v>
      </c>
      <c r="R50" s="22">
        <v>42914.640601851854</v>
      </c>
      <c r="S50" s="21">
        <f>S49+(ckCodingTable[[#This Row],[ILN]]&lt;"M")</f>
        <v>41</v>
      </c>
      <c r="T50" s="21" t="s">
        <v>965</v>
      </c>
      <c r="U50" t="s">
        <v>1247</v>
      </c>
      <c r="V50" s="7" t="str">
        <f>HYPERLINK("https://www.ejacket.nsf.gov/ej/showProposal.do?ID="&amp;ckCodingTable[[#This Row],[prop_id]],"eJ")</f>
        <v>eJ</v>
      </c>
      <c r="W50" t="s">
        <v>224</v>
      </c>
      <c r="X50" t="s">
        <v>1254</v>
      </c>
      <c r="Y50" t="s">
        <v>1255</v>
      </c>
      <c r="Z50" t="s">
        <v>1256</v>
      </c>
      <c r="AA50" t="s">
        <v>220</v>
      </c>
      <c r="AC50" s="30">
        <v>42979</v>
      </c>
      <c r="AD50">
        <v>36</v>
      </c>
      <c r="AJ50" s="26"/>
      <c r="AK50" s="22"/>
      <c r="AL50"/>
      <c r="AS50" t="s">
        <v>973</v>
      </c>
      <c r="AT50" t="s">
        <v>1253</v>
      </c>
      <c r="AU50" t="b">
        <f>IF(ckCodingTable[[#This Row],[ILN]]="N",SUBSTITUTE(AT49," ","")&lt;&gt;SUBSTITUTE(ckCodingTable[[#This Row],[prop_titl_txt]]," ",""), FALSE)</f>
        <v>0</v>
      </c>
      <c r="AV50">
        <v>0</v>
      </c>
      <c r="AW50" s="13">
        <v>209549</v>
      </c>
      <c r="AX50" s="13">
        <v>209549</v>
      </c>
      <c r="AY50" s="13"/>
      <c r="AZ50" s="13"/>
      <c r="BA50" s="13"/>
      <c r="BB50" s="13"/>
      <c r="BD50">
        <v>3</v>
      </c>
      <c r="BG50">
        <v>11.44</v>
      </c>
      <c r="BH50">
        <v>1</v>
      </c>
      <c r="BI50">
        <v>0</v>
      </c>
      <c r="BJ50">
        <v>0</v>
      </c>
      <c r="BK50">
        <v>0</v>
      </c>
      <c r="BL50" t="s">
        <v>1257</v>
      </c>
    </row>
    <row r="51" spans="1:64" x14ac:dyDescent="0.4">
      <c r="A51" s="30">
        <v>42955.726944444446</v>
      </c>
      <c r="B51" s="30">
        <v>42809.475694444445</v>
      </c>
      <c r="C51" t="s">
        <v>1136</v>
      </c>
      <c r="F51"/>
      <c r="G51"/>
      <c r="I51" s="87"/>
      <c r="J51" s="87"/>
      <c r="L51" t="s">
        <v>406</v>
      </c>
      <c r="M51" t="s">
        <v>281</v>
      </c>
      <c r="N51" t="str">
        <f>IF(SUM(ckCodingTable[[#This Row],[NfmlPIs]:[NnonWhtAsnPIs]])&gt;0,"WMD","")</f>
        <v>WMD</v>
      </c>
      <c r="O51" t="b">
        <f>_xlfn.XOR(IFERROR(MATCH(ckCodingTable[[#This Row],[st_code]],EpscorTable[],0)&gt;0,FALSE),IFERROR(FIND("9150",ckCodingTable[[#This Row],[propPRCs]])&gt;0,FALSE))</f>
        <v>0</v>
      </c>
      <c r="P51" s="21" t="b">
        <f>_xlfn.XOR(ckCodingTable[[#This Row],[wmd]]&lt;&gt;"",IFERROR(FIND("9102",ckCodingTable[[#This Row],[propPRCs]])&gt;0,FALSE))</f>
        <v>0</v>
      </c>
      <c r="Q51" t="s">
        <v>1176</v>
      </c>
      <c r="R51" s="22">
        <v>42914.640601851854</v>
      </c>
      <c r="S51" s="21">
        <f>S50+(ckCodingTable[[#This Row],[ILN]]&lt;"M")</f>
        <v>41</v>
      </c>
      <c r="T51" s="21" t="s">
        <v>965</v>
      </c>
      <c r="U51" t="s">
        <v>1247</v>
      </c>
      <c r="V51" s="7" t="str">
        <f>HYPERLINK("https://www.ejacket.nsf.gov/ej/showProposal.do?ID="&amp;ckCodingTable[[#This Row],[prop_id]],"eJ")</f>
        <v>eJ</v>
      </c>
      <c r="W51" t="s">
        <v>224</v>
      </c>
      <c r="X51" t="s">
        <v>1258</v>
      </c>
      <c r="Y51" t="s">
        <v>1259</v>
      </c>
      <c r="Z51" t="s">
        <v>1260</v>
      </c>
      <c r="AA51" t="s">
        <v>1261</v>
      </c>
      <c r="AD51"/>
      <c r="AJ51" s="26"/>
      <c r="AK51" s="22"/>
      <c r="AL51"/>
      <c r="AS51" t="s">
        <v>973</v>
      </c>
      <c r="AT51" t="s">
        <v>1253</v>
      </c>
      <c r="AU51" t="b">
        <f>IF(ckCodingTable[[#This Row],[ILN]]="N",SUBSTITUTE(AT50," ","")&lt;&gt;SUBSTITUTE(ckCodingTable[[#This Row],[prop_titl_txt]]," ",""), FALSE)</f>
        <v>0</v>
      </c>
      <c r="AV51">
        <v>0</v>
      </c>
      <c r="AW51" s="13">
        <v>361729</v>
      </c>
      <c r="AX51" s="13">
        <v>361729</v>
      </c>
      <c r="AY51" s="13"/>
      <c r="AZ51" s="13">
        <v>18000</v>
      </c>
      <c r="BA51" s="13"/>
      <c r="BB51" s="13"/>
      <c r="BC51">
        <v>12</v>
      </c>
      <c r="BD51">
        <v>9</v>
      </c>
      <c r="BE51">
        <v>5.13</v>
      </c>
      <c r="BH51">
        <v>2</v>
      </c>
      <c r="BI51">
        <v>0</v>
      </c>
      <c r="BJ51">
        <v>0</v>
      </c>
      <c r="BK51">
        <v>0</v>
      </c>
      <c r="BL51" t="s">
        <v>1262</v>
      </c>
    </row>
    <row r="52" spans="1:64" x14ac:dyDescent="0.4">
      <c r="A52" s="30">
        <v>42955.726944444446</v>
      </c>
      <c r="B52" s="30">
        <v>42809.482638888891</v>
      </c>
      <c r="C52" t="s">
        <v>1136</v>
      </c>
      <c r="D52" t="s">
        <v>222</v>
      </c>
      <c r="E52" t="s">
        <v>1137</v>
      </c>
      <c r="F52" t="s">
        <v>976</v>
      </c>
      <c r="G52" t="s">
        <v>172</v>
      </c>
      <c r="H52" s="21" t="s">
        <v>94</v>
      </c>
      <c r="I52" s="87">
        <v>1</v>
      </c>
      <c r="J52" s="87">
        <v>0</v>
      </c>
      <c r="K52" t="s">
        <v>1135</v>
      </c>
      <c r="L52" t="s">
        <v>406</v>
      </c>
      <c r="M52" t="s">
        <v>281</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1142</v>
      </c>
      <c r="R52" s="22">
        <v>42914.640601851854</v>
      </c>
      <c r="S52" s="21">
        <f>S51+(ckCodingTable[[#This Row],[ILN]]&lt;"M")</f>
        <v>41</v>
      </c>
      <c r="T52" s="21" t="s">
        <v>965</v>
      </c>
      <c r="U52" t="s">
        <v>1247</v>
      </c>
      <c r="V52" s="7" t="str">
        <f>HYPERLINK("https://www.ejacket.nsf.gov/ej/showProposal.do?ID="&amp;ckCodingTable[[#This Row],[prop_id]],"eJ")</f>
        <v>eJ</v>
      </c>
      <c r="W52" t="s">
        <v>224</v>
      </c>
      <c r="X52" t="s">
        <v>1263</v>
      </c>
      <c r="Y52" t="s">
        <v>1264</v>
      </c>
      <c r="Z52" t="s">
        <v>1265</v>
      </c>
      <c r="AA52" t="s">
        <v>1266</v>
      </c>
      <c r="AC52" s="30">
        <v>42979</v>
      </c>
      <c r="AD52">
        <v>36</v>
      </c>
      <c r="AJ52" s="26"/>
      <c r="AK52" s="22"/>
      <c r="AL52"/>
      <c r="AS52" t="s">
        <v>973</v>
      </c>
      <c r="AT52" t="s">
        <v>1268</v>
      </c>
      <c r="AU52" t="b">
        <f>IF(ckCodingTable[[#This Row],[ILN]]="N",SUBSTITUTE(AT51," ","")&lt;&gt;SUBSTITUTE(ckCodingTable[[#This Row],[prop_titl_txt]]," ",""), FALSE)</f>
        <v>1</v>
      </c>
      <c r="AV52">
        <v>0</v>
      </c>
      <c r="AW52" s="13">
        <v>248472</v>
      </c>
      <c r="AX52" s="13">
        <v>248472</v>
      </c>
      <c r="AY52" s="13"/>
      <c r="AZ52" s="13">
        <v>10500</v>
      </c>
      <c r="BA52" s="13"/>
      <c r="BB52" s="13">
        <v>20000</v>
      </c>
      <c r="BD52">
        <v>6</v>
      </c>
      <c r="BE52">
        <v>6</v>
      </c>
      <c r="BH52">
        <v>0</v>
      </c>
      <c r="BI52">
        <v>0</v>
      </c>
      <c r="BJ52">
        <v>0</v>
      </c>
      <c r="BK52">
        <v>0</v>
      </c>
      <c r="BL52" t="s">
        <v>1267</v>
      </c>
    </row>
    <row r="53" spans="1:64" x14ac:dyDescent="0.4">
      <c r="A53" s="30">
        <v>42955.726944444446</v>
      </c>
      <c r="B53" s="30">
        <v>42809.584722222222</v>
      </c>
      <c r="C53" t="s">
        <v>1136</v>
      </c>
      <c r="D53" t="s">
        <v>222</v>
      </c>
      <c r="E53" t="s">
        <v>1137</v>
      </c>
      <c r="F53" t="s">
        <v>976</v>
      </c>
      <c r="G53" t="s">
        <v>172</v>
      </c>
      <c r="H53" s="21" t="s">
        <v>94</v>
      </c>
      <c r="I53" s="87">
        <v>1</v>
      </c>
      <c r="J53" s="87">
        <v>0</v>
      </c>
      <c r="K53" t="s">
        <v>1135</v>
      </c>
      <c r="L53" t="s">
        <v>406</v>
      </c>
      <c r="M53" t="s">
        <v>281</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1142</v>
      </c>
      <c r="R53" s="22">
        <v>42914.640601851854</v>
      </c>
      <c r="S53" s="21">
        <f>S52+(ckCodingTable[[#This Row],[ILN]]&lt;"M")</f>
        <v>41</v>
      </c>
      <c r="T53" s="21" t="s">
        <v>965</v>
      </c>
      <c r="U53" t="s">
        <v>1247</v>
      </c>
      <c r="V53" s="7" t="str">
        <f>HYPERLINK("https://www.ejacket.nsf.gov/ej/showProposal.do?ID="&amp;ckCodingTable[[#This Row],[prop_id]],"eJ")</f>
        <v>eJ</v>
      </c>
      <c r="W53" t="s">
        <v>224</v>
      </c>
      <c r="X53" t="s">
        <v>1269</v>
      </c>
      <c r="Y53" t="s">
        <v>1270</v>
      </c>
      <c r="Z53" t="s">
        <v>1271</v>
      </c>
      <c r="AA53" t="s">
        <v>1272</v>
      </c>
      <c r="AC53" s="30">
        <v>42979</v>
      </c>
      <c r="AD53">
        <v>36</v>
      </c>
      <c r="AJ53" s="26"/>
      <c r="AK53" s="22"/>
      <c r="AL53"/>
      <c r="AS53" t="s">
        <v>973</v>
      </c>
      <c r="AT53" t="s">
        <v>1253</v>
      </c>
      <c r="AU53" t="b">
        <f>IF(ckCodingTable[[#This Row],[ILN]]="N",SUBSTITUTE(AT52," ","")&lt;&gt;SUBSTITUTE(ckCodingTable[[#This Row],[prop_titl_txt]]," ",""), FALSE)</f>
        <v>1</v>
      </c>
      <c r="AV53">
        <v>0</v>
      </c>
      <c r="AW53" s="13">
        <v>393365</v>
      </c>
      <c r="AX53" s="13">
        <v>393365</v>
      </c>
      <c r="AY53" s="13"/>
      <c r="AZ53" s="13"/>
      <c r="BA53" s="13"/>
      <c r="BB53" s="13"/>
      <c r="BC53">
        <v>13</v>
      </c>
      <c r="BD53">
        <v>9</v>
      </c>
      <c r="BE53">
        <v>9</v>
      </c>
      <c r="BH53">
        <v>0</v>
      </c>
      <c r="BI53">
        <v>0</v>
      </c>
      <c r="BJ53">
        <v>0</v>
      </c>
      <c r="BK53">
        <v>0</v>
      </c>
      <c r="BL53" t="s">
        <v>1273</v>
      </c>
    </row>
    <row r="54" spans="1:64" x14ac:dyDescent="0.4">
      <c r="A54" s="30">
        <v>42955.696875000001</v>
      </c>
      <c r="B54" s="30">
        <v>42809.598611111112</v>
      </c>
      <c r="C54" t="s">
        <v>1136</v>
      </c>
      <c r="D54" t="s">
        <v>222</v>
      </c>
      <c r="E54" t="s">
        <v>1137</v>
      </c>
      <c r="F54" t="s">
        <v>976</v>
      </c>
      <c r="G54" t="s">
        <v>172</v>
      </c>
      <c r="H54" s="21" t="s">
        <v>94</v>
      </c>
      <c r="I54" s="87">
        <v>1</v>
      </c>
      <c r="J54" s="87">
        <v>0</v>
      </c>
      <c r="K54" t="s">
        <v>1135</v>
      </c>
      <c r="L54" t="s">
        <v>406</v>
      </c>
      <c r="M54" t="s">
        <v>560</v>
      </c>
      <c r="N54" t="str">
        <f>IF(SUM(ckCodingTable[[#This Row],[NfmlPIs]:[NnonWhtAsnPIs]])&gt;0,"WMD","")</f>
        <v>WMD</v>
      </c>
      <c r="O54" t="b">
        <f>_xlfn.XOR(IFERROR(MATCH(ckCodingTable[[#This Row],[st_code]],EpscorTable[],0)&gt;0,FALSE),IFERROR(FIND("9150",ckCodingTable[[#This Row],[propPRCs]])&gt;0,FALSE))</f>
        <v>0</v>
      </c>
      <c r="P54" s="21" t="b">
        <f>_xlfn.XOR(ckCodingTable[[#This Row],[wmd]]&lt;&gt;"",IFERROR(FIND("9102",ckCodingTable[[#This Row],[propPRCs]])&gt;0,FALSE))</f>
        <v>0</v>
      </c>
      <c r="Q54" t="s">
        <v>1176</v>
      </c>
      <c r="R54" s="22">
        <v>42914.638993055552</v>
      </c>
      <c r="S54" s="21">
        <f>S53+(ckCodingTable[[#This Row],[ILN]]&lt;"M")</f>
        <v>42</v>
      </c>
      <c r="T54" s="21" t="s">
        <v>96</v>
      </c>
      <c r="U54" t="s">
        <v>1274</v>
      </c>
      <c r="V54" s="7" t="str">
        <f>HYPERLINK("https://www.ejacket.nsf.gov/ej/showProposal.do?ID="&amp;ckCodingTable[[#This Row],[prop_id]],"eJ")</f>
        <v>eJ</v>
      </c>
      <c r="W54" t="s">
        <v>224</v>
      </c>
      <c r="X54" t="s">
        <v>1274</v>
      </c>
      <c r="Y54" t="s">
        <v>1275</v>
      </c>
      <c r="Z54" t="s">
        <v>1276</v>
      </c>
      <c r="AA54" t="s">
        <v>1277</v>
      </c>
      <c r="AC54" s="30">
        <v>42948</v>
      </c>
      <c r="AD54">
        <v>36</v>
      </c>
      <c r="AE54">
        <v>1</v>
      </c>
      <c r="AH54" s="21">
        <v>3.11</v>
      </c>
      <c r="AI54" t="s">
        <v>1279</v>
      </c>
      <c r="AJ54" s="26">
        <v>6</v>
      </c>
      <c r="AK54" s="22">
        <v>42872.45</v>
      </c>
      <c r="AL54">
        <v>3</v>
      </c>
      <c r="AS54" t="s">
        <v>973</v>
      </c>
      <c r="AT54" t="s">
        <v>1280</v>
      </c>
      <c r="AU54" t="b">
        <f>IF(ckCodingTable[[#This Row],[ILN]]="N",SUBSTITUTE(AT53," ","")&lt;&gt;SUBSTITUTE(ckCodingTable[[#This Row],[prop_titl_txt]]," ",""), FALSE)</f>
        <v>0</v>
      </c>
      <c r="AV54">
        <v>0</v>
      </c>
      <c r="AW54" s="13">
        <v>1500000</v>
      </c>
      <c r="AX54" s="13">
        <v>1500000</v>
      </c>
      <c r="AY54" s="13"/>
      <c r="AZ54" s="13"/>
      <c r="BA54" s="13">
        <v>339974</v>
      </c>
      <c r="BB54" s="13">
        <v>116000</v>
      </c>
      <c r="BC54">
        <v>6</v>
      </c>
      <c r="BD54">
        <v>12</v>
      </c>
      <c r="BE54">
        <v>11.4</v>
      </c>
      <c r="BH54">
        <v>0</v>
      </c>
      <c r="BI54">
        <v>0</v>
      </c>
      <c r="BJ54">
        <v>1</v>
      </c>
      <c r="BK54">
        <v>0</v>
      </c>
      <c r="BL54" t="s">
        <v>1278</v>
      </c>
    </row>
    <row r="55" spans="1:64" x14ac:dyDescent="0.4">
      <c r="A55" s="30">
        <v>42936.692673611113</v>
      </c>
      <c r="B55" s="30">
        <v>42809.64166666667</v>
      </c>
      <c r="C55" t="s">
        <v>1136</v>
      </c>
      <c r="D55" t="s">
        <v>222</v>
      </c>
      <c r="E55" t="s">
        <v>1137</v>
      </c>
      <c r="F55" t="s">
        <v>992</v>
      </c>
      <c r="G55" t="s">
        <v>172</v>
      </c>
      <c r="H55" s="21" t="s">
        <v>94</v>
      </c>
      <c r="I55" s="87">
        <v>1</v>
      </c>
      <c r="J55" s="87">
        <v>0</v>
      </c>
      <c r="K55" t="s">
        <v>1135</v>
      </c>
      <c r="L55" t="s">
        <v>406</v>
      </c>
      <c r="M55" t="s">
        <v>276</v>
      </c>
      <c r="N55" t="str">
        <f>IF(SUM(ckCodingTable[[#This Row],[NfmlPIs]:[NnonWhtAsnPIs]])&gt;0,"WMD","")</f>
        <v>WMD</v>
      </c>
      <c r="O55" t="b">
        <f>_xlfn.XOR(IFERROR(MATCH(ckCodingTable[[#This Row],[st_code]],EpscorTable[],0)&gt;0,FALSE),IFERROR(FIND("9150",ckCodingTable[[#This Row],[propPRCs]])&gt;0,FALSE))</f>
        <v>0</v>
      </c>
      <c r="P55" s="21" t="b">
        <f>_xlfn.XOR(ckCodingTable[[#This Row],[wmd]]&lt;&gt;"",IFERROR(FIND("9102",ckCodingTable[[#This Row],[propPRCs]])&gt;0,FALSE))</f>
        <v>0</v>
      </c>
      <c r="Q55" t="s">
        <v>1176</v>
      </c>
      <c r="R55" s="22">
        <v>42934.612986111111</v>
      </c>
      <c r="S55" s="21">
        <f>S54+(ckCodingTable[[#This Row],[ILN]]&lt;"M")</f>
        <v>43</v>
      </c>
      <c r="T55" s="21" t="s">
        <v>1145</v>
      </c>
      <c r="U55" t="s">
        <v>1281</v>
      </c>
      <c r="V55" s="7" t="str">
        <f>HYPERLINK("https://www.ejacket.nsf.gov/ej/showProposal.do?ID="&amp;ckCodingTable[[#This Row],[prop_id]],"eJ")</f>
        <v>eJ</v>
      </c>
      <c r="W55" t="s">
        <v>224</v>
      </c>
      <c r="X55" t="s">
        <v>1281</v>
      </c>
      <c r="Y55" t="s">
        <v>1282</v>
      </c>
      <c r="Z55" t="s">
        <v>1283</v>
      </c>
      <c r="AA55" t="s">
        <v>1231</v>
      </c>
      <c r="AC55" s="30">
        <v>43101</v>
      </c>
      <c r="AD55">
        <v>36</v>
      </c>
      <c r="AE55">
        <v>1</v>
      </c>
      <c r="AH55" s="21">
        <v>2.0299999999999998</v>
      </c>
      <c r="AI55" t="s">
        <v>1285</v>
      </c>
      <c r="AJ55" s="26">
        <v>6.666666666666667</v>
      </c>
      <c r="AK55" s="22">
        <v>42872.496527777781</v>
      </c>
      <c r="AL55">
        <v>3</v>
      </c>
      <c r="AO55">
        <v>1</v>
      </c>
      <c r="AS55" t="s">
        <v>991</v>
      </c>
      <c r="AT55" t="s">
        <v>1286</v>
      </c>
      <c r="AU55" t="b">
        <f>IF(ckCodingTable[[#This Row],[ILN]]="N",SUBSTITUTE(AT54," ","")&lt;&gt;SUBSTITUTE(ckCodingTable[[#This Row],[prop_titl_txt]]," ",""), FALSE)</f>
        <v>0</v>
      </c>
      <c r="AV55">
        <v>1</v>
      </c>
      <c r="AW55" s="13">
        <v>895670</v>
      </c>
      <c r="AX55" s="13">
        <v>895670</v>
      </c>
      <c r="AY55" s="13"/>
      <c r="AZ55" s="13"/>
      <c r="BA55" s="13">
        <v>139091</v>
      </c>
      <c r="BB55" s="13"/>
      <c r="BC55">
        <v>6</v>
      </c>
      <c r="BD55">
        <v>9</v>
      </c>
      <c r="BE55">
        <v>6.25</v>
      </c>
      <c r="BH55">
        <v>1</v>
      </c>
      <c r="BI55">
        <v>0</v>
      </c>
      <c r="BJ55">
        <v>1</v>
      </c>
      <c r="BK55">
        <v>0</v>
      </c>
      <c r="BL55" t="s">
        <v>1284</v>
      </c>
    </row>
    <row r="56" spans="1:64" x14ac:dyDescent="0.4">
      <c r="A56" s="30">
        <v>42936.693009259259</v>
      </c>
      <c r="B56" s="30">
        <v>42809.44027777778</v>
      </c>
      <c r="C56" t="s">
        <v>1136</v>
      </c>
      <c r="D56" t="s">
        <v>222</v>
      </c>
      <c r="E56" t="s">
        <v>1137</v>
      </c>
      <c r="F56" t="s">
        <v>992</v>
      </c>
      <c r="G56" t="s">
        <v>172</v>
      </c>
      <c r="H56" s="21" t="s">
        <v>94</v>
      </c>
      <c r="I56" s="87">
        <v>1</v>
      </c>
      <c r="J56" s="87">
        <v>0</v>
      </c>
      <c r="K56" t="s">
        <v>1135</v>
      </c>
      <c r="L56" t="s">
        <v>406</v>
      </c>
      <c r="M56" t="s">
        <v>455</v>
      </c>
      <c r="N56" t="str">
        <f>IF(SUM(ckCodingTable[[#This Row],[NfmlPIs]:[NnonWhtAsnPIs]])&gt;0,"WMD","")</f>
        <v/>
      </c>
      <c r="O56" t="b">
        <f>_xlfn.XOR(IFERROR(MATCH(ckCodingTable[[#This Row],[st_code]],EpscorTable[],0)&gt;0,FALSE),IFERROR(FIND("9150",ckCodingTable[[#This Row],[propPRCs]])&gt;0,FALSE))</f>
        <v>0</v>
      </c>
      <c r="P56" s="21" t="b">
        <f>_xlfn.XOR(ckCodingTable[[#This Row],[wmd]]&lt;&gt;"",IFERROR(FIND("9102",ckCodingTable[[#This Row],[propPRCs]])&gt;0,FALSE))</f>
        <v>0</v>
      </c>
      <c r="Q56" t="s">
        <v>1142</v>
      </c>
      <c r="R56" s="22">
        <v>42934.612986111111</v>
      </c>
      <c r="S56" s="21">
        <f>S55+(ckCodingTable[[#This Row],[ILN]]&lt;"M")</f>
        <v>43</v>
      </c>
      <c r="T56" s="21" t="s">
        <v>965</v>
      </c>
      <c r="U56" t="s">
        <v>1281</v>
      </c>
      <c r="V56" s="7" t="str">
        <f>HYPERLINK("https://www.ejacket.nsf.gov/ej/showProposal.do?ID="&amp;ckCodingTable[[#This Row],[prop_id]],"eJ")</f>
        <v>eJ</v>
      </c>
      <c r="W56" t="s">
        <v>224</v>
      </c>
      <c r="X56" t="s">
        <v>1287</v>
      </c>
      <c r="Y56" t="s">
        <v>1288</v>
      </c>
      <c r="Z56" t="s">
        <v>1289</v>
      </c>
      <c r="AA56" t="s">
        <v>1060</v>
      </c>
      <c r="AC56" s="30">
        <v>43101</v>
      </c>
      <c r="AD56">
        <v>36</v>
      </c>
      <c r="AJ56" s="26"/>
      <c r="AK56" s="22"/>
      <c r="AL56"/>
      <c r="AS56" t="s">
        <v>991</v>
      </c>
      <c r="AT56" t="s">
        <v>1291</v>
      </c>
      <c r="AU56" t="b">
        <f>IF(ckCodingTable[[#This Row],[ILN]]="N",SUBSTITUTE(AT55," ","")&lt;&gt;SUBSTITUTE(ckCodingTable[[#This Row],[prop_titl_txt]]," ",""), FALSE)</f>
        <v>0</v>
      </c>
      <c r="AV56">
        <v>0</v>
      </c>
      <c r="AW56" s="13">
        <v>300000</v>
      </c>
      <c r="AX56" s="13">
        <v>300000</v>
      </c>
      <c r="AY56" s="13"/>
      <c r="AZ56" s="13"/>
      <c r="BA56" s="13"/>
      <c r="BB56" s="13"/>
      <c r="BC56">
        <v>3</v>
      </c>
      <c r="BD56">
        <v>3</v>
      </c>
      <c r="BE56">
        <v>3</v>
      </c>
      <c r="BH56">
        <v>0</v>
      </c>
      <c r="BI56">
        <v>0</v>
      </c>
      <c r="BJ56">
        <v>0</v>
      </c>
      <c r="BK56">
        <v>0</v>
      </c>
      <c r="BL56" t="s">
        <v>1290</v>
      </c>
    </row>
    <row r="57" spans="1:64" x14ac:dyDescent="0.4">
      <c r="A57" s="30">
        <v>42936.700601851851</v>
      </c>
      <c r="B57" s="30">
        <v>42809.555555555555</v>
      </c>
      <c r="C57" t="s">
        <v>1136</v>
      </c>
      <c r="D57" t="s">
        <v>222</v>
      </c>
      <c r="E57" t="s">
        <v>1137</v>
      </c>
      <c r="F57" t="s">
        <v>992</v>
      </c>
      <c r="G57" t="s">
        <v>172</v>
      </c>
      <c r="H57" s="21" t="s">
        <v>94</v>
      </c>
      <c r="I57" s="87">
        <v>1</v>
      </c>
      <c r="J57" s="87">
        <v>0</v>
      </c>
      <c r="K57" t="s">
        <v>1135</v>
      </c>
      <c r="L57" t="s">
        <v>406</v>
      </c>
      <c r="M57" t="s">
        <v>281</v>
      </c>
      <c r="N57" t="str">
        <f>IF(SUM(ckCodingTable[[#This Row],[NfmlPIs]:[NnonWhtAsnPIs]])&gt;0,"WMD","")</f>
        <v/>
      </c>
      <c r="O57" t="b">
        <f>_xlfn.XOR(IFERROR(MATCH(ckCodingTable[[#This Row],[st_code]],EpscorTable[],0)&gt;0,FALSE),IFERROR(FIND("9150",ckCodingTable[[#This Row],[propPRCs]])&gt;0,FALSE))</f>
        <v>0</v>
      </c>
      <c r="P57" s="21" t="b">
        <f>_xlfn.XOR(ckCodingTable[[#This Row],[wmd]]&lt;&gt;"",IFERROR(FIND("9102",ckCodingTable[[#This Row],[propPRCs]])&gt;0,FALSE))</f>
        <v>0</v>
      </c>
      <c r="Q57" t="s">
        <v>1142</v>
      </c>
      <c r="R57" s="22">
        <v>42934.612986111111</v>
      </c>
      <c r="S57" s="21">
        <f>S56+(ckCodingTable[[#This Row],[ILN]]&lt;"M")</f>
        <v>43</v>
      </c>
      <c r="T57" s="21" t="s">
        <v>965</v>
      </c>
      <c r="U57" t="s">
        <v>1281</v>
      </c>
      <c r="V57" s="7" t="str">
        <f>HYPERLINK("https://www.ejacket.nsf.gov/ej/showProposal.do?ID="&amp;ckCodingTable[[#This Row],[prop_id]],"eJ")</f>
        <v>eJ</v>
      </c>
      <c r="W57" t="s">
        <v>224</v>
      </c>
      <c r="X57" t="s">
        <v>1292</v>
      </c>
      <c r="Y57" t="s">
        <v>1293</v>
      </c>
      <c r="Z57" t="s">
        <v>1294</v>
      </c>
      <c r="AA57" t="s">
        <v>1295</v>
      </c>
      <c r="AC57" s="30">
        <v>43101</v>
      </c>
      <c r="AD57">
        <v>36</v>
      </c>
      <c r="AJ57" s="26"/>
      <c r="AK57" s="22"/>
      <c r="AL57"/>
      <c r="AS57" t="s">
        <v>991</v>
      </c>
      <c r="AT57" t="s">
        <v>1286</v>
      </c>
      <c r="AU57" t="b">
        <f>IF(ckCodingTable[[#This Row],[ILN]]="N",SUBSTITUTE(AT56," ","")&lt;&gt;SUBSTITUTE(ckCodingTable[[#This Row],[prop_titl_txt]]," ",""), FALSE)</f>
        <v>0</v>
      </c>
      <c r="AV57">
        <v>0</v>
      </c>
      <c r="AW57" s="13">
        <v>288482</v>
      </c>
      <c r="AX57" s="13">
        <v>288482</v>
      </c>
      <c r="AY57" s="13"/>
      <c r="AZ57" s="13">
        <v>7500</v>
      </c>
      <c r="BA57" s="13"/>
      <c r="BB57" s="13"/>
      <c r="BC57">
        <v>3</v>
      </c>
      <c r="BD57">
        <v>3</v>
      </c>
      <c r="BE57">
        <v>3</v>
      </c>
      <c r="BH57">
        <v>0</v>
      </c>
      <c r="BI57">
        <v>0</v>
      </c>
      <c r="BJ57">
        <v>0</v>
      </c>
      <c r="BK57">
        <v>0</v>
      </c>
      <c r="BL57" t="s">
        <v>1296</v>
      </c>
    </row>
    <row r="58" spans="1:64" x14ac:dyDescent="0.4">
      <c r="A58" s="30">
        <v>42955.700150462966</v>
      </c>
      <c r="B58" s="30">
        <v>42809.642361111109</v>
      </c>
      <c r="C58" t="s">
        <v>1136</v>
      </c>
      <c r="D58" t="s">
        <v>222</v>
      </c>
      <c r="E58" t="s">
        <v>1137</v>
      </c>
      <c r="F58" t="s">
        <v>976</v>
      </c>
      <c r="G58" t="s">
        <v>172</v>
      </c>
      <c r="H58" s="21" t="s">
        <v>94</v>
      </c>
      <c r="I58" s="87">
        <v>1</v>
      </c>
      <c r="J58" s="87">
        <v>0</v>
      </c>
      <c r="K58" t="s">
        <v>1135</v>
      </c>
      <c r="L58" t="s">
        <v>406</v>
      </c>
      <c r="M58" t="s">
        <v>508</v>
      </c>
      <c r="N58" t="str">
        <f>IF(SUM(ckCodingTable[[#This Row],[NfmlPIs]:[NnonWhtAsnPIs]])&gt;0,"WMD","")</f>
        <v>WMD</v>
      </c>
      <c r="O58" t="b">
        <f>_xlfn.XOR(IFERROR(MATCH(ckCodingTable[[#This Row],[st_code]],EpscorTable[],0)&gt;0,FALSE),IFERROR(FIND("9150",ckCodingTable[[#This Row],[propPRCs]])&gt;0,FALSE))</f>
        <v>0</v>
      </c>
      <c r="P58" s="21" t="b">
        <f>_xlfn.XOR(ckCodingTable[[#This Row],[wmd]]&lt;&gt;"",IFERROR(FIND("9102",ckCodingTable[[#This Row],[propPRCs]])&gt;0,FALSE))</f>
        <v>0</v>
      </c>
      <c r="Q58" t="s">
        <v>1176</v>
      </c>
      <c r="R58" s="22">
        <v>42914.639050925929</v>
      </c>
      <c r="S58" s="21">
        <f>S57+(ckCodingTable[[#This Row],[ILN]]&lt;"M")</f>
        <v>44</v>
      </c>
      <c r="T58" s="21" t="s">
        <v>96</v>
      </c>
      <c r="U58" t="s">
        <v>1297</v>
      </c>
      <c r="V58" s="7" t="str">
        <f>HYPERLINK("https://www.ejacket.nsf.gov/ej/showProposal.do?ID="&amp;ckCodingTable[[#This Row],[prop_id]],"eJ")</f>
        <v>eJ</v>
      </c>
      <c r="W58" t="s">
        <v>224</v>
      </c>
      <c r="X58" t="s">
        <v>1297</v>
      </c>
      <c r="Y58" t="s">
        <v>1298</v>
      </c>
      <c r="Z58" t="s">
        <v>1299</v>
      </c>
      <c r="AA58" t="s">
        <v>507</v>
      </c>
      <c r="AC58" s="30">
        <v>43009</v>
      </c>
      <c r="AD58">
        <v>36</v>
      </c>
      <c r="AE58">
        <v>1</v>
      </c>
      <c r="AH58" s="21">
        <v>3.11</v>
      </c>
      <c r="AI58" t="s">
        <v>1021</v>
      </c>
      <c r="AJ58" s="26">
        <v>4.666666666666667</v>
      </c>
      <c r="AK58" s="22">
        <v>42873.55</v>
      </c>
      <c r="AL58">
        <v>3</v>
      </c>
      <c r="AS58" t="s">
        <v>973</v>
      </c>
      <c r="AT58" t="s">
        <v>1301</v>
      </c>
      <c r="AU58" t="b">
        <f>IF(ckCodingTable[[#This Row],[ILN]]="N",SUBSTITUTE(AT57," ","")&lt;&gt;SUBSTITUTE(ckCodingTable[[#This Row],[prop_titl_txt]]," ",""), FALSE)</f>
        <v>0</v>
      </c>
      <c r="AV58">
        <v>0</v>
      </c>
      <c r="AW58" s="13">
        <v>1498424</v>
      </c>
      <c r="AX58" s="13">
        <v>1498424</v>
      </c>
      <c r="AY58" s="13"/>
      <c r="AZ58" s="13"/>
      <c r="BA58" s="13"/>
      <c r="BB58" s="13">
        <v>139899</v>
      </c>
      <c r="BC58">
        <v>16</v>
      </c>
      <c r="BD58">
        <v>27</v>
      </c>
      <c r="BE58">
        <v>11.49</v>
      </c>
      <c r="BH58">
        <v>2</v>
      </c>
      <c r="BI58">
        <v>0</v>
      </c>
      <c r="BJ58">
        <v>0</v>
      </c>
      <c r="BK58">
        <v>0</v>
      </c>
      <c r="BL58" t="s">
        <v>1300</v>
      </c>
    </row>
    <row r="59" spans="1:64" x14ac:dyDescent="0.4">
      <c r="A59" s="30">
        <v>42957.67931712963</v>
      </c>
      <c r="B59" s="30">
        <v>42809.648611111108</v>
      </c>
      <c r="C59" t="s">
        <v>1136</v>
      </c>
      <c r="D59" t="s">
        <v>222</v>
      </c>
      <c r="E59" t="s">
        <v>1137</v>
      </c>
      <c r="F59" t="s">
        <v>976</v>
      </c>
      <c r="G59" t="s">
        <v>172</v>
      </c>
      <c r="H59" s="21" t="s">
        <v>94</v>
      </c>
      <c r="I59" s="87">
        <v>1</v>
      </c>
      <c r="J59" s="87">
        <v>0</v>
      </c>
      <c r="K59" t="s">
        <v>1135</v>
      </c>
      <c r="L59" t="s">
        <v>451</v>
      </c>
      <c r="M59" t="s">
        <v>282</v>
      </c>
      <c r="N59" t="str">
        <f>IF(SUM(ckCodingTable[[#This Row],[NfmlPIs]:[NnonWhtAsnPIs]])&gt;0,"WMD","")</f>
        <v>WMD</v>
      </c>
      <c r="O59" t="b">
        <f>_xlfn.XOR(IFERROR(MATCH(ckCodingTable[[#This Row],[st_code]],EpscorTable[],0)&gt;0,FALSE),IFERROR(FIND("9150",ckCodingTable[[#This Row],[propPRCs]])&gt;0,FALSE))</f>
        <v>0</v>
      </c>
      <c r="P59" s="21" t="b">
        <f>_xlfn.XOR(ckCodingTable[[#This Row],[wmd]]&lt;&gt;"",IFERROR(FIND("9102",ckCodingTable[[#This Row],[propPRCs]])&gt;0,FALSE))</f>
        <v>1</v>
      </c>
      <c r="Q59" t="s">
        <v>1142</v>
      </c>
      <c r="R59" s="22">
        <v>42951.506886574076</v>
      </c>
      <c r="S59" s="21">
        <f>S58+(ckCodingTable[[#This Row],[ILN]]&lt;"M")</f>
        <v>45</v>
      </c>
      <c r="T59" s="21" t="s">
        <v>96</v>
      </c>
      <c r="U59" t="s">
        <v>1302</v>
      </c>
      <c r="V59" s="7" t="str">
        <f>HYPERLINK("https://www.ejacket.nsf.gov/ej/showProposal.do?ID="&amp;ckCodingTable[[#This Row],[prop_id]],"eJ")</f>
        <v>eJ</v>
      </c>
      <c r="W59" t="s">
        <v>224</v>
      </c>
      <c r="X59" t="s">
        <v>1302</v>
      </c>
      <c r="Y59" t="s">
        <v>1303</v>
      </c>
      <c r="Z59" t="s">
        <v>1304</v>
      </c>
      <c r="AA59" t="s">
        <v>495</v>
      </c>
      <c r="AC59" s="30">
        <v>42979</v>
      </c>
      <c r="AD59">
        <v>36</v>
      </c>
      <c r="AE59">
        <v>1</v>
      </c>
      <c r="AH59" s="21">
        <v>3.11</v>
      </c>
      <c r="AI59" t="s">
        <v>598</v>
      </c>
      <c r="AJ59" s="26">
        <v>6</v>
      </c>
      <c r="AK59" s="22">
        <v>42872.504861111112</v>
      </c>
      <c r="AL59">
        <v>2</v>
      </c>
      <c r="AS59" t="s">
        <v>973</v>
      </c>
      <c r="AT59" t="s">
        <v>1306</v>
      </c>
      <c r="AU59" t="b">
        <f>IF(ckCodingTable[[#This Row],[ILN]]="N",SUBSTITUTE(AT58," ","")&lt;&gt;SUBSTITUTE(ckCodingTable[[#This Row],[prop_titl_txt]]," ",""), FALSE)</f>
        <v>0</v>
      </c>
      <c r="AV59">
        <v>0</v>
      </c>
      <c r="AW59" s="13">
        <v>1500000</v>
      </c>
      <c r="AX59" s="13">
        <v>1500000</v>
      </c>
      <c r="AY59" s="13"/>
      <c r="AZ59" s="13">
        <v>32145</v>
      </c>
      <c r="BA59" s="13"/>
      <c r="BB59" s="13">
        <v>209970</v>
      </c>
      <c r="BC59">
        <v>12</v>
      </c>
      <c r="BD59">
        <v>21</v>
      </c>
      <c r="BG59">
        <v>9</v>
      </c>
      <c r="BH59">
        <v>0</v>
      </c>
      <c r="BI59">
        <v>2</v>
      </c>
      <c r="BJ59">
        <v>0</v>
      </c>
      <c r="BK59">
        <v>0</v>
      </c>
      <c r="BL59" t="s">
        <v>1305</v>
      </c>
    </row>
    <row r="60" spans="1:64" x14ac:dyDescent="0.4">
      <c r="A60" s="30">
        <v>42957.620868055557</v>
      </c>
      <c r="B60" s="30">
        <v>42809.651388888888</v>
      </c>
      <c r="C60" t="s">
        <v>1136</v>
      </c>
      <c r="D60" t="s">
        <v>222</v>
      </c>
      <c r="E60" t="s">
        <v>1137</v>
      </c>
      <c r="F60" t="s">
        <v>976</v>
      </c>
      <c r="G60" t="s">
        <v>172</v>
      </c>
      <c r="H60" s="21" t="s">
        <v>94</v>
      </c>
      <c r="I60" s="87">
        <v>1</v>
      </c>
      <c r="J60" s="87">
        <v>0</v>
      </c>
      <c r="K60" t="s">
        <v>1135</v>
      </c>
      <c r="L60" t="s">
        <v>451</v>
      </c>
      <c r="M60" t="s">
        <v>491</v>
      </c>
      <c r="N60" t="str">
        <f>IF(SUM(ckCodingTable[[#This Row],[NfmlPIs]:[NnonWhtAsnPIs]])&gt;0,"WMD","")</f>
        <v>WMD</v>
      </c>
      <c r="O60" t="b">
        <f>_xlfn.XOR(IFERROR(MATCH(ckCodingTable[[#This Row],[st_code]],EpscorTable[],0)&gt;0,FALSE),IFERROR(FIND("9150",ckCodingTable[[#This Row],[propPRCs]])&gt;0,FALSE))</f>
        <v>0</v>
      </c>
      <c r="P60" s="21" t="b">
        <f>_xlfn.XOR(ckCodingTable[[#This Row],[wmd]]&lt;&gt;"",IFERROR(FIND("9102",ckCodingTable[[#This Row],[propPRCs]])&gt;0,FALSE))</f>
        <v>1</v>
      </c>
      <c r="Q60" t="s">
        <v>1142</v>
      </c>
      <c r="R60" s="22">
        <v>42957.618854166663</v>
      </c>
      <c r="S60" s="21">
        <f>S59+(ckCodingTable[[#This Row],[ILN]]&lt;"M")</f>
        <v>46</v>
      </c>
      <c r="T60" s="21" t="s">
        <v>96</v>
      </c>
      <c r="U60" t="s">
        <v>1307</v>
      </c>
      <c r="V60" s="7" t="str">
        <f>HYPERLINK("https://www.ejacket.nsf.gov/ej/showProposal.do?ID="&amp;ckCodingTable[[#This Row],[prop_id]],"eJ")</f>
        <v>eJ</v>
      </c>
      <c r="W60" t="s">
        <v>224</v>
      </c>
      <c r="X60" t="s">
        <v>1307</v>
      </c>
      <c r="Y60" t="s">
        <v>1308</v>
      </c>
      <c r="Z60" t="s">
        <v>1309</v>
      </c>
      <c r="AA60" t="s">
        <v>490</v>
      </c>
      <c r="AC60" s="30">
        <v>42917</v>
      </c>
      <c r="AD60">
        <v>36</v>
      </c>
      <c r="AE60">
        <v>1</v>
      </c>
      <c r="AH60" s="21">
        <v>2.1</v>
      </c>
      <c r="AI60" t="s">
        <v>1311</v>
      </c>
      <c r="AJ60" s="26">
        <v>5.666666666666667</v>
      </c>
      <c r="AK60" s="22">
        <v>42873.517361111109</v>
      </c>
      <c r="AL60">
        <v>3</v>
      </c>
      <c r="AO60">
        <v>3</v>
      </c>
      <c r="AS60" t="s">
        <v>973</v>
      </c>
      <c r="AT60" t="s">
        <v>1312</v>
      </c>
      <c r="AU60" t="b">
        <f>IF(ckCodingTable[[#This Row],[ILN]]="N",SUBSTITUTE(AT59," ","")&lt;&gt;SUBSTITUTE(ckCodingTable[[#This Row],[prop_titl_txt]]," ",""), FALSE)</f>
        <v>0</v>
      </c>
      <c r="AV60">
        <v>0</v>
      </c>
      <c r="AW60" s="13">
        <v>1497550</v>
      </c>
      <c r="AX60" s="13">
        <v>1497550</v>
      </c>
      <c r="AY60" s="13"/>
      <c r="AZ60" s="13">
        <v>2000</v>
      </c>
      <c r="BA60" s="13">
        <v>228252</v>
      </c>
      <c r="BB60" s="13"/>
      <c r="BC60">
        <v>10</v>
      </c>
      <c r="BD60">
        <v>12</v>
      </c>
      <c r="BE60">
        <v>3</v>
      </c>
      <c r="BH60">
        <v>1</v>
      </c>
      <c r="BI60">
        <v>0</v>
      </c>
      <c r="BJ60">
        <v>0</v>
      </c>
      <c r="BK60">
        <v>0</v>
      </c>
      <c r="BL60" t="s">
        <v>1310</v>
      </c>
    </row>
    <row r="61" spans="1:64" x14ac:dyDescent="0.4">
      <c r="A61" s="30">
        <v>42934.47079861111</v>
      </c>
      <c r="B61" s="30">
        <v>42809.65902777778</v>
      </c>
      <c r="C61" t="s">
        <v>1136</v>
      </c>
      <c r="D61" t="s">
        <v>222</v>
      </c>
      <c r="E61" t="s">
        <v>1137</v>
      </c>
      <c r="F61" t="s">
        <v>976</v>
      </c>
      <c r="G61" t="s">
        <v>172</v>
      </c>
      <c r="H61" s="21" t="s">
        <v>94</v>
      </c>
      <c r="I61" s="87">
        <v>1</v>
      </c>
      <c r="J61" s="87">
        <v>0</v>
      </c>
      <c r="K61" t="s">
        <v>1135</v>
      </c>
      <c r="L61" t="s">
        <v>406</v>
      </c>
      <c r="M61" t="s">
        <v>1317</v>
      </c>
      <c r="N61" t="str">
        <f>IF(SUM(ckCodingTable[[#This Row],[NfmlPIs]:[NnonWhtAsnPIs]])&gt;0,"WMD","")</f>
        <v/>
      </c>
      <c r="O61" t="b">
        <f>_xlfn.XOR(IFERROR(MATCH(ckCodingTable[[#This Row],[st_code]],EpscorTable[],0)&gt;0,FALSE),IFERROR(FIND("9150",ckCodingTable[[#This Row],[propPRCs]])&gt;0,FALSE))</f>
        <v>0</v>
      </c>
      <c r="P61" s="21" t="b">
        <f>_xlfn.XOR(ckCodingTable[[#This Row],[wmd]]&lt;&gt;"",IFERROR(FIND("9102",ckCodingTable[[#This Row],[propPRCs]])&gt;0,FALSE))</f>
        <v>0</v>
      </c>
      <c r="Q61" t="s">
        <v>1142</v>
      </c>
      <c r="R61" s="22">
        <v>42920.123148148145</v>
      </c>
      <c r="S61" s="21">
        <f>S60+(ckCodingTable[[#This Row],[ILN]]&lt;"M")</f>
        <v>47</v>
      </c>
      <c r="T61" s="21" t="s">
        <v>96</v>
      </c>
      <c r="U61" t="s">
        <v>1313</v>
      </c>
      <c r="V61" s="7" t="str">
        <f>HYPERLINK("https://www.ejacket.nsf.gov/ej/showProposal.do?ID="&amp;ckCodingTable[[#This Row],[prop_id]],"eJ")</f>
        <v>eJ</v>
      </c>
      <c r="W61" t="s">
        <v>224</v>
      </c>
      <c r="X61" t="s">
        <v>1313</v>
      </c>
      <c r="Y61" t="s">
        <v>1314</v>
      </c>
      <c r="Z61" t="s">
        <v>1315</v>
      </c>
      <c r="AA61" t="s">
        <v>1316</v>
      </c>
      <c r="AC61" s="30">
        <v>42979</v>
      </c>
      <c r="AD61">
        <v>36</v>
      </c>
      <c r="AE61">
        <v>1</v>
      </c>
      <c r="AH61" s="21">
        <v>2.06</v>
      </c>
      <c r="AI61" t="s">
        <v>1226</v>
      </c>
      <c r="AJ61" s="26">
        <v>7</v>
      </c>
      <c r="AK61" s="22">
        <v>42872.395833333336</v>
      </c>
      <c r="AL61">
        <v>3</v>
      </c>
      <c r="AS61" t="s">
        <v>973</v>
      </c>
      <c r="AT61" t="s">
        <v>1319</v>
      </c>
      <c r="AU61" t="b">
        <f>IF(ckCodingTable[[#This Row],[ILN]]="N",SUBSTITUTE(AT60," ","")&lt;&gt;SUBSTITUTE(ckCodingTable[[#This Row],[prop_titl_txt]]," ",""), FALSE)</f>
        <v>0</v>
      </c>
      <c r="AV61">
        <v>0</v>
      </c>
      <c r="AW61" s="13">
        <v>1500000</v>
      </c>
      <c r="AX61" s="13">
        <v>1500000</v>
      </c>
      <c r="AY61" s="13"/>
      <c r="AZ61" s="13">
        <v>22284</v>
      </c>
      <c r="BA61" s="13">
        <v>339999</v>
      </c>
      <c r="BB61" s="13"/>
      <c r="BC61">
        <v>9</v>
      </c>
      <c r="BH61">
        <v>0</v>
      </c>
      <c r="BI61">
        <v>0</v>
      </c>
      <c r="BJ61">
        <v>0</v>
      </c>
      <c r="BK61">
        <v>0</v>
      </c>
      <c r="BL61" t="s">
        <v>1318</v>
      </c>
    </row>
    <row r="62" spans="1:64" x14ac:dyDescent="0.4">
      <c r="A62" s="30">
        <v>42956.380891203706</v>
      </c>
      <c r="B62" s="30">
        <v>42809.663888888892</v>
      </c>
      <c r="C62" t="s">
        <v>1136</v>
      </c>
      <c r="D62" t="s">
        <v>222</v>
      </c>
      <c r="E62" t="s">
        <v>1137</v>
      </c>
      <c r="F62" t="s">
        <v>976</v>
      </c>
      <c r="G62" t="s">
        <v>172</v>
      </c>
      <c r="H62" s="21" t="s">
        <v>94</v>
      </c>
      <c r="I62" s="87">
        <v>1</v>
      </c>
      <c r="J62" s="87">
        <v>0</v>
      </c>
      <c r="K62" t="s">
        <v>1135</v>
      </c>
      <c r="L62" t="s">
        <v>451</v>
      </c>
      <c r="M62" t="s">
        <v>280</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1142</v>
      </c>
      <c r="R62" s="22">
        <v>42951.594155092593</v>
      </c>
      <c r="S62" s="21">
        <f>S61+(ckCodingTable[[#This Row],[ILN]]&lt;"M")</f>
        <v>48</v>
      </c>
      <c r="T62" s="21" t="s">
        <v>96</v>
      </c>
      <c r="U62" t="s">
        <v>1320</v>
      </c>
      <c r="V62" s="7" t="str">
        <f>HYPERLINK("https://www.ejacket.nsf.gov/ej/showProposal.do?ID="&amp;ckCodingTable[[#This Row],[prop_id]],"eJ")</f>
        <v>eJ</v>
      </c>
      <c r="W62" t="s">
        <v>224</v>
      </c>
      <c r="X62" t="s">
        <v>1320</v>
      </c>
      <c r="Y62" t="s">
        <v>1321</v>
      </c>
      <c r="Z62" t="s">
        <v>273</v>
      </c>
      <c r="AA62" t="s">
        <v>1322</v>
      </c>
      <c r="AC62" s="30">
        <v>43101</v>
      </c>
      <c r="AD62">
        <v>36</v>
      </c>
      <c r="AE62">
        <v>1</v>
      </c>
      <c r="AH62" s="21">
        <v>3.11</v>
      </c>
      <c r="AI62" t="s">
        <v>1324</v>
      </c>
      <c r="AJ62" s="26">
        <v>4.333333333333333</v>
      </c>
      <c r="AK62" s="22">
        <v>42872.452777777777</v>
      </c>
      <c r="AL62">
        <v>3</v>
      </c>
      <c r="AO62">
        <v>1</v>
      </c>
      <c r="AS62" t="s">
        <v>973</v>
      </c>
      <c r="AT62" t="s">
        <v>1325</v>
      </c>
      <c r="AU62" t="b">
        <f>IF(ckCodingTable[[#This Row],[ILN]]="N",SUBSTITUTE(AT61," ","")&lt;&gt;SUBSTITUTE(ckCodingTable[[#This Row],[prop_titl_txt]]," ",""), FALSE)</f>
        <v>0</v>
      </c>
      <c r="AV62">
        <v>0</v>
      </c>
      <c r="AW62" s="13">
        <v>1500000</v>
      </c>
      <c r="AX62" s="13">
        <v>1500000</v>
      </c>
      <c r="AY62" s="13"/>
      <c r="AZ62" s="13"/>
      <c r="BA62" s="13">
        <v>481201</v>
      </c>
      <c r="BB62" s="13"/>
      <c r="BC62">
        <v>2</v>
      </c>
      <c r="BD62">
        <v>8</v>
      </c>
      <c r="BG62">
        <v>4</v>
      </c>
      <c r="BH62">
        <v>0</v>
      </c>
      <c r="BI62">
        <v>0</v>
      </c>
      <c r="BJ62">
        <v>0</v>
      </c>
      <c r="BK62">
        <v>0</v>
      </c>
      <c r="BL62" t="s">
        <v>1323</v>
      </c>
    </row>
    <row r="63" spans="1:64" x14ac:dyDescent="0.4">
      <c r="A63" s="30">
        <v>42955.728993055556</v>
      </c>
      <c r="B63" s="30">
        <v>42809.663888888892</v>
      </c>
      <c r="C63" t="s">
        <v>1136</v>
      </c>
      <c r="D63" t="s">
        <v>222</v>
      </c>
      <c r="E63" t="s">
        <v>1137</v>
      </c>
      <c r="F63" t="s">
        <v>976</v>
      </c>
      <c r="G63" t="s">
        <v>172</v>
      </c>
      <c r="H63" s="21" t="s">
        <v>94</v>
      </c>
      <c r="I63" s="87">
        <v>1</v>
      </c>
      <c r="J63" s="87">
        <v>0</v>
      </c>
      <c r="K63" t="s">
        <v>1135</v>
      </c>
      <c r="L63" t="s">
        <v>406</v>
      </c>
      <c r="M63" t="s">
        <v>281</v>
      </c>
      <c r="N63" t="str">
        <f>IF(SUM(ckCodingTable[[#This Row],[NfmlPIs]:[NnonWhtAsnPIs]])&gt;0,"WMD","")</f>
        <v/>
      </c>
      <c r="O63" t="b">
        <f>_xlfn.XOR(IFERROR(MATCH(ckCodingTable[[#This Row],[st_code]],EpscorTable[],0)&gt;0,FALSE),IFERROR(FIND("9150",ckCodingTable[[#This Row],[propPRCs]])&gt;0,FALSE))</f>
        <v>0</v>
      </c>
      <c r="P63" s="21" t="b">
        <f>_xlfn.XOR(ckCodingTable[[#This Row],[wmd]]&lt;&gt;"",IFERROR(FIND("9102",ckCodingTable[[#This Row],[propPRCs]])&gt;0,FALSE))</f>
        <v>0</v>
      </c>
      <c r="Q63" t="s">
        <v>1142</v>
      </c>
      <c r="R63" s="22">
        <v>42914.640648148146</v>
      </c>
      <c r="S63" s="21">
        <f>S62+(ckCodingTable[[#This Row],[ILN]]&lt;"M")</f>
        <v>49</v>
      </c>
      <c r="T63" s="21" t="s">
        <v>1145</v>
      </c>
      <c r="U63" t="s">
        <v>1326</v>
      </c>
      <c r="V63" s="7" t="str">
        <f>HYPERLINK("https://www.ejacket.nsf.gov/ej/showProposal.do?ID="&amp;ckCodingTable[[#This Row],[prop_id]],"eJ")</f>
        <v>eJ</v>
      </c>
      <c r="W63" t="s">
        <v>224</v>
      </c>
      <c r="X63" t="s">
        <v>1326</v>
      </c>
      <c r="Y63" t="s">
        <v>1327</v>
      </c>
      <c r="Z63" t="s">
        <v>1328</v>
      </c>
      <c r="AA63" t="s">
        <v>1329</v>
      </c>
      <c r="AC63" s="30">
        <v>42979</v>
      </c>
      <c r="AD63">
        <v>36</v>
      </c>
      <c r="AE63">
        <v>1</v>
      </c>
      <c r="AG63">
        <v>1</v>
      </c>
      <c r="AH63" s="21">
        <v>4.22</v>
      </c>
      <c r="AI63" t="s">
        <v>1331</v>
      </c>
      <c r="AJ63" s="26">
        <v>3</v>
      </c>
      <c r="AK63" s="22">
        <v>42872.489583333336</v>
      </c>
      <c r="AL63">
        <v>3</v>
      </c>
      <c r="AS63" t="s">
        <v>973</v>
      </c>
      <c r="AT63" t="s">
        <v>1332</v>
      </c>
      <c r="AU63" t="b">
        <f>IF(ckCodingTable[[#This Row],[ILN]]="N",SUBSTITUTE(AT62," ","")&lt;&gt;SUBSTITUTE(ckCodingTable[[#This Row],[prop_titl_txt]]," ",""), FALSE)</f>
        <v>0</v>
      </c>
      <c r="AV63">
        <v>0</v>
      </c>
      <c r="AW63" s="13">
        <v>1050000</v>
      </c>
      <c r="AX63" s="13">
        <v>1050000</v>
      </c>
      <c r="AY63" s="13"/>
      <c r="AZ63" s="13">
        <v>11969</v>
      </c>
      <c r="BA63" s="13">
        <v>204914</v>
      </c>
      <c r="BB63" s="13"/>
      <c r="BC63">
        <v>11</v>
      </c>
      <c r="BD63">
        <v>6</v>
      </c>
      <c r="BE63">
        <v>6</v>
      </c>
      <c r="BH63">
        <v>0</v>
      </c>
      <c r="BI63">
        <v>0</v>
      </c>
      <c r="BJ63">
        <v>0</v>
      </c>
      <c r="BK63">
        <v>0</v>
      </c>
      <c r="BL63" t="s">
        <v>1330</v>
      </c>
    </row>
    <row r="64" spans="1:64" x14ac:dyDescent="0.4">
      <c r="A64" s="30">
        <v>42955.728993055556</v>
      </c>
      <c r="B64" s="30">
        <v>42809.627083333333</v>
      </c>
      <c r="C64" t="s">
        <v>1136</v>
      </c>
      <c r="D64" t="s">
        <v>222</v>
      </c>
      <c r="E64" t="s">
        <v>1137</v>
      </c>
      <c r="F64" t="s">
        <v>976</v>
      </c>
      <c r="G64" t="s">
        <v>172</v>
      </c>
      <c r="H64" s="21" t="s">
        <v>94</v>
      </c>
      <c r="I64" s="87">
        <v>1</v>
      </c>
      <c r="J64" s="87">
        <v>0</v>
      </c>
      <c r="K64" t="s">
        <v>1135</v>
      </c>
      <c r="L64" t="s">
        <v>406</v>
      </c>
      <c r="M64" t="s">
        <v>280</v>
      </c>
      <c r="N64" t="str">
        <f>IF(SUM(ckCodingTable[[#This Row],[NfmlPIs]:[NnonWhtAsnPIs]])&gt;0,"WMD","")</f>
        <v/>
      </c>
      <c r="O64" t="b">
        <f>_xlfn.XOR(IFERROR(MATCH(ckCodingTable[[#This Row],[st_code]],EpscorTable[],0)&gt;0,FALSE),IFERROR(FIND("9150",ckCodingTable[[#This Row],[propPRCs]])&gt;0,FALSE))</f>
        <v>0</v>
      </c>
      <c r="P64" s="21" t="b">
        <f>_xlfn.XOR(ckCodingTable[[#This Row],[wmd]]&lt;&gt;"",IFERROR(FIND("9102",ckCodingTable[[#This Row],[propPRCs]])&gt;0,FALSE))</f>
        <v>0</v>
      </c>
      <c r="Q64" t="s">
        <v>1142</v>
      </c>
      <c r="R64" s="22">
        <v>42914.640648148146</v>
      </c>
      <c r="S64" s="21">
        <f>S63+(ckCodingTable[[#This Row],[ILN]]&lt;"M")</f>
        <v>49</v>
      </c>
      <c r="T64" s="21" t="s">
        <v>965</v>
      </c>
      <c r="U64" t="s">
        <v>1326</v>
      </c>
      <c r="V64" s="7" t="str">
        <f>HYPERLINK("https://www.ejacket.nsf.gov/ej/showProposal.do?ID="&amp;ckCodingTable[[#This Row],[prop_id]],"eJ")</f>
        <v>eJ</v>
      </c>
      <c r="W64" t="s">
        <v>224</v>
      </c>
      <c r="X64" t="s">
        <v>1333</v>
      </c>
      <c r="Y64" t="s">
        <v>1334</v>
      </c>
      <c r="Z64" t="s">
        <v>1335</v>
      </c>
      <c r="AA64" t="s">
        <v>223</v>
      </c>
      <c r="AC64" s="30">
        <v>42979</v>
      </c>
      <c r="AD64">
        <v>36</v>
      </c>
      <c r="AJ64" s="26"/>
      <c r="AK64" s="22"/>
      <c r="AL64"/>
      <c r="AS64" t="s">
        <v>973</v>
      </c>
      <c r="AT64" t="s">
        <v>1332</v>
      </c>
      <c r="AU64" t="b">
        <f>IF(ckCodingTable[[#This Row],[ILN]]="N",SUBSTITUTE(AT63," ","")&lt;&gt;SUBSTITUTE(ckCodingTable[[#This Row],[prop_titl_txt]]," ",""), FALSE)</f>
        <v>0</v>
      </c>
      <c r="AV64">
        <v>0</v>
      </c>
      <c r="AW64" s="13">
        <v>450000</v>
      </c>
      <c r="AX64" s="13">
        <v>450000</v>
      </c>
      <c r="AY64" s="13"/>
      <c r="AZ64" s="13">
        <v>12000</v>
      </c>
      <c r="BA64" s="13">
        <v>134870</v>
      </c>
      <c r="BB64" s="13"/>
      <c r="BD64">
        <v>3</v>
      </c>
      <c r="BE64">
        <v>3</v>
      </c>
      <c r="BH64">
        <v>0</v>
      </c>
      <c r="BI64">
        <v>0</v>
      </c>
      <c r="BJ64">
        <v>0</v>
      </c>
      <c r="BK64">
        <v>0</v>
      </c>
      <c r="BL64" t="s">
        <v>1336</v>
      </c>
    </row>
    <row r="65" spans="1:64" x14ac:dyDescent="0.4">
      <c r="A65" s="30">
        <v>42955.702997685185</v>
      </c>
      <c r="B65" s="30">
        <v>42809.665972222225</v>
      </c>
      <c r="C65" t="s">
        <v>1136</v>
      </c>
      <c r="D65" t="s">
        <v>222</v>
      </c>
      <c r="E65" t="s">
        <v>1137</v>
      </c>
      <c r="F65" t="s">
        <v>976</v>
      </c>
      <c r="G65" t="s">
        <v>172</v>
      </c>
      <c r="H65" s="21" t="s">
        <v>94</v>
      </c>
      <c r="I65" s="87">
        <v>1</v>
      </c>
      <c r="J65" s="87">
        <v>0</v>
      </c>
      <c r="K65" t="s">
        <v>1135</v>
      </c>
      <c r="L65" t="s">
        <v>406</v>
      </c>
      <c r="M65" t="s">
        <v>122</v>
      </c>
      <c r="N65" t="str">
        <f>IF(SUM(ckCodingTable[[#This Row],[NfmlPIs]:[NnonWhtAsnPIs]])&gt;0,"WMD","")</f>
        <v>WMD</v>
      </c>
      <c r="O65" t="b">
        <f>_xlfn.XOR(IFERROR(MATCH(ckCodingTable[[#This Row],[st_code]],EpscorTable[],0)&gt;0,FALSE),IFERROR(FIND("9150",ckCodingTable[[#This Row],[propPRCs]])&gt;0,FALSE))</f>
        <v>0</v>
      </c>
      <c r="P65" s="21" t="b">
        <f>_xlfn.XOR(ckCodingTable[[#This Row],[wmd]]&lt;&gt;"",IFERROR(FIND("9102",ckCodingTable[[#This Row],[propPRCs]])&gt;0,FALSE))</f>
        <v>0</v>
      </c>
      <c r="Q65" t="s">
        <v>1156</v>
      </c>
      <c r="R65" s="22">
        <v>42954.60597222222</v>
      </c>
      <c r="S65" s="21">
        <f>S64+(ckCodingTable[[#This Row],[ILN]]&lt;"M")</f>
        <v>50</v>
      </c>
      <c r="T65" s="21" t="s">
        <v>96</v>
      </c>
      <c r="U65" t="s">
        <v>1337</v>
      </c>
      <c r="V65" s="7" t="str">
        <f>HYPERLINK("https://www.ejacket.nsf.gov/ej/showProposal.do?ID="&amp;ckCodingTable[[#This Row],[prop_id]],"eJ")</f>
        <v>eJ</v>
      </c>
      <c r="W65" t="s">
        <v>224</v>
      </c>
      <c r="X65" t="s">
        <v>1337</v>
      </c>
      <c r="Y65" t="s">
        <v>1338</v>
      </c>
      <c r="Z65" t="s">
        <v>524</v>
      </c>
      <c r="AA65" t="s">
        <v>1339</v>
      </c>
      <c r="AC65" s="30">
        <v>43070</v>
      </c>
      <c r="AD65">
        <v>36</v>
      </c>
      <c r="AE65">
        <v>1</v>
      </c>
      <c r="AG65">
        <v>1</v>
      </c>
      <c r="AH65" s="21">
        <v>4.22</v>
      </c>
      <c r="AI65" t="s">
        <v>1341</v>
      </c>
      <c r="AJ65" s="26">
        <v>3</v>
      </c>
      <c r="AK65" s="22">
        <v>42867.839583333334</v>
      </c>
      <c r="AL65">
        <v>3</v>
      </c>
      <c r="AS65" t="s">
        <v>973</v>
      </c>
      <c r="AT65" t="s">
        <v>1342</v>
      </c>
      <c r="AU65" t="b">
        <f>IF(ckCodingTable[[#This Row],[ILN]]="N",SUBSTITUTE(AT64," ","")&lt;&gt;SUBSTITUTE(ckCodingTable[[#This Row],[prop_titl_txt]]," ",""), FALSE)</f>
        <v>0</v>
      </c>
      <c r="AV65">
        <v>0</v>
      </c>
      <c r="AW65" s="13">
        <v>1500000</v>
      </c>
      <c r="AX65" s="13">
        <v>1500000</v>
      </c>
      <c r="AY65" s="13"/>
      <c r="AZ65" s="13">
        <v>2490</v>
      </c>
      <c r="BA65" s="13"/>
      <c r="BB65" s="13">
        <v>54825</v>
      </c>
      <c r="BD65">
        <v>15</v>
      </c>
      <c r="BE65">
        <v>24</v>
      </c>
      <c r="BF65">
        <v>27.03</v>
      </c>
      <c r="BH65">
        <v>3</v>
      </c>
      <c r="BI65">
        <v>0</v>
      </c>
      <c r="BJ65">
        <v>0</v>
      </c>
      <c r="BK65">
        <v>0</v>
      </c>
      <c r="BL65" t="s">
        <v>1340</v>
      </c>
    </row>
    <row r="66" spans="1:64" x14ac:dyDescent="0.4">
      <c r="A66" s="30">
        <v>42933.413645833331</v>
      </c>
      <c r="B66" s="30">
        <v>42809.683333333334</v>
      </c>
      <c r="C66" t="s">
        <v>1136</v>
      </c>
      <c r="D66" t="s">
        <v>222</v>
      </c>
      <c r="E66" t="s">
        <v>1137</v>
      </c>
      <c r="F66" t="s">
        <v>992</v>
      </c>
      <c r="G66" t="s">
        <v>172</v>
      </c>
      <c r="H66" s="21" t="s">
        <v>94</v>
      </c>
      <c r="I66" s="87">
        <v>1</v>
      </c>
      <c r="J66" s="87">
        <v>0</v>
      </c>
      <c r="K66" t="s">
        <v>1135</v>
      </c>
      <c r="L66" t="s">
        <v>451</v>
      </c>
      <c r="M66" t="s">
        <v>281</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1142</v>
      </c>
      <c r="R66" s="22">
        <v>42929.446134259262</v>
      </c>
      <c r="S66" s="21">
        <f>S65+(ckCodingTable[[#This Row],[ILN]]&lt;"M")</f>
        <v>51</v>
      </c>
      <c r="T66" s="21" t="s">
        <v>96</v>
      </c>
      <c r="U66" t="s">
        <v>1343</v>
      </c>
      <c r="V66" s="7" t="str">
        <f>HYPERLINK("https://www.ejacket.nsf.gov/ej/showProposal.do?ID="&amp;ckCodingTable[[#This Row],[prop_id]],"eJ")</f>
        <v>eJ</v>
      </c>
      <c r="W66" t="s">
        <v>224</v>
      </c>
      <c r="X66" t="s">
        <v>1343</v>
      </c>
      <c r="Y66" t="s">
        <v>1344</v>
      </c>
      <c r="Z66" t="s">
        <v>1345</v>
      </c>
      <c r="AA66" t="s">
        <v>1346</v>
      </c>
      <c r="AC66" s="30">
        <v>43009</v>
      </c>
      <c r="AD66">
        <v>36</v>
      </c>
      <c r="AE66">
        <v>1</v>
      </c>
      <c r="AH66" s="21">
        <v>1.01</v>
      </c>
      <c r="AI66" t="s">
        <v>1348</v>
      </c>
      <c r="AJ66" s="26">
        <v>8.6666666666666661</v>
      </c>
      <c r="AK66" s="22">
        <v>42870.640972222223</v>
      </c>
      <c r="AL66">
        <v>3</v>
      </c>
      <c r="AO66">
        <v>1</v>
      </c>
      <c r="AS66" t="s">
        <v>991</v>
      </c>
      <c r="AT66" t="s">
        <v>1349</v>
      </c>
      <c r="AU66" t="b">
        <f>IF(ckCodingTable[[#This Row],[ILN]]="N",SUBSTITUTE(AT65," ","")&lt;&gt;SUBSTITUTE(ckCodingTable[[#This Row],[prop_titl_txt]]," ",""), FALSE)</f>
        <v>0</v>
      </c>
      <c r="AV66">
        <v>1</v>
      </c>
      <c r="AW66" s="13">
        <v>1497238</v>
      </c>
      <c r="AX66" s="13">
        <v>1496655</v>
      </c>
      <c r="AY66" s="13"/>
      <c r="AZ66" s="13"/>
      <c r="BA66" s="13">
        <v>600680</v>
      </c>
      <c r="BB66" s="13">
        <v>24000</v>
      </c>
      <c r="BH66">
        <v>0</v>
      </c>
      <c r="BI66">
        <v>0</v>
      </c>
      <c r="BJ66">
        <v>0</v>
      </c>
      <c r="BK66">
        <v>0</v>
      </c>
      <c r="BL66" t="s">
        <v>1347</v>
      </c>
    </row>
    <row r="67" spans="1:64" x14ac:dyDescent="0.4">
      <c r="A67" s="30">
        <v>42934.469247685185</v>
      </c>
      <c r="B67" s="30">
        <v>42809.688888888886</v>
      </c>
      <c r="C67" t="s">
        <v>1136</v>
      </c>
      <c r="D67" t="s">
        <v>222</v>
      </c>
      <c r="E67" t="s">
        <v>1137</v>
      </c>
      <c r="F67" t="s">
        <v>976</v>
      </c>
      <c r="G67" t="s">
        <v>172</v>
      </c>
      <c r="H67" s="21" t="s">
        <v>94</v>
      </c>
      <c r="I67" s="87">
        <v>1</v>
      </c>
      <c r="J67" s="87">
        <v>0</v>
      </c>
      <c r="K67" t="s">
        <v>1135</v>
      </c>
      <c r="L67" t="s">
        <v>406</v>
      </c>
      <c r="M67" t="s">
        <v>281</v>
      </c>
      <c r="N67" t="str">
        <f>IF(SUM(ckCodingTable[[#This Row],[NfmlPIs]:[NnonWhtAsnPIs]])&gt;0,"WMD","")</f>
        <v>WMD</v>
      </c>
      <c r="O67" t="b">
        <f>_xlfn.XOR(IFERROR(MATCH(ckCodingTable[[#This Row],[st_code]],EpscorTable[],0)&gt;0,FALSE),IFERROR(FIND("9150",ckCodingTable[[#This Row],[propPRCs]])&gt;0,FALSE))</f>
        <v>0</v>
      </c>
      <c r="P67" s="21" t="b">
        <f>_xlfn.XOR(ckCodingTable[[#This Row],[wmd]]&lt;&gt;"",IFERROR(FIND("9102",ckCodingTable[[#This Row],[propPRCs]])&gt;0,FALSE))</f>
        <v>0</v>
      </c>
      <c r="Q67" t="s">
        <v>1176</v>
      </c>
      <c r="R67" s="22">
        <v>42920.120162037034</v>
      </c>
      <c r="S67" s="21">
        <f>S66+(ckCodingTable[[#This Row],[ILN]]&lt;"M")</f>
        <v>52</v>
      </c>
      <c r="T67" s="21" t="s">
        <v>96</v>
      </c>
      <c r="U67" t="s">
        <v>1350</v>
      </c>
      <c r="V67" s="7" t="str">
        <f>HYPERLINK("https://www.ejacket.nsf.gov/ej/showProposal.do?ID="&amp;ckCodingTable[[#This Row],[prop_id]],"eJ")</f>
        <v>eJ</v>
      </c>
      <c r="W67" t="s">
        <v>224</v>
      </c>
      <c r="X67" t="s">
        <v>1350</v>
      </c>
      <c r="Y67" t="s">
        <v>1351</v>
      </c>
      <c r="Z67" t="s">
        <v>1352</v>
      </c>
      <c r="AA67" t="s">
        <v>1329</v>
      </c>
      <c r="AC67" s="30">
        <v>42979</v>
      </c>
      <c r="AD67">
        <v>36</v>
      </c>
      <c r="AE67">
        <v>1</v>
      </c>
      <c r="AH67" s="21">
        <v>2.0699999999999998</v>
      </c>
      <c r="AI67" t="s">
        <v>1354</v>
      </c>
      <c r="AJ67" s="26">
        <v>6.333333333333333</v>
      </c>
      <c r="AK67" s="22">
        <v>42873.537499999999</v>
      </c>
      <c r="AL67">
        <v>3</v>
      </c>
      <c r="AS67" t="s">
        <v>973</v>
      </c>
      <c r="AT67" t="s">
        <v>1355</v>
      </c>
      <c r="AU67" t="b">
        <f>IF(ckCodingTable[[#This Row],[ILN]]="N",SUBSTITUTE(AT66," ","")&lt;&gt;SUBSTITUTE(ckCodingTable[[#This Row],[prop_titl_txt]]," ",""), FALSE)</f>
        <v>0</v>
      </c>
      <c r="AV67">
        <v>0</v>
      </c>
      <c r="AW67" s="13">
        <v>1473414</v>
      </c>
      <c r="AX67" s="13">
        <v>1473414</v>
      </c>
      <c r="AY67" s="13"/>
      <c r="AZ67" s="13"/>
      <c r="BA67" s="13">
        <v>299875</v>
      </c>
      <c r="BB67" s="13">
        <v>120000</v>
      </c>
      <c r="BC67">
        <v>6</v>
      </c>
      <c r="BD67">
        <v>12</v>
      </c>
      <c r="BE67">
        <v>10.68</v>
      </c>
      <c r="BH67">
        <v>0</v>
      </c>
      <c r="BI67">
        <v>1</v>
      </c>
      <c r="BJ67">
        <v>0</v>
      </c>
      <c r="BK67">
        <v>0</v>
      </c>
      <c r="BL67" t="s">
        <v>1353</v>
      </c>
    </row>
    <row r="68" spans="1:64" x14ac:dyDescent="0.4">
      <c r="A68" s="30">
        <v>42955.710752314815</v>
      </c>
      <c r="B68" s="30">
        <v>42809.693749999999</v>
      </c>
      <c r="C68" t="s">
        <v>1136</v>
      </c>
      <c r="D68" t="s">
        <v>222</v>
      </c>
      <c r="E68" t="s">
        <v>1137</v>
      </c>
      <c r="F68" t="s">
        <v>976</v>
      </c>
      <c r="G68" t="s">
        <v>172</v>
      </c>
      <c r="H68" s="21" t="s">
        <v>94</v>
      </c>
      <c r="I68" s="87">
        <v>1</v>
      </c>
      <c r="J68" s="87">
        <v>0</v>
      </c>
      <c r="K68" t="s">
        <v>1135</v>
      </c>
      <c r="L68" t="s">
        <v>406</v>
      </c>
      <c r="M68" t="s">
        <v>280</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1142</v>
      </c>
      <c r="R68" s="22">
        <v>42914.639224537037</v>
      </c>
      <c r="S68" s="21">
        <f>S67+(ckCodingTable[[#This Row],[ILN]]&lt;"M")</f>
        <v>53</v>
      </c>
      <c r="T68" s="21" t="s">
        <v>96</v>
      </c>
      <c r="U68" t="s">
        <v>1356</v>
      </c>
      <c r="V68" s="7" t="str">
        <f>HYPERLINK("https://www.ejacket.nsf.gov/ej/showProposal.do?ID="&amp;ckCodingTable[[#This Row],[prop_id]],"eJ")</f>
        <v>eJ</v>
      </c>
      <c r="W68" t="s">
        <v>224</v>
      </c>
      <c r="X68" t="s">
        <v>1356</v>
      </c>
      <c r="Y68" t="s">
        <v>1357</v>
      </c>
      <c r="Z68" t="s">
        <v>1219</v>
      </c>
      <c r="AA68" t="s">
        <v>1075</v>
      </c>
      <c r="AC68" s="30">
        <v>42979</v>
      </c>
      <c r="AD68">
        <v>36</v>
      </c>
      <c r="AE68">
        <v>1</v>
      </c>
      <c r="AH68" s="21">
        <v>3.11</v>
      </c>
      <c r="AI68" t="s">
        <v>593</v>
      </c>
      <c r="AJ68" s="26">
        <v>4.666666666666667</v>
      </c>
      <c r="AK68" s="22">
        <v>42872.493055555555</v>
      </c>
      <c r="AL68">
        <v>3</v>
      </c>
      <c r="AO68">
        <v>2</v>
      </c>
      <c r="AS68" t="s">
        <v>973</v>
      </c>
      <c r="AT68" t="s">
        <v>1359</v>
      </c>
      <c r="AU68" t="b">
        <f>IF(ckCodingTable[[#This Row],[ILN]]="N",SUBSTITUTE(AT67," ","")&lt;&gt;SUBSTITUTE(ckCodingTable[[#This Row],[prop_titl_txt]]," ",""), FALSE)</f>
        <v>0</v>
      </c>
      <c r="AV68">
        <v>0</v>
      </c>
      <c r="AW68" s="13">
        <v>1499733</v>
      </c>
      <c r="AX68" s="13">
        <v>1499733</v>
      </c>
      <c r="AY68" s="13"/>
      <c r="AZ68" s="13"/>
      <c r="BA68" s="13">
        <v>543589</v>
      </c>
      <c r="BB68" s="13">
        <v>78000</v>
      </c>
      <c r="BD68">
        <v>15</v>
      </c>
      <c r="BE68">
        <v>14.5</v>
      </c>
      <c r="BH68">
        <v>0</v>
      </c>
      <c r="BI68">
        <v>0</v>
      </c>
      <c r="BJ68">
        <v>0</v>
      </c>
      <c r="BK68">
        <v>0</v>
      </c>
      <c r="BL68" t="s">
        <v>1358</v>
      </c>
    </row>
    <row r="69" spans="1:64" x14ac:dyDescent="0.4">
      <c r="A69" s="30">
        <v>42955.712395833332</v>
      </c>
      <c r="B69" s="30">
        <v>42809.695138888892</v>
      </c>
      <c r="C69" t="s">
        <v>1136</v>
      </c>
      <c r="D69" t="s">
        <v>222</v>
      </c>
      <c r="E69" t="s">
        <v>1137</v>
      </c>
      <c r="F69" t="s">
        <v>976</v>
      </c>
      <c r="G69" t="s">
        <v>172</v>
      </c>
      <c r="H69" s="21" t="s">
        <v>94</v>
      </c>
      <c r="I69" s="87">
        <v>1</v>
      </c>
      <c r="J69" s="87">
        <v>0</v>
      </c>
      <c r="K69" t="s">
        <v>1135</v>
      </c>
      <c r="L69" t="s">
        <v>406</v>
      </c>
      <c r="M69" t="s">
        <v>282</v>
      </c>
      <c r="N69" t="str">
        <f>IF(SUM(ckCodingTable[[#This Row],[NfmlPIs]:[NnonWhtAsnPIs]])&gt;0,"WMD","")</f>
        <v/>
      </c>
      <c r="O69" t="b">
        <f>_xlfn.XOR(IFERROR(MATCH(ckCodingTable[[#This Row],[st_code]],EpscorTable[],0)&gt;0,FALSE),IFERROR(FIND("9150",ckCodingTable[[#This Row],[propPRCs]])&gt;0,FALSE))</f>
        <v>0</v>
      </c>
      <c r="P69" s="21" t="b">
        <f>_xlfn.XOR(ckCodingTable[[#This Row],[wmd]]&lt;&gt;"",IFERROR(FIND("9102",ckCodingTable[[#This Row],[propPRCs]])&gt;0,FALSE))</f>
        <v>0</v>
      </c>
      <c r="Q69" t="s">
        <v>1142</v>
      </c>
      <c r="R69" s="22">
        <v>42914.639282407406</v>
      </c>
      <c r="S69" s="21">
        <f>S68+(ckCodingTable[[#This Row],[ILN]]&lt;"M")</f>
        <v>54</v>
      </c>
      <c r="T69" s="21" t="s">
        <v>96</v>
      </c>
      <c r="U69" t="s">
        <v>1360</v>
      </c>
      <c r="V69" s="7" t="str">
        <f>HYPERLINK("https://www.ejacket.nsf.gov/ej/showProposal.do?ID="&amp;ckCodingTable[[#This Row],[prop_id]],"eJ")</f>
        <v>eJ</v>
      </c>
      <c r="W69" t="s">
        <v>224</v>
      </c>
      <c r="X69" t="s">
        <v>1360</v>
      </c>
      <c r="Y69" t="s">
        <v>1361</v>
      </c>
      <c r="Z69" t="s">
        <v>1362</v>
      </c>
      <c r="AA69" t="s">
        <v>1363</v>
      </c>
      <c r="AC69" s="30">
        <v>42979</v>
      </c>
      <c r="AD69">
        <v>36</v>
      </c>
      <c r="AE69">
        <v>1</v>
      </c>
      <c r="AH69" s="21">
        <v>3.11</v>
      </c>
      <c r="AI69" t="s">
        <v>1365</v>
      </c>
      <c r="AJ69" s="26">
        <v>5.666666666666667</v>
      </c>
      <c r="AK69" s="22">
        <v>42872.520833333336</v>
      </c>
      <c r="AL69">
        <v>3</v>
      </c>
      <c r="AS69" t="s">
        <v>973</v>
      </c>
      <c r="AT69" t="s">
        <v>1366</v>
      </c>
      <c r="AU69" t="b">
        <f>IF(ckCodingTable[[#This Row],[ILN]]="N",SUBSTITUTE(AT68," ","")&lt;&gt;SUBSTITUTE(ckCodingTable[[#This Row],[prop_titl_txt]]," ",""), FALSE)</f>
        <v>0</v>
      </c>
      <c r="AV69">
        <v>0</v>
      </c>
      <c r="AW69" s="13">
        <v>1499984</v>
      </c>
      <c r="AX69" s="13">
        <v>1499984</v>
      </c>
      <c r="AY69" s="13"/>
      <c r="AZ69" s="13">
        <v>21000</v>
      </c>
      <c r="BA69" s="13"/>
      <c r="BB69" s="13"/>
      <c r="BC69">
        <v>15</v>
      </c>
      <c r="BD69">
        <v>24</v>
      </c>
      <c r="BE69">
        <v>13.5</v>
      </c>
      <c r="BG69">
        <v>9</v>
      </c>
      <c r="BH69">
        <v>0</v>
      </c>
      <c r="BI69">
        <v>0</v>
      </c>
      <c r="BJ69">
        <v>0</v>
      </c>
      <c r="BK69">
        <v>0</v>
      </c>
      <c r="BL69" t="s">
        <v>1364</v>
      </c>
    </row>
    <row r="70" spans="1:64" x14ac:dyDescent="0.4">
      <c r="A70" s="30">
        <v>42956.384513888886</v>
      </c>
      <c r="B70" s="30">
        <v>42809.700694444444</v>
      </c>
      <c r="C70" t="s">
        <v>1136</v>
      </c>
      <c r="D70" t="s">
        <v>222</v>
      </c>
      <c r="E70" t="s">
        <v>1137</v>
      </c>
      <c r="F70" t="s">
        <v>976</v>
      </c>
      <c r="G70" t="s">
        <v>172</v>
      </c>
      <c r="H70" s="21" t="s">
        <v>94</v>
      </c>
      <c r="I70" s="87">
        <v>1</v>
      </c>
      <c r="J70" s="87">
        <v>0</v>
      </c>
      <c r="K70" t="s">
        <v>1135</v>
      </c>
      <c r="L70" t="s">
        <v>451</v>
      </c>
      <c r="M70" t="s">
        <v>560</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1142</v>
      </c>
      <c r="R70" s="22">
        <v>42951.541817129626</v>
      </c>
      <c r="S70" s="21">
        <f>S69+(ckCodingTable[[#This Row],[ILN]]&lt;"M")</f>
        <v>55</v>
      </c>
      <c r="T70" s="21" t="s">
        <v>96</v>
      </c>
      <c r="U70" t="s">
        <v>1367</v>
      </c>
      <c r="V70" s="7" t="str">
        <f>HYPERLINK("https://www.ejacket.nsf.gov/ej/showProposal.do?ID="&amp;ckCodingTable[[#This Row],[prop_id]],"eJ")</f>
        <v>eJ</v>
      </c>
      <c r="W70" t="s">
        <v>224</v>
      </c>
      <c r="X70" t="s">
        <v>1367</v>
      </c>
      <c r="Y70" t="s">
        <v>1368</v>
      </c>
      <c r="Z70" t="s">
        <v>1369</v>
      </c>
      <c r="AA70" t="s">
        <v>559</v>
      </c>
      <c r="AC70" s="30">
        <v>43101</v>
      </c>
      <c r="AD70">
        <v>36</v>
      </c>
      <c r="AE70">
        <v>1</v>
      </c>
      <c r="AH70" s="21">
        <v>3.11</v>
      </c>
      <c r="AI70" t="s">
        <v>1371</v>
      </c>
      <c r="AJ70" s="26">
        <v>4</v>
      </c>
      <c r="AK70" s="22">
        <v>42871.898611111108</v>
      </c>
      <c r="AL70">
        <v>5</v>
      </c>
      <c r="AS70" t="s">
        <v>973</v>
      </c>
      <c r="AT70" t="s">
        <v>1372</v>
      </c>
      <c r="AU70" t="b">
        <f>IF(ckCodingTable[[#This Row],[ILN]]="N",SUBSTITUTE(AT69," ","")&lt;&gt;SUBSTITUTE(ckCodingTable[[#This Row],[prop_titl_txt]]," ",""), FALSE)</f>
        <v>0</v>
      </c>
      <c r="AV70">
        <v>0</v>
      </c>
      <c r="AW70" s="13">
        <v>1464858</v>
      </c>
      <c r="AX70" s="13">
        <v>1464858</v>
      </c>
      <c r="AY70" s="13"/>
      <c r="AZ70" s="13">
        <v>26500</v>
      </c>
      <c r="BA70" s="13"/>
      <c r="BB70" s="13">
        <v>68400</v>
      </c>
      <c r="BC70">
        <v>15</v>
      </c>
      <c r="BD70">
        <v>15</v>
      </c>
      <c r="BE70">
        <v>15</v>
      </c>
      <c r="BH70">
        <v>0</v>
      </c>
      <c r="BI70">
        <v>0</v>
      </c>
      <c r="BJ70">
        <v>0</v>
      </c>
      <c r="BK70">
        <v>0</v>
      </c>
      <c r="BL70" t="s">
        <v>1370</v>
      </c>
    </row>
    <row r="71" spans="1:64" x14ac:dyDescent="0.4">
      <c r="A71" s="30">
        <v>42930.561608796299</v>
      </c>
      <c r="B71" s="30">
        <v>42809.702777777777</v>
      </c>
      <c r="C71" t="s">
        <v>1136</v>
      </c>
      <c r="D71" t="s">
        <v>222</v>
      </c>
      <c r="E71" t="s">
        <v>1137</v>
      </c>
      <c r="F71" t="s">
        <v>992</v>
      </c>
      <c r="G71" t="s">
        <v>172</v>
      </c>
      <c r="H71" s="21" t="s">
        <v>94</v>
      </c>
      <c r="I71" s="87">
        <v>1</v>
      </c>
      <c r="J71" s="87">
        <v>0</v>
      </c>
      <c r="K71" t="s">
        <v>1135</v>
      </c>
      <c r="L71" t="s">
        <v>1241</v>
      </c>
      <c r="M71" t="s">
        <v>281</v>
      </c>
      <c r="N71" t="str">
        <f>IF(SUM(ckCodingTable[[#This Row],[NfmlPIs]:[NnonWhtAsnPIs]])&gt;0,"WMD","")</f>
        <v/>
      </c>
      <c r="O71" t="b">
        <f>_xlfn.XOR(IFERROR(MATCH(ckCodingTable[[#This Row],[st_code]],EpscorTable[],0)&gt;0,FALSE),IFERROR(FIND("9150",ckCodingTable[[#This Row],[propPRCs]])&gt;0,FALSE))</f>
        <v>0</v>
      </c>
      <c r="P71" s="21" t="b">
        <f>_xlfn.XOR(ckCodingTable[[#This Row],[wmd]]&lt;&gt;"",IFERROR(FIND("9102",ckCodingTable[[#This Row],[propPRCs]])&gt;0,FALSE))</f>
        <v>0</v>
      </c>
      <c r="Q71" t="s">
        <v>1142</v>
      </c>
      <c r="R71" s="22">
        <v>42929.336412037039</v>
      </c>
      <c r="S71" s="21">
        <f>S70+(ckCodingTable[[#This Row],[ILN]]&lt;"M")</f>
        <v>56</v>
      </c>
      <c r="T71" s="21" t="s">
        <v>96</v>
      </c>
      <c r="U71" t="s">
        <v>1373</v>
      </c>
      <c r="V71" s="7" t="str">
        <f>HYPERLINK("https://www.ejacket.nsf.gov/ej/showProposal.do?ID="&amp;ckCodingTable[[#This Row],[prop_id]],"eJ")</f>
        <v>eJ</v>
      </c>
      <c r="W71" t="s">
        <v>224</v>
      </c>
      <c r="X71" t="s">
        <v>1373</v>
      </c>
      <c r="Y71" t="s">
        <v>1374</v>
      </c>
      <c r="Z71" t="s">
        <v>1214</v>
      </c>
      <c r="AA71" t="s">
        <v>1220</v>
      </c>
      <c r="AC71" s="30">
        <v>42979</v>
      </c>
      <c r="AD71">
        <v>36</v>
      </c>
      <c r="AE71">
        <v>1</v>
      </c>
      <c r="AH71" s="21">
        <v>1.02</v>
      </c>
      <c r="AI71" t="s">
        <v>1376</v>
      </c>
      <c r="AJ71" s="26">
        <v>7</v>
      </c>
      <c r="AK71" s="22">
        <v>42872.532638888886</v>
      </c>
      <c r="AL71">
        <v>3</v>
      </c>
      <c r="AS71" t="s">
        <v>991</v>
      </c>
      <c r="AT71" t="s">
        <v>1377</v>
      </c>
      <c r="AU71" t="b">
        <f>IF(ckCodingTable[[#This Row],[ILN]]="N",SUBSTITUTE(AT70," ","")&lt;&gt;SUBSTITUTE(ckCodingTable[[#This Row],[prop_titl_txt]]," ",""), FALSE)</f>
        <v>0</v>
      </c>
      <c r="AV71">
        <v>0</v>
      </c>
      <c r="AW71" s="13">
        <v>1500000</v>
      </c>
      <c r="AX71" s="13">
        <v>1500000</v>
      </c>
      <c r="AY71" s="13"/>
      <c r="AZ71" s="13"/>
      <c r="BA71" s="13">
        <v>185454</v>
      </c>
      <c r="BB71" s="13">
        <v>32274</v>
      </c>
      <c r="BC71">
        <v>6</v>
      </c>
      <c r="BD71">
        <v>15</v>
      </c>
      <c r="BE71">
        <v>3.75</v>
      </c>
      <c r="BH71">
        <v>0</v>
      </c>
      <c r="BI71">
        <v>0</v>
      </c>
      <c r="BJ71">
        <v>0</v>
      </c>
      <c r="BK71">
        <v>0</v>
      </c>
      <c r="BL71" t="s">
        <v>1375</v>
      </c>
    </row>
    <row r="72" spans="1:64" x14ac:dyDescent="0.4">
      <c r="A72" s="30">
        <v>42934.468009259261</v>
      </c>
      <c r="B72" s="30">
        <v>42809.705555555556</v>
      </c>
      <c r="C72" t="s">
        <v>1136</v>
      </c>
      <c r="D72" t="s">
        <v>222</v>
      </c>
      <c r="E72" t="s">
        <v>1137</v>
      </c>
      <c r="F72" t="s">
        <v>976</v>
      </c>
      <c r="G72" t="s">
        <v>172</v>
      </c>
      <c r="H72" s="21" t="s">
        <v>94</v>
      </c>
      <c r="I72" s="87">
        <v>1</v>
      </c>
      <c r="J72" s="87">
        <v>0</v>
      </c>
      <c r="K72" t="s">
        <v>1135</v>
      </c>
      <c r="L72" t="s">
        <v>406</v>
      </c>
      <c r="M72" t="s">
        <v>1317</v>
      </c>
      <c r="N72" t="str">
        <f>IF(SUM(ckCodingTable[[#This Row],[NfmlPIs]:[NnonWhtAsnPIs]])&gt;0,"WMD","")</f>
        <v>WMD</v>
      </c>
      <c r="O72" t="b">
        <f>_xlfn.XOR(IFERROR(MATCH(ckCodingTable[[#This Row],[st_code]],EpscorTable[],0)&gt;0,FALSE),IFERROR(FIND("9150",ckCodingTable[[#This Row],[propPRCs]])&gt;0,FALSE))</f>
        <v>0</v>
      </c>
      <c r="P72" s="21" t="b">
        <f>_xlfn.XOR(ckCodingTable[[#This Row],[wmd]]&lt;&gt;"",IFERROR(FIND("9102",ckCodingTable[[#This Row],[propPRCs]])&gt;0,FALSE))</f>
        <v>0</v>
      </c>
      <c r="Q72" t="s">
        <v>1176</v>
      </c>
      <c r="R72" s="22">
        <v>42920.135023148148</v>
      </c>
      <c r="S72" s="21">
        <f>S71+(ckCodingTable[[#This Row],[ILN]]&lt;"M")</f>
        <v>57</v>
      </c>
      <c r="T72" s="21" t="s">
        <v>96</v>
      </c>
      <c r="U72" t="s">
        <v>1378</v>
      </c>
      <c r="V72" s="7" t="str">
        <f>HYPERLINK("https://www.ejacket.nsf.gov/ej/showProposal.do?ID="&amp;ckCodingTable[[#This Row],[prop_id]],"eJ")</f>
        <v>eJ</v>
      </c>
      <c r="W72" t="s">
        <v>224</v>
      </c>
      <c r="X72" t="s">
        <v>1378</v>
      </c>
      <c r="Y72" t="s">
        <v>1379</v>
      </c>
      <c r="Z72" t="s">
        <v>1380</v>
      </c>
      <c r="AA72" t="s">
        <v>1381</v>
      </c>
      <c r="AC72" s="30">
        <v>43009</v>
      </c>
      <c r="AD72">
        <v>36</v>
      </c>
      <c r="AE72">
        <v>1</v>
      </c>
      <c r="AH72" s="21">
        <v>2.09</v>
      </c>
      <c r="AI72" t="s">
        <v>1279</v>
      </c>
      <c r="AJ72" s="26">
        <v>6</v>
      </c>
      <c r="AK72" s="22">
        <v>42870.822916666664</v>
      </c>
      <c r="AL72">
        <v>3</v>
      </c>
      <c r="AO72">
        <v>2</v>
      </c>
      <c r="AS72" t="s">
        <v>973</v>
      </c>
      <c r="AT72" t="s">
        <v>1383</v>
      </c>
      <c r="AU72" t="b">
        <f>IF(ckCodingTable[[#This Row],[ILN]]="N",SUBSTITUTE(AT71," ","")&lt;&gt;SUBSTITUTE(ckCodingTable[[#This Row],[prop_titl_txt]]," ",""), FALSE)</f>
        <v>0</v>
      </c>
      <c r="AV72">
        <v>0</v>
      </c>
      <c r="AW72" s="13">
        <v>1499998</v>
      </c>
      <c r="AX72" s="13">
        <v>1499998</v>
      </c>
      <c r="AY72" s="13"/>
      <c r="AZ72" s="13"/>
      <c r="BA72" s="13"/>
      <c r="BB72" s="13">
        <v>801248</v>
      </c>
      <c r="BD72">
        <v>12</v>
      </c>
      <c r="BE72">
        <v>2</v>
      </c>
      <c r="BF72">
        <v>4.4000000000000004</v>
      </c>
      <c r="BG72">
        <v>0.3</v>
      </c>
      <c r="BH72">
        <v>2</v>
      </c>
      <c r="BI72">
        <v>0</v>
      </c>
      <c r="BJ72">
        <v>0</v>
      </c>
      <c r="BK72">
        <v>0</v>
      </c>
      <c r="BL72" t="s">
        <v>1382</v>
      </c>
    </row>
    <row r="73" spans="1:64" x14ac:dyDescent="0.4">
      <c r="A73" s="30">
        <v>42956.385439814818</v>
      </c>
      <c r="B73" s="30">
        <v>42809.706250000003</v>
      </c>
      <c r="C73" t="s">
        <v>1136</v>
      </c>
      <c r="D73" t="s">
        <v>222</v>
      </c>
      <c r="E73" t="s">
        <v>1137</v>
      </c>
      <c r="F73" t="s">
        <v>976</v>
      </c>
      <c r="G73" t="s">
        <v>172</v>
      </c>
      <c r="H73" s="21" t="s">
        <v>94</v>
      </c>
      <c r="I73" s="87">
        <v>1</v>
      </c>
      <c r="J73" s="87">
        <v>0</v>
      </c>
      <c r="K73" t="s">
        <v>1135</v>
      </c>
      <c r="L73" t="s">
        <v>451</v>
      </c>
      <c r="M73" t="s">
        <v>280</v>
      </c>
      <c r="N73" t="str">
        <f>IF(SUM(ckCodingTable[[#This Row],[NfmlPIs]:[NnonWhtAsnPIs]])&gt;0,"WMD","")</f>
        <v/>
      </c>
      <c r="O73" t="b">
        <f>_xlfn.XOR(IFERROR(MATCH(ckCodingTable[[#This Row],[st_code]],EpscorTable[],0)&gt;0,FALSE),IFERROR(FIND("9150",ckCodingTable[[#This Row],[propPRCs]])&gt;0,FALSE))</f>
        <v>0</v>
      </c>
      <c r="P73" s="21" t="b">
        <f>_xlfn.XOR(ckCodingTable[[#This Row],[wmd]]&lt;&gt;"",IFERROR(FIND("9102",ckCodingTable[[#This Row],[propPRCs]])&gt;0,FALSE))</f>
        <v>0</v>
      </c>
      <c r="Q73" t="s">
        <v>1142</v>
      </c>
      <c r="R73" s="22">
        <v>42951.589386574073</v>
      </c>
      <c r="S73" s="21">
        <f>S72+(ckCodingTable[[#This Row],[ILN]]&lt;"M")</f>
        <v>58</v>
      </c>
      <c r="T73" s="21" t="s">
        <v>96</v>
      </c>
      <c r="U73" t="s">
        <v>1384</v>
      </c>
      <c r="V73" s="7" t="str">
        <f>HYPERLINK("https://www.ejacket.nsf.gov/ej/showProposal.do?ID="&amp;ckCodingTable[[#This Row],[prop_id]],"eJ")</f>
        <v>eJ</v>
      </c>
      <c r="W73" t="s">
        <v>224</v>
      </c>
      <c r="X73" t="s">
        <v>1384</v>
      </c>
      <c r="Y73" t="s">
        <v>1385</v>
      </c>
      <c r="Z73" t="s">
        <v>1386</v>
      </c>
      <c r="AA73" t="s">
        <v>501</v>
      </c>
      <c r="AC73" s="30">
        <v>43101</v>
      </c>
      <c r="AD73">
        <v>36</v>
      </c>
      <c r="AE73">
        <v>1</v>
      </c>
      <c r="AH73" s="21">
        <v>3.11</v>
      </c>
      <c r="AI73" t="s">
        <v>593</v>
      </c>
      <c r="AJ73" s="26">
        <v>4.666666666666667</v>
      </c>
      <c r="AK73" s="22">
        <v>42873.52847222222</v>
      </c>
      <c r="AL73">
        <v>3</v>
      </c>
      <c r="AO73">
        <v>2</v>
      </c>
      <c r="AS73" t="s">
        <v>973</v>
      </c>
      <c r="AT73" t="s">
        <v>1388</v>
      </c>
      <c r="AU73" t="b">
        <f>IF(ckCodingTable[[#This Row],[ILN]]="N",SUBSTITUTE(AT72," ","")&lt;&gt;SUBSTITUTE(ckCodingTable[[#This Row],[prop_titl_txt]]," ",""), FALSE)</f>
        <v>0</v>
      </c>
      <c r="AV73">
        <v>0</v>
      </c>
      <c r="AW73" s="13">
        <v>1493907</v>
      </c>
      <c r="AX73" s="13">
        <v>1493907</v>
      </c>
      <c r="AY73" s="13"/>
      <c r="AZ73" s="13"/>
      <c r="BA73" s="13"/>
      <c r="BB73" s="13">
        <v>956970</v>
      </c>
      <c r="BD73">
        <v>30</v>
      </c>
      <c r="BE73">
        <v>7.35</v>
      </c>
      <c r="BH73">
        <v>0</v>
      </c>
      <c r="BI73">
        <v>0</v>
      </c>
      <c r="BJ73">
        <v>0</v>
      </c>
      <c r="BK73">
        <v>0</v>
      </c>
      <c r="BL73" t="s">
        <v>1387</v>
      </c>
    </row>
    <row r="74" spans="1:64" x14ac:dyDescent="0.4">
      <c r="A74" s="30">
        <v>42954.675567129627</v>
      </c>
      <c r="B74" s="30">
        <v>42810.679861111108</v>
      </c>
      <c r="C74" t="s">
        <v>1136</v>
      </c>
      <c r="D74" t="s">
        <v>222</v>
      </c>
      <c r="E74" t="s">
        <v>1137</v>
      </c>
      <c r="F74" t="s">
        <v>976</v>
      </c>
      <c r="G74" t="s">
        <v>172</v>
      </c>
      <c r="H74" s="21" t="s">
        <v>94</v>
      </c>
      <c r="I74" s="87">
        <v>1</v>
      </c>
      <c r="J74" s="87">
        <v>0</v>
      </c>
      <c r="K74" t="s">
        <v>1135</v>
      </c>
      <c r="L74" t="s">
        <v>451</v>
      </c>
      <c r="M74" t="s">
        <v>281</v>
      </c>
      <c r="N74" t="str">
        <f>IF(SUM(ckCodingTable[[#This Row],[NfmlPIs]:[NnonWhtAsnPIs]])&gt;0,"WMD","")</f>
        <v/>
      </c>
      <c r="O74" t="b">
        <f>_xlfn.XOR(IFERROR(MATCH(ckCodingTable[[#This Row],[st_code]],EpscorTable[],0)&gt;0,FALSE),IFERROR(FIND("9150",ckCodingTable[[#This Row],[propPRCs]])&gt;0,FALSE))</f>
        <v>0</v>
      </c>
      <c r="P74" s="21" t="b">
        <f>_xlfn.XOR(ckCodingTable[[#This Row],[wmd]]&lt;&gt;"",IFERROR(FIND("9102",ckCodingTable[[#This Row],[propPRCs]])&gt;0,FALSE))</f>
        <v>0</v>
      </c>
      <c r="Q74" t="s">
        <v>1142</v>
      </c>
      <c r="R74" s="22">
        <v>42951.484560185185</v>
      </c>
      <c r="S74" s="21">
        <f>S73+(ckCodingTable[[#This Row],[ILN]]&lt;"M")</f>
        <v>59</v>
      </c>
      <c r="T74" s="21" t="s">
        <v>1145</v>
      </c>
      <c r="U74" t="s">
        <v>1389</v>
      </c>
      <c r="V74" s="7" t="str">
        <f>HYPERLINK("https://www.ejacket.nsf.gov/ej/showProposal.do?ID="&amp;ckCodingTable[[#This Row],[prop_id]],"eJ")</f>
        <v>eJ</v>
      </c>
      <c r="W74" t="s">
        <v>224</v>
      </c>
      <c r="X74" t="s">
        <v>1389</v>
      </c>
      <c r="Y74" t="s">
        <v>1390</v>
      </c>
      <c r="Z74" t="s">
        <v>1391</v>
      </c>
      <c r="AA74" t="s">
        <v>1392</v>
      </c>
      <c r="AC74" s="30">
        <v>42978</v>
      </c>
      <c r="AD74">
        <v>36</v>
      </c>
      <c r="AE74">
        <v>1</v>
      </c>
      <c r="AH74" s="21">
        <v>3.11</v>
      </c>
      <c r="AI74" t="s">
        <v>1394</v>
      </c>
      <c r="AJ74" s="26">
        <v>5</v>
      </c>
      <c r="AK74" s="22">
        <v>42872.491666666669</v>
      </c>
      <c r="AL74">
        <v>3</v>
      </c>
      <c r="AO74">
        <v>1</v>
      </c>
      <c r="AS74" t="s">
        <v>973</v>
      </c>
      <c r="AT74" t="s">
        <v>1395</v>
      </c>
      <c r="AU74" t="b">
        <f>IF(ckCodingTable[[#This Row],[ILN]]="N",SUBSTITUTE(AT73," ","")&lt;&gt;SUBSTITUTE(ckCodingTable[[#This Row],[prop_titl_txt]]," ",""), FALSE)</f>
        <v>0</v>
      </c>
      <c r="AV74">
        <v>0</v>
      </c>
      <c r="AW74" s="13">
        <v>1277934</v>
      </c>
      <c r="AX74" s="13">
        <v>1277934</v>
      </c>
      <c r="AY74" s="13">
        <v>60000</v>
      </c>
      <c r="AZ74" s="13"/>
      <c r="BA74" s="13"/>
      <c r="BB74" s="13"/>
      <c r="BC74">
        <v>9</v>
      </c>
      <c r="BD74">
        <v>12</v>
      </c>
      <c r="BE74">
        <v>6.75</v>
      </c>
      <c r="BG74">
        <v>3.6</v>
      </c>
      <c r="BH74">
        <v>0</v>
      </c>
      <c r="BI74">
        <v>0</v>
      </c>
      <c r="BJ74">
        <v>0</v>
      </c>
      <c r="BK74">
        <v>0</v>
      </c>
      <c r="BL74" t="s">
        <v>1393</v>
      </c>
    </row>
    <row r="75" spans="1:64" x14ac:dyDescent="0.4">
      <c r="A75" s="30">
        <v>42954.675567129627</v>
      </c>
      <c r="B75" s="30">
        <v>42809.634027777778</v>
      </c>
      <c r="C75" t="s">
        <v>1136</v>
      </c>
      <c r="D75" t="s">
        <v>222</v>
      </c>
      <c r="E75" t="s">
        <v>1137</v>
      </c>
      <c r="F75" t="s">
        <v>976</v>
      </c>
      <c r="G75" t="s">
        <v>172</v>
      </c>
      <c r="H75" s="21" t="s">
        <v>94</v>
      </c>
      <c r="I75" s="87">
        <v>1</v>
      </c>
      <c r="J75" s="87">
        <v>0</v>
      </c>
      <c r="K75" t="s">
        <v>1135</v>
      </c>
      <c r="L75" t="s">
        <v>451</v>
      </c>
      <c r="M75" t="s">
        <v>508</v>
      </c>
      <c r="N75" t="str">
        <f>IF(SUM(ckCodingTable[[#This Row],[NfmlPIs]:[NnonWhtAsnPIs]])&gt;0,"WMD","")</f>
        <v>WMD</v>
      </c>
      <c r="O75" t="b">
        <f>_xlfn.XOR(IFERROR(MATCH(ckCodingTable[[#This Row],[st_code]],EpscorTable[],0)&gt;0,FALSE),IFERROR(FIND("9150",ckCodingTable[[#This Row],[propPRCs]])&gt;0,FALSE))</f>
        <v>0</v>
      </c>
      <c r="P75" s="21" t="b">
        <f>_xlfn.XOR(ckCodingTable[[#This Row],[wmd]]&lt;&gt;"",IFERROR(FIND("9102",ckCodingTable[[#This Row],[propPRCs]])&gt;0,FALSE))</f>
        <v>0</v>
      </c>
      <c r="Q75" t="s">
        <v>1176</v>
      </c>
      <c r="R75" s="22">
        <v>42951.484560185185</v>
      </c>
      <c r="S75" s="21">
        <f>S74+(ckCodingTable[[#This Row],[ILN]]&lt;"M")</f>
        <v>59</v>
      </c>
      <c r="T75" s="21" t="s">
        <v>965</v>
      </c>
      <c r="U75" t="s">
        <v>1389</v>
      </c>
      <c r="V75" s="7" t="str">
        <f>HYPERLINK("https://www.ejacket.nsf.gov/ej/showProposal.do?ID="&amp;ckCodingTable[[#This Row],[prop_id]],"eJ")</f>
        <v>eJ</v>
      </c>
      <c r="W75" t="s">
        <v>224</v>
      </c>
      <c r="X75" t="s">
        <v>1396</v>
      </c>
      <c r="Y75" t="s">
        <v>1397</v>
      </c>
      <c r="Z75" t="s">
        <v>1398</v>
      </c>
      <c r="AA75" t="s">
        <v>1399</v>
      </c>
      <c r="AC75" s="30">
        <v>42978</v>
      </c>
      <c r="AD75">
        <v>36</v>
      </c>
      <c r="AJ75" s="26"/>
      <c r="AK75" s="22"/>
      <c r="AL75"/>
      <c r="AS75" t="s">
        <v>973</v>
      </c>
      <c r="AT75" t="s">
        <v>1395</v>
      </c>
      <c r="AU75" t="b">
        <f>IF(ckCodingTable[[#This Row],[ILN]]="N",SUBSTITUTE(AT74," ","")&lt;&gt;SUBSTITUTE(ckCodingTable[[#This Row],[prop_titl_txt]]," ",""), FALSE)</f>
        <v>0</v>
      </c>
      <c r="AV75">
        <v>0</v>
      </c>
      <c r="AW75" s="13">
        <v>222063</v>
      </c>
      <c r="AX75" s="13">
        <v>222063</v>
      </c>
      <c r="AY75" s="13"/>
      <c r="AZ75" s="13"/>
      <c r="BA75" s="13"/>
      <c r="BB75" s="13"/>
      <c r="BC75">
        <v>3</v>
      </c>
      <c r="BD75">
        <v>3</v>
      </c>
      <c r="BE75">
        <v>3</v>
      </c>
      <c r="BH75">
        <v>2</v>
      </c>
      <c r="BI75">
        <v>0</v>
      </c>
      <c r="BJ75">
        <v>0</v>
      </c>
      <c r="BK75">
        <v>0</v>
      </c>
      <c r="BL75" t="s">
        <v>1400</v>
      </c>
    </row>
  </sheetData>
  <conditionalFormatting sqref="M2:M75">
    <cfRule type="expression" dxfId="20" priority="12">
      <formula>$O2</formula>
    </cfRule>
  </conditionalFormatting>
  <conditionalFormatting sqref="N2:N75">
    <cfRule type="expression" dxfId="19" priority="11">
      <formula>$P2</formula>
    </cfRule>
  </conditionalFormatting>
  <conditionalFormatting sqref="I2:J75">
    <cfRule type="expression" dxfId="18" priority="1501">
      <formula>($J2+$I2)&lt;&gt;1</formula>
    </cfRule>
  </conditionalFormatting>
  <conditionalFormatting sqref="C2:L75 AC2:AD75">
    <cfRule type="expression" dxfId="17" priority="1530">
      <formula>AND($T2="N", C2&lt;&gt;C1)</formula>
    </cfRule>
  </conditionalFormatting>
  <conditionalFormatting sqref="AT2:AT75">
    <cfRule type="expression" dxfId="16" priority="1559">
      <formula>AU2</formula>
    </cfRule>
  </conditionalFormatting>
  <conditionalFormatting sqref="A2:BL75">
    <cfRule type="expression" dxfId="15" priority="1674">
      <formula>MOD($S2,2)</formula>
    </cfRule>
  </conditionalFormatting>
  <conditionalFormatting sqref="AI2:AI75">
    <cfRule type="expression" dxfId="14" priority="1926">
      <formula>AND($T2&lt;"M",$AL2&lt;$AN2+3)</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518"/>
  <sheetViews>
    <sheetView topLeftCell="F1" workbookViewId="0">
      <selection activeCell="L1" sqref="L1"/>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765625" customWidth="1"/>
    <col min="17" max="17" width="3.23046875" customWidth="1"/>
    <col min="18" max="18" width="2.3828125" customWidth="1"/>
    <col min="19" max="19" width="10.3046875" style="13" customWidth="1"/>
    <col min="20" max="21" width="10.3046875" customWidth="1"/>
    <col min="22" max="22" width="10.53515625" customWidth="1"/>
    <col min="23" max="23" width="3.69140625" customWidth="1"/>
    <col min="24" max="24" width="3.765625" style="6" customWidth="1"/>
    <col min="25" max="25" width="4.23046875" customWidth="1"/>
    <col min="26" max="26" width="11.07421875" customWidth="1"/>
    <col min="27" max="27" width="9.15234375" customWidth="1"/>
    <col min="28" max="28" width="6.15234375" customWidth="1"/>
    <col min="29" max="29" width="15.23046875" customWidth="1"/>
  </cols>
  <sheetData>
    <row r="1" spans="1:29" x14ac:dyDescent="0.4">
      <c r="A1" s="6" t="s">
        <v>132</v>
      </c>
      <c r="Q1" s="3"/>
    </row>
    <row r="2" spans="1:29" s="101" customFormat="1" x14ac:dyDescent="0.4">
      <c r="A2" s="100"/>
      <c r="F2" s="102" t="s">
        <v>15</v>
      </c>
      <c r="G2" s="102"/>
      <c r="I2" s="103" t="s">
        <v>2204</v>
      </c>
      <c r="K2" s="12" t="str">
        <f>LOWER(I4)</f>
        <v>rshah</v>
      </c>
      <c r="L2" s="103" t="s">
        <v>14</v>
      </c>
      <c r="M2" s="105">
        <f ca="1">YEAR(NOW())+(MONTH(NOW())&gt;9)-2000</f>
        <v>18</v>
      </c>
      <c r="Q2" s="102" t="s">
        <v>130</v>
      </c>
      <c r="R2" s="102"/>
      <c r="S2" s="104"/>
      <c r="U2" s="101" t="s">
        <v>131</v>
      </c>
      <c r="Y2" s="101" t="s">
        <v>2205</v>
      </c>
    </row>
    <row r="3" spans="1:29" x14ac:dyDescent="0.4">
      <c r="A3" s="6" t="s">
        <v>0</v>
      </c>
      <c r="B3" t="s">
        <v>88</v>
      </c>
      <c r="C3" t="s">
        <v>777</v>
      </c>
      <c r="D3" t="s">
        <v>102</v>
      </c>
      <c r="E3" s="30" t="s">
        <v>7</v>
      </c>
      <c r="F3" t="s">
        <v>8</v>
      </c>
      <c r="G3" t="s">
        <v>5</v>
      </c>
      <c r="H3" t="s">
        <v>4</v>
      </c>
      <c r="I3" t="s">
        <v>91</v>
      </c>
      <c r="J3" t="s">
        <v>963</v>
      </c>
      <c r="K3" t="s">
        <v>9</v>
      </c>
      <c r="L3" t="s">
        <v>1</v>
      </c>
      <c r="M3" s="21" t="s">
        <v>2</v>
      </c>
      <c r="N3" t="s">
        <v>10</v>
      </c>
      <c r="O3" s="14" t="s">
        <v>2179</v>
      </c>
      <c r="P3" t="s">
        <v>11</v>
      </c>
      <c r="Q3" t="s">
        <v>939</v>
      </c>
      <c r="R3" t="s">
        <v>940</v>
      </c>
      <c r="S3" s="13" t="s">
        <v>941</v>
      </c>
      <c r="T3" t="s">
        <v>942</v>
      </c>
      <c r="U3" t="s">
        <v>943</v>
      </c>
      <c r="V3" s="6" t="s">
        <v>944</v>
      </c>
      <c r="W3" t="s">
        <v>945</v>
      </c>
      <c r="X3" t="s">
        <v>946</v>
      </c>
      <c r="Y3" t="s">
        <v>6</v>
      </c>
      <c r="Z3" t="s">
        <v>947</v>
      </c>
      <c r="AA3" t="s">
        <v>948</v>
      </c>
      <c r="AB3" t="s">
        <v>949</v>
      </c>
      <c r="AC3" t="s">
        <v>12</v>
      </c>
    </row>
    <row r="4" spans="1:29" x14ac:dyDescent="0.4">
      <c r="A4" s="10" t="s">
        <v>977</v>
      </c>
      <c r="B4" s="78" t="s">
        <v>96</v>
      </c>
      <c r="C4" s="78">
        <f>C3+(BudgetsTable[[#This Row],[lead]]&lt;&gt;K3)</f>
        <v>11</v>
      </c>
      <c r="D4" s="78">
        <f>D3*(BudgetsTable[[#This Row],[lead]]=K3)+(BudgetsTable[[#This Row],[prop_id]]&lt;&gt;A3)</f>
        <v>1</v>
      </c>
      <c r="E4" s="79">
        <v>42569.623611111114</v>
      </c>
      <c r="F4" s="80" t="s">
        <v>975</v>
      </c>
      <c r="G4" s="80" t="s">
        <v>222</v>
      </c>
      <c r="H4" s="80" t="s">
        <v>405</v>
      </c>
      <c r="I4" s="78" t="s">
        <v>422</v>
      </c>
      <c r="J4" s="78" t="s">
        <v>982</v>
      </c>
      <c r="K4" s="80" t="s">
        <v>977</v>
      </c>
      <c r="L4" s="7" t="str">
        <f>IF(BudgetsTable[[#This Row],[pi_last_name]]=" ","",HYPERLINK("https://www.ejacket.nsf.gov/ej/showProposal.do?Continue=Y&amp;ID="&amp;BudgetsTable[[#This Row],[prop_id]],BudgetsTable[[#This Row],[prop_id]]))</f>
        <v>1651369</v>
      </c>
      <c r="M4" s="15" t="str">
        <f>IF(BudgetsTable[[#This Row],[pi_last_name]]=" ","",HYPERLINK("https://www.ejacket.nsf.gov/ej/processReviewAnalysis.do?dispatch=add&amp;uniqId="&amp;BudgetsTable[[#This Row],[prop_id]]&amp;PO_id,"&gt;ra"))</f>
        <v>&gt;ra</v>
      </c>
      <c r="N4" s="80" t="s">
        <v>978</v>
      </c>
      <c r="O4" s="7" t="str">
        <f>IF(BudgetsTable[[#This Row],[pi_last_name]]=" ","",HYPERLINK("mailto:"&amp;BudgetsTable[[#This Row],[pi_email]]&amp;"&amp;subject=Your NSF Proposal:  "&amp;BudgetsTable[[#This Row],[prop_id]],BudgetsTable[[#This Row],[pi_email]]))</f>
        <v>qzhangcs@indiana.edu</v>
      </c>
      <c r="P4" s="80" t="s">
        <v>980</v>
      </c>
      <c r="Q4" s="80"/>
      <c r="R4" s="80"/>
      <c r="S4" s="81"/>
      <c r="T4" s="81"/>
      <c r="U4" s="81"/>
      <c r="V4" s="82"/>
      <c r="W4" s="80">
        <v>0</v>
      </c>
      <c r="X4" s="80"/>
      <c r="Y4" s="11" t="str">
        <f ca="1">IF(ISBLANK(BudgetsTable[[#This Row],[budg_seq_yr]]),"FY"&amp;fiscalyear,"FY"&amp;fiscalyear-1+BudgetsTable[[#This Row],[budg_seq_yr]])</f>
        <v>FY18</v>
      </c>
      <c r="Z4" s="81">
        <v>499038</v>
      </c>
      <c r="AA4" s="80" t="s">
        <v>222</v>
      </c>
      <c r="AB4" s="80" t="s">
        <v>405</v>
      </c>
      <c r="AC4" s="80" t="s">
        <v>983</v>
      </c>
    </row>
    <row r="5" spans="1:29" x14ac:dyDescent="0.4">
      <c r="A5" s="10" t="s">
        <v>977</v>
      </c>
      <c r="B5" s="78" t="s">
        <v>96</v>
      </c>
      <c r="C5" s="78">
        <f>C4+(BudgetsTable[[#This Row],[lead]]&lt;&gt;K4)</f>
        <v>11</v>
      </c>
      <c r="D5" s="78">
        <f>D4*(BudgetsTable[[#This Row],[lead]]=K4)+(BudgetsTable[[#This Row],[prop_id]]&lt;&gt;A4)</f>
        <v>1</v>
      </c>
      <c r="E5" s="79">
        <v>42569.623611111114</v>
      </c>
      <c r="F5" s="80" t="s">
        <v>975</v>
      </c>
      <c r="G5" s="80" t="s">
        <v>222</v>
      </c>
      <c r="H5" s="80" t="s">
        <v>405</v>
      </c>
      <c r="I5" s="78" t="s">
        <v>422</v>
      </c>
      <c r="J5" s="78" t="s">
        <v>13</v>
      </c>
      <c r="K5" s="80" t="s">
        <v>977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80" t="s">
        <v>13</v>
      </c>
      <c r="O5" s="7" t="str">
        <f>IF(BudgetsTable[[#This Row],[pi_last_name]]=" ","",HYPERLINK("mailto:"&amp;BudgetsTable[[#This Row],[pi_email]]&amp;"&amp;subject=Your NSF Proposal:  "&amp;BudgetsTable[[#This Row],[prop_id]],BudgetsTable[[#This Row],[pi_email]]))</f>
        <v/>
      </c>
      <c r="P5" s="80" t="s">
        <v>13</v>
      </c>
      <c r="Q5" s="80">
        <v>1</v>
      </c>
      <c r="R5" s="80">
        <v>1</v>
      </c>
      <c r="S5" s="81">
        <v>0</v>
      </c>
      <c r="T5" s="81">
        <v>3000</v>
      </c>
      <c r="U5" s="81">
        <v>8000</v>
      </c>
      <c r="V5" s="82">
        <v>91374</v>
      </c>
      <c r="W5" s="80">
        <v>0</v>
      </c>
      <c r="X5" s="80">
        <v>1</v>
      </c>
      <c r="Y5" s="11" t="str">
        <f ca="1">IF(ISBLANK(BudgetsTable[[#This Row],[budg_seq_yr]]),"FY"&amp;fiscalyear,"FY"&amp;fiscalyear-1+BudgetsTable[[#This Row],[budg_seq_yr]])</f>
        <v>FY18</v>
      </c>
      <c r="Z5" s="81">
        <v>91374</v>
      </c>
      <c r="AA5" s="80" t="s">
        <v>222</v>
      </c>
      <c r="AB5" s="80" t="s">
        <v>405</v>
      </c>
      <c r="AC5" s="80" t="s">
        <v>983</v>
      </c>
    </row>
    <row r="6" spans="1:29" x14ac:dyDescent="0.4">
      <c r="A6" s="10" t="s">
        <v>977</v>
      </c>
      <c r="B6" s="78" t="s">
        <v>96</v>
      </c>
      <c r="C6" s="78">
        <f>C5+(BudgetsTable[[#This Row],[lead]]&lt;&gt;K5)</f>
        <v>11</v>
      </c>
      <c r="D6" s="78">
        <f>D5*(BudgetsTable[[#This Row],[lead]]=K5)+(BudgetsTable[[#This Row],[prop_id]]&lt;&gt;A5)</f>
        <v>1</v>
      </c>
      <c r="E6" s="79">
        <v>42569.623611111114</v>
      </c>
      <c r="F6" s="80" t="s">
        <v>975</v>
      </c>
      <c r="G6" s="80" t="s">
        <v>222</v>
      </c>
      <c r="H6" s="80" t="s">
        <v>405</v>
      </c>
      <c r="I6" s="78" t="s">
        <v>422</v>
      </c>
      <c r="J6" s="78" t="s">
        <v>13</v>
      </c>
      <c r="K6" s="80" t="s">
        <v>977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80" t="s">
        <v>13</v>
      </c>
      <c r="O6" s="7" t="str">
        <f>IF(BudgetsTable[[#This Row],[pi_last_name]]=" ","",HYPERLINK("mailto:"&amp;BudgetsTable[[#This Row],[pi_email]]&amp;"&amp;subject=Your NSF Proposal:  "&amp;BudgetsTable[[#This Row],[prop_id]],BudgetsTable[[#This Row],[pi_email]]))</f>
        <v/>
      </c>
      <c r="P6" s="80" t="s">
        <v>13</v>
      </c>
      <c r="Q6" s="80">
        <v>1</v>
      </c>
      <c r="R6" s="80">
        <v>2</v>
      </c>
      <c r="S6" s="81">
        <v>0</v>
      </c>
      <c r="T6" s="81">
        <v>3000</v>
      </c>
      <c r="U6" s="81">
        <v>0</v>
      </c>
      <c r="V6" s="82">
        <v>97335</v>
      </c>
      <c r="W6" s="80">
        <v>0</v>
      </c>
      <c r="X6" s="80">
        <v>2</v>
      </c>
      <c r="Y6" s="11" t="str">
        <f ca="1">IF(ISBLANK(BudgetsTable[[#This Row],[budg_seq_yr]]),"FY"&amp;fiscalyear,"FY"&amp;fiscalyear-1+BudgetsTable[[#This Row],[budg_seq_yr]])</f>
        <v>FY19</v>
      </c>
      <c r="Z6" s="81">
        <v>97335</v>
      </c>
      <c r="AA6" s="80" t="s">
        <v>222</v>
      </c>
      <c r="AB6" s="80" t="s">
        <v>405</v>
      </c>
      <c r="AC6" s="80" t="s">
        <v>983</v>
      </c>
    </row>
    <row r="7" spans="1:29" x14ac:dyDescent="0.4">
      <c r="A7" s="10" t="s">
        <v>977</v>
      </c>
      <c r="B7" s="78" t="s">
        <v>96</v>
      </c>
      <c r="C7" s="78">
        <f>C6+(BudgetsTable[[#This Row],[lead]]&lt;&gt;K6)</f>
        <v>11</v>
      </c>
      <c r="D7" s="78">
        <f>D6*(BudgetsTable[[#This Row],[lead]]=K6)+(BudgetsTable[[#This Row],[prop_id]]&lt;&gt;A6)</f>
        <v>1</v>
      </c>
      <c r="E7" s="79">
        <v>42569.623611111114</v>
      </c>
      <c r="F7" s="80" t="s">
        <v>975</v>
      </c>
      <c r="G7" s="80" t="s">
        <v>222</v>
      </c>
      <c r="H7" s="80" t="s">
        <v>405</v>
      </c>
      <c r="I7" s="78" t="s">
        <v>422</v>
      </c>
      <c r="J7" s="78" t="s">
        <v>13</v>
      </c>
      <c r="K7" s="80" t="s">
        <v>977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80" t="s">
        <v>13</v>
      </c>
      <c r="O7" s="7" t="str">
        <f>IF(BudgetsTable[[#This Row],[pi_last_name]]=" ","",HYPERLINK("mailto:"&amp;BudgetsTable[[#This Row],[pi_email]]&amp;"&amp;subject=Your NSF Proposal:  "&amp;BudgetsTable[[#This Row],[prop_id]],BudgetsTable[[#This Row],[pi_email]]))</f>
        <v/>
      </c>
      <c r="P7" s="80" t="s">
        <v>13</v>
      </c>
      <c r="Q7" s="80">
        <v>1</v>
      </c>
      <c r="R7" s="80">
        <v>2</v>
      </c>
      <c r="S7" s="81">
        <v>0</v>
      </c>
      <c r="T7" s="81">
        <v>3000</v>
      </c>
      <c r="U7" s="81">
        <v>0</v>
      </c>
      <c r="V7" s="82">
        <v>100316</v>
      </c>
      <c r="W7" s="80">
        <v>0</v>
      </c>
      <c r="X7" s="80">
        <v>3</v>
      </c>
      <c r="Y7" s="11" t="str">
        <f ca="1">IF(ISBLANK(BudgetsTable[[#This Row],[budg_seq_yr]]),"FY"&amp;fiscalyear,"FY"&amp;fiscalyear-1+BudgetsTable[[#This Row],[budg_seq_yr]])</f>
        <v>FY20</v>
      </c>
      <c r="Z7" s="81">
        <v>100316</v>
      </c>
      <c r="AA7" s="80" t="s">
        <v>222</v>
      </c>
      <c r="AB7" s="80" t="s">
        <v>405</v>
      </c>
      <c r="AC7" s="80" t="s">
        <v>983</v>
      </c>
    </row>
    <row r="8" spans="1:29" x14ac:dyDescent="0.4">
      <c r="A8" s="10" t="s">
        <v>977</v>
      </c>
      <c r="B8" s="78" t="s">
        <v>96</v>
      </c>
      <c r="C8" s="78">
        <f>C7+(BudgetsTable[[#This Row],[lead]]&lt;&gt;K7)</f>
        <v>11</v>
      </c>
      <c r="D8" s="78">
        <f>D7*(BudgetsTable[[#This Row],[lead]]=K7)+(BudgetsTable[[#This Row],[prop_id]]&lt;&gt;A7)</f>
        <v>1</v>
      </c>
      <c r="E8" s="79">
        <v>42569.623611111114</v>
      </c>
      <c r="F8" s="80" t="s">
        <v>975</v>
      </c>
      <c r="G8" s="80" t="s">
        <v>222</v>
      </c>
      <c r="H8" s="80" t="s">
        <v>405</v>
      </c>
      <c r="I8" s="78" t="s">
        <v>422</v>
      </c>
      <c r="J8" s="78" t="s">
        <v>13</v>
      </c>
      <c r="K8" s="80" t="s">
        <v>977</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80" t="s">
        <v>13</v>
      </c>
      <c r="O8" s="7" t="str">
        <f>IF(BudgetsTable[[#This Row],[pi_last_name]]=" ","",HYPERLINK("mailto:"&amp;BudgetsTable[[#This Row],[pi_email]]&amp;"&amp;subject=Your NSF Proposal:  "&amp;BudgetsTable[[#This Row],[prop_id]],BudgetsTable[[#This Row],[pi_email]]))</f>
        <v/>
      </c>
      <c r="P8" s="80" t="s">
        <v>13</v>
      </c>
      <c r="Q8" s="80">
        <v>1</v>
      </c>
      <c r="R8" s="80">
        <v>2</v>
      </c>
      <c r="S8" s="81">
        <v>0</v>
      </c>
      <c r="T8" s="81">
        <v>3000</v>
      </c>
      <c r="U8" s="81">
        <v>0</v>
      </c>
      <c r="V8" s="82">
        <v>103405</v>
      </c>
      <c r="W8" s="80">
        <v>0</v>
      </c>
      <c r="X8" s="80">
        <v>4</v>
      </c>
      <c r="Y8" s="11" t="str">
        <f ca="1">IF(ISBLANK(BudgetsTable[[#This Row],[budg_seq_yr]]),"FY"&amp;fiscalyear,"FY"&amp;fiscalyear-1+BudgetsTable[[#This Row],[budg_seq_yr]])</f>
        <v>FY21</v>
      </c>
      <c r="Z8" s="81">
        <v>103405</v>
      </c>
      <c r="AA8" s="80" t="s">
        <v>222</v>
      </c>
      <c r="AB8" s="80" t="s">
        <v>405</v>
      </c>
      <c r="AC8" s="80" t="s">
        <v>983</v>
      </c>
    </row>
    <row r="9" spans="1:29" x14ac:dyDescent="0.4">
      <c r="A9" s="10" t="s">
        <v>977</v>
      </c>
      <c r="B9" s="78" t="s">
        <v>96</v>
      </c>
      <c r="C9" s="78">
        <f>C8+(BudgetsTable[[#This Row],[lead]]&lt;&gt;K8)</f>
        <v>11</v>
      </c>
      <c r="D9" s="78">
        <f>D8*(BudgetsTable[[#This Row],[lead]]=K8)+(BudgetsTable[[#This Row],[prop_id]]&lt;&gt;A8)</f>
        <v>1</v>
      </c>
      <c r="E9" s="79">
        <v>42569.623611111114</v>
      </c>
      <c r="F9" s="80" t="s">
        <v>975</v>
      </c>
      <c r="G9" s="80" t="s">
        <v>222</v>
      </c>
      <c r="H9" s="80" t="s">
        <v>405</v>
      </c>
      <c r="I9" s="78" t="s">
        <v>422</v>
      </c>
      <c r="J9" s="78" t="s">
        <v>13</v>
      </c>
      <c r="K9" s="80" t="s">
        <v>977</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80" t="s">
        <v>13</v>
      </c>
      <c r="O9" s="7" t="str">
        <f>IF(BudgetsTable[[#This Row],[pi_last_name]]=" ","",HYPERLINK("mailto:"&amp;BudgetsTable[[#This Row],[pi_email]]&amp;"&amp;subject=Your NSF Proposal:  "&amp;BudgetsTable[[#This Row],[prop_id]],BudgetsTable[[#This Row],[pi_email]]))</f>
        <v/>
      </c>
      <c r="P9" s="80" t="s">
        <v>13</v>
      </c>
      <c r="Q9" s="80">
        <v>1</v>
      </c>
      <c r="R9" s="80">
        <v>2</v>
      </c>
      <c r="S9" s="81">
        <v>0</v>
      </c>
      <c r="T9" s="81">
        <v>3000</v>
      </c>
      <c r="U9" s="81">
        <v>0</v>
      </c>
      <c r="V9" s="82">
        <v>106608</v>
      </c>
      <c r="W9" s="80">
        <v>0</v>
      </c>
      <c r="X9" s="80">
        <v>5</v>
      </c>
      <c r="Y9" s="11" t="str">
        <f ca="1">IF(ISBLANK(BudgetsTable[[#This Row],[budg_seq_yr]]),"FY"&amp;fiscalyear,"FY"&amp;fiscalyear-1+BudgetsTable[[#This Row],[budg_seq_yr]])</f>
        <v>FY22</v>
      </c>
      <c r="Z9" s="81">
        <v>106608</v>
      </c>
      <c r="AA9" s="80" t="s">
        <v>222</v>
      </c>
      <c r="AB9" s="80" t="s">
        <v>405</v>
      </c>
      <c r="AC9" s="80" t="s">
        <v>983</v>
      </c>
    </row>
    <row r="10" spans="1:29" x14ac:dyDescent="0.4">
      <c r="A10" s="10" t="s">
        <v>986</v>
      </c>
      <c r="B10" s="78" t="s">
        <v>96</v>
      </c>
      <c r="C10" s="78">
        <f>C9+(BudgetsTable[[#This Row],[lead]]&lt;&gt;K9)</f>
        <v>12</v>
      </c>
      <c r="D10" s="78">
        <f>D9*(BudgetsTable[[#This Row],[lead]]=K9)+(BudgetsTable[[#This Row],[prop_id]]&lt;&gt;A9)</f>
        <v>1</v>
      </c>
      <c r="E10" s="79">
        <v>42569.6875</v>
      </c>
      <c r="F10" s="80" t="s">
        <v>975</v>
      </c>
      <c r="G10" s="80" t="s">
        <v>222</v>
      </c>
      <c r="H10" s="80" t="s">
        <v>405</v>
      </c>
      <c r="I10" s="78" t="s">
        <v>422</v>
      </c>
      <c r="J10" s="78" t="s">
        <v>485</v>
      </c>
      <c r="K10" s="80" t="s">
        <v>986</v>
      </c>
      <c r="L10" s="7" t="str">
        <f>IF(BudgetsTable[[#This Row],[pi_last_name]]=" ","",HYPERLINK("https://www.ejacket.nsf.gov/ej/showProposal.do?Continue=Y&amp;ID="&amp;BudgetsTable[[#This Row],[prop_id]],BudgetsTable[[#This Row],[prop_id]]))</f>
        <v>1651432</v>
      </c>
      <c r="M10" s="15" t="str">
        <f>IF(BudgetsTable[[#This Row],[pi_last_name]]=" ","",HYPERLINK("https://www.ejacket.nsf.gov/ej/processReviewAnalysis.do?dispatch=add&amp;uniqId="&amp;BudgetsTable[[#This Row],[prop_id]]&amp;PO_id,"&gt;ra"))</f>
        <v>&gt;ra</v>
      </c>
      <c r="N10" s="80" t="s">
        <v>481</v>
      </c>
      <c r="O10" s="7" t="str">
        <f>IF(BudgetsTable[[#This Row],[pi_last_name]]=" ","",HYPERLINK("mailto:"&amp;BudgetsTable[[#This Row],[pi_email]]&amp;"&amp;subject=Your NSF Proposal:  "&amp;BudgetsTable[[#This Row],[prop_id]],BudgetsTable[[#This Row],[pi_email]]))</f>
        <v>viswa@umich.edu</v>
      </c>
      <c r="P10" s="80" t="s">
        <v>483</v>
      </c>
      <c r="Q10" s="80"/>
      <c r="R10" s="80"/>
      <c r="S10" s="81"/>
      <c r="T10" s="81"/>
      <c r="U10" s="81"/>
      <c r="V10" s="82"/>
      <c r="W10" s="80">
        <v>0</v>
      </c>
      <c r="X10" s="80"/>
      <c r="Y10" s="11" t="str">
        <f ca="1">IF(ISBLANK(BudgetsTable[[#This Row],[budg_seq_yr]]),"FY"&amp;fiscalyear,"FY"&amp;fiscalyear-1+BudgetsTable[[#This Row],[budg_seq_yr]])</f>
        <v>FY18</v>
      </c>
      <c r="Z10" s="81">
        <v>510836</v>
      </c>
      <c r="AA10" s="80" t="s">
        <v>222</v>
      </c>
      <c r="AB10" s="80" t="s">
        <v>405</v>
      </c>
      <c r="AC10" s="80" t="s">
        <v>411</v>
      </c>
    </row>
    <row r="11" spans="1:29" x14ac:dyDescent="0.4">
      <c r="A11" s="10" t="s">
        <v>986</v>
      </c>
      <c r="B11" s="78" t="s">
        <v>96</v>
      </c>
      <c r="C11" s="78">
        <f>C10+(BudgetsTable[[#This Row],[lead]]&lt;&gt;K10)</f>
        <v>12</v>
      </c>
      <c r="D11" s="78">
        <f>D10*(BudgetsTable[[#This Row],[lead]]=K10)+(BudgetsTable[[#This Row],[prop_id]]&lt;&gt;A10)</f>
        <v>1</v>
      </c>
      <c r="E11" s="79">
        <v>42569.6875</v>
      </c>
      <c r="F11" s="80" t="s">
        <v>975</v>
      </c>
      <c r="G11" s="80" t="s">
        <v>222</v>
      </c>
      <c r="H11" s="80" t="s">
        <v>405</v>
      </c>
      <c r="I11" s="78" t="s">
        <v>422</v>
      </c>
      <c r="J11" s="78" t="s">
        <v>13</v>
      </c>
      <c r="K11" s="80" t="s">
        <v>986</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80" t="s">
        <v>13</v>
      </c>
      <c r="O11" s="7" t="str">
        <f>IF(BudgetsTable[[#This Row],[pi_last_name]]=" ","",HYPERLINK("mailto:"&amp;BudgetsTable[[#This Row],[pi_email]]&amp;"&amp;subject=Your NSF Proposal:  "&amp;BudgetsTable[[#This Row],[prop_id]],BudgetsTable[[#This Row],[pi_email]]))</f>
        <v/>
      </c>
      <c r="P11" s="80" t="s">
        <v>13</v>
      </c>
      <c r="Q11" s="80">
        <v>1</v>
      </c>
      <c r="R11" s="80">
        <v>1</v>
      </c>
      <c r="S11" s="81">
        <v>0</v>
      </c>
      <c r="T11" s="81">
        <v>0</v>
      </c>
      <c r="U11" s="81">
        <v>0</v>
      </c>
      <c r="V11" s="82">
        <v>101126</v>
      </c>
      <c r="W11" s="80">
        <v>0</v>
      </c>
      <c r="X11" s="80">
        <v>1</v>
      </c>
      <c r="Y11" s="11" t="str">
        <f ca="1">IF(ISBLANK(BudgetsTable[[#This Row],[budg_seq_yr]]),"FY"&amp;fiscalyear,"FY"&amp;fiscalyear-1+BudgetsTable[[#This Row],[budg_seq_yr]])</f>
        <v>FY18</v>
      </c>
      <c r="Z11" s="81">
        <v>101126</v>
      </c>
      <c r="AA11" s="80" t="s">
        <v>222</v>
      </c>
      <c r="AB11" s="80" t="s">
        <v>405</v>
      </c>
      <c r="AC11" s="80" t="s">
        <v>411</v>
      </c>
    </row>
    <row r="12" spans="1:29" x14ac:dyDescent="0.4">
      <c r="A12" s="10" t="s">
        <v>986</v>
      </c>
      <c r="B12" s="78" t="s">
        <v>96</v>
      </c>
      <c r="C12" s="78">
        <f>C11+(BudgetsTable[[#This Row],[lead]]&lt;&gt;K11)</f>
        <v>12</v>
      </c>
      <c r="D12" s="78">
        <f>D11*(BudgetsTable[[#This Row],[lead]]=K11)+(BudgetsTable[[#This Row],[prop_id]]&lt;&gt;A11)</f>
        <v>1</v>
      </c>
      <c r="E12" s="79">
        <v>42569.6875</v>
      </c>
      <c r="F12" s="80" t="s">
        <v>975</v>
      </c>
      <c r="G12" s="80" t="s">
        <v>222</v>
      </c>
      <c r="H12" s="80" t="s">
        <v>405</v>
      </c>
      <c r="I12" s="78" t="s">
        <v>422</v>
      </c>
      <c r="J12" s="78" t="s">
        <v>13</v>
      </c>
      <c r="K12" s="80" t="s">
        <v>986</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80" t="s">
        <v>13</v>
      </c>
      <c r="O12" s="7" t="str">
        <f>IF(BudgetsTable[[#This Row],[pi_last_name]]=" ","",HYPERLINK("mailto:"&amp;BudgetsTable[[#This Row],[pi_email]]&amp;"&amp;subject=Your NSF Proposal:  "&amp;BudgetsTable[[#This Row],[prop_id]],BudgetsTable[[#This Row],[pi_email]]))</f>
        <v/>
      </c>
      <c r="P12" s="80" t="s">
        <v>13</v>
      </c>
      <c r="Q12" s="80">
        <v>1</v>
      </c>
      <c r="R12" s="80">
        <v>1</v>
      </c>
      <c r="S12" s="81">
        <v>0</v>
      </c>
      <c r="T12" s="81">
        <v>0</v>
      </c>
      <c r="U12" s="81">
        <v>0</v>
      </c>
      <c r="V12" s="82">
        <v>107101</v>
      </c>
      <c r="W12" s="80">
        <v>0</v>
      </c>
      <c r="X12" s="80">
        <v>2</v>
      </c>
      <c r="Y12" s="11" t="str">
        <f ca="1">IF(ISBLANK(BudgetsTable[[#This Row],[budg_seq_yr]]),"FY"&amp;fiscalyear,"FY"&amp;fiscalyear-1+BudgetsTable[[#This Row],[budg_seq_yr]])</f>
        <v>FY19</v>
      </c>
      <c r="Z12" s="81">
        <v>107101</v>
      </c>
      <c r="AA12" s="80" t="s">
        <v>222</v>
      </c>
      <c r="AB12" s="80" t="s">
        <v>405</v>
      </c>
      <c r="AC12" s="80" t="s">
        <v>411</v>
      </c>
    </row>
    <row r="13" spans="1:29" x14ac:dyDescent="0.4">
      <c r="A13" s="10" t="s">
        <v>986</v>
      </c>
      <c r="B13" s="78" t="s">
        <v>96</v>
      </c>
      <c r="C13" s="78">
        <f>C12+(BudgetsTable[[#This Row],[lead]]&lt;&gt;K12)</f>
        <v>12</v>
      </c>
      <c r="D13" s="78">
        <f>D12*(BudgetsTable[[#This Row],[lead]]=K12)+(BudgetsTable[[#This Row],[prop_id]]&lt;&gt;A12)</f>
        <v>1</v>
      </c>
      <c r="E13" s="79">
        <v>42569.6875</v>
      </c>
      <c r="F13" s="80" t="s">
        <v>975</v>
      </c>
      <c r="G13" s="80" t="s">
        <v>222</v>
      </c>
      <c r="H13" s="80" t="s">
        <v>405</v>
      </c>
      <c r="I13" s="78" t="s">
        <v>422</v>
      </c>
      <c r="J13" s="78" t="s">
        <v>13</v>
      </c>
      <c r="K13" s="80" t="s">
        <v>986</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80" t="s">
        <v>13</v>
      </c>
      <c r="O13" s="7" t="str">
        <f>IF(BudgetsTable[[#This Row],[pi_last_name]]=" ","",HYPERLINK("mailto:"&amp;BudgetsTable[[#This Row],[pi_email]]&amp;"&amp;subject=Your NSF Proposal:  "&amp;BudgetsTable[[#This Row],[prop_id]],BudgetsTable[[#This Row],[pi_email]]))</f>
        <v/>
      </c>
      <c r="P13" s="80" t="s">
        <v>13</v>
      </c>
      <c r="Q13" s="80">
        <v>1</v>
      </c>
      <c r="R13" s="80">
        <v>1</v>
      </c>
      <c r="S13" s="81">
        <v>0</v>
      </c>
      <c r="T13" s="81">
        <v>0</v>
      </c>
      <c r="U13" s="81">
        <v>0</v>
      </c>
      <c r="V13" s="82">
        <v>111468</v>
      </c>
      <c r="W13" s="80">
        <v>0</v>
      </c>
      <c r="X13" s="80">
        <v>3</v>
      </c>
      <c r="Y13" s="11" t="str">
        <f ca="1">IF(ISBLANK(BudgetsTable[[#This Row],[budg_seq_yr]]),"FY"&amp;fiscalyear,"FY"&amp;fiscalyear-1+BudgetsTable[[#This Row],[budg_seq_yr]])</f>
        <v>FY20</v>
      </c>
      <c r="Z13" s="81">
        <v>111468</v>
      </c>
      <c r="AA13" s="80" t="s">
        <v>222</v>
      </c>
      <c r="AB13" s="80" t="s">
        <v>405</v>
      </c>
      <c r="AC13" s="80" t="s">
        <v>411</v>
      </c>
    </row>
    <row r="14" spans="1:29" x14ac:dyDescent="0.4">
      <c r="A14" s="10" t="s">
        <v>986</v>
      </c>
      <c r="B14" s="78" t="s">
        <v>96</v>
      </c>
      <c r="C14" s="78">
        <f>C13+(BudgetsTable[[#This Row],[lead]]&lt;&gt;K13)</f>
        <v>12</v>
      </c>
      <c r="D14" s="78">
        <f>D13*(BudgetsTable[[#This Row],[lead]]=K13)+(BudgetsTable[[#This Row],[prop_id]]&lt;&gt;A13)</f>
        <v>1</v>
      </c>
      <c r="E14" s="79">
        <v>42569.6875</v>
      </c>
      <c r="F14" s="80" t="s">
        <v>975</v>
      </c>
      <c r="G14" s="80" t="s">
        <v>222</v>
      </c>
      <c r="H14" s="80" t="s">
        <v>405</v>
      </c>
      <c r="I14" s="78" t="s">
        <v>422</v>
      </c>
      <c r="J14" s="78" t="s">
        <v>13</v>
      </c>
      <c r="K14" s="80" t="s">
        <v>986</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80" t="s">
        <v>13</v>
      </c>
      <c r="O14" s="7" t="str">
        <f>IF(BudgetsTable[[#This Row],[pi_last_name]]=" ","",HYPERLINK("mailto:"&amp;BudgetsTable[[#This Row],[pi_email]]&amp;"&amp;subject=Your NSF Proposal:  "&amp;BudgetsTable[[#This Row],[prop_id]],BudgetsTable[[#This Row],[pi_email]]))</f>
        <v/>
      </c>
      <c r="P14" s="80" t="s">
        <v>13</v>
      </c>
      <c r="Q14" s="80">
        <v>1</v>
      </c>
      <c r="R14" s="80">
        <v>1</v>
      </c>
      <c r="S14" s="81">
        <v>0</v>
      </c>
      <c r="T14" s="81">
        <v>0</v>
      </c>
      <c r="U14" s="81">
        <v>0</v>
      </c>
      <c r="V14" s="82">
        <v>93648</v>
      </c>
      <c r="W14" s="80">
        <v>0</v>
      </c>
      <c r="X14" s="80">
        <v>4</v>
      </c>
      <c r="Y14" s="11" t="str">
        <f ca="1">IF(ISBLANK(BudgetsTable[[#This Row],[budg_seq_yr]]),"FY"&amp;fiscalyear,"FY"&amp;fiscalyear-1+BudgetsTable[[#This Row],[budg_seq_yr]])</f>
        <v>FY21</v>
      </c>
      <c r="Z14" s="81">
        <v>93648</v>
      </c>
      <c r="AA14" s="80" t="s">
        <v>222</v>
      </c>
      <c r="AB14" s="80" t="s">
        <v>405</v>
      </c>
      <c r="AC14" s="80" t="s">
        <v>411</v>
      </c>
    </row>
    <row r="15" spans="1:29" x14ac:dyDescent="0.4">
      <c r="A15" s="10" t="s">
        <v>986</v>
      </c>
      <c r="B15" s="78" t="s">
        <v>96</v>
      </c>
      <c r="C15" s="78">
        <f>C14+(BudgetsTable[[#This Row],[lead]]&lt;&gt;K14)</f>
        <v>12</v>
      </c>
      <c r="D15" s="78">
        <f>D14*(BudgetsTable[[#This Row],[lead]]=K14)+(BudgetsTable[[#This Row],[prop_id]]&lt;&gt;A14)</f>
        <v>1</v>
      </c>
      <c r="E15" s="79">
        <v>42569.6875</v>
      </c>
      <c r="F15" s="80" t="s">
        <v>975</v>
      </c>
      <c r="G15" s="80" t="s">
        <v>222</v>
      </c>
      <c r="H15" s="80" t="s">
        <v>405</v>
      </c>
      <c r="I15" s="78" t="s">
        <v>422</v>
      </c>
      <c r="J15" s="78" t="s">
        <v>13</v>
      </c>
      <c r="K15" s="80" t="s">
        <v>986</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80" t="s">
        <v>13</v>
      </c>
      <c r="O15" s="7" t="str">
        <f>IF(BudgetsTable[[#This Row],[pi_last_name]]=" ","",HYPERLINK("mailto:"&amp;BudgetsTable[[#This Row],[pi_email]]&amp;"&amp;subject=Your NSF Proposal:  "&amp;BudgetsTable[[#This Row],[prop_id]],BudgetsTable[[#This Row],[pi_email]]))</f>
        <v/>
      </c>
      <c r="P15" s="80" t="s">
        <v>13</v>
      </c>
      <c r="Q15" s="80">
        <v>1</v>
      </c>
      <c r="R15" s="80">
        <v>1</v>
      </c>
      <c r="S15" s="81">
        <v>0</v>
      </c>
      <c r="T15" s="81">
        <v>0</v>
      </c>
      <c r="U15" s="81">
        <v>0</v>
      </c>
      <c r="V15" s="82">
        <v>97493</v>
      </c>
      <c r="W15" s="80">
        <v>0</v>
      </c>
      <c r="X15" s="80">
        <v>5</v>
      </c>
      <c r="Y15" s="11" t="str">
        <f ca="1">IF(ISBLANK(BudgetsTable[[#This Row],[budg_seq_yr]]),"FY"&amp;fiscalyear,"FY"&amp;fiscalyear-1+BudgetsTable[[#This Row],[budg_seq_yr]])</f>
        <v>FY22</v>
      </c>
      <c r="Z15" s="81">
        <v>97493</v>
      </c>
      <c r="AA15" s="80" t="s">
        <v>222</v>
      </c>
      <c r="AB15" s="80" t="s">
        <v>405</v>
      </c>
      <c r="AC15" s="80" t="s">
        <v>411</v>
      </c>
    </row>
    <row r="16" spans="1:29" x14ac:dyDescent="0.4">
      <c r="A16" s="10" t="s">
        <v>988</v>
      </c>
      <c r="B16" s="78" t="s">
        <v>96</v>
      </c>
      <c r="C16" s="78">
        <f>C15+(BudgetsTable[[#This Row],[lead]]&lt;&gt;K15)</f>
        <v>13</v>
      </c>
      <c r="D16" s="78">
        <f>D15*(BudgetsTable[[#This Row],[lead]]=K15)+(BudgetsTable[[#This Row],[prop_id]]&lt;&gt;A15)</f>
        <v>1</v>
      </c>
      <c r="E16" s="79">
        <v>42570.490277777775</v>
      </c>
      <c r="F16" s="80" t="s">
        <v>975</v>
      </c>
      <c r="G16" s="80" t="s">
        <v>222</v>
      </c>
      <c r="H16" s="80" t="s">
        <v>405</v>
      </c>
      <c r="I16" s="78" t="s">
        <v>406</v>
      </c>
      <c r="J16" s="78" t="s">
        <v>418</v>
      </c>
      <c r="K16" s="80" t="s">
        <v>988</v>
      </c>
      <c r="L16" s="7" t="str">
        <f>IF(BudgetsTable[[#This Row],[pi_last_name]]=" ","",HYPERLINK("https://www.ejacket.nsf.gov/ej/showProposal.do?Continue=Y&amp;ID="&amp;BudgetsTable[[#This Row],[prop_id]],BudgetsTable[[#This Row],[prop_id]]))</f>
        <v>1651569</v>
      </c>
      <c r="M16" s="15" t="str">
        <f>IF(BudgetsTable[[#This Row],[pi_last_name]]=" ","",HYPERLINK("https://www.ejacket.nsf.gov/ej/processReviewAnalysis.do?dispatch=add&amp;uniqId="&amp;BudgetsTable[[#This Row],[prop_id]]&amp;PO_id,"&gt;ra"))</f>
        <v>&gt;ra</v>
      </c>
      <c r="N16" s="80" t="s">
        <v>414</v>
      </c>
      <c r="O16" s="7" t="str">
        <f>IF(BudgetsTable[[#This Row],[pi_last_name]]=" ","",HYPERLINK("mailto:"&amp;BudgetsTable[[#This Row],[pi_email]]&amp;"&amp;subject=Your NSF Proposal:  "&amp;BudgetsTable[[#This Row],[prop_id]],BudgetsTable[[#This Row],[pi_email]]))</f>
        <v>haitao.wang@usu.edu</v>
      </c>
      <c r="P16" s="80" t="s">
        <v>416</v>
      </c>
      <c r="Q16" s="80"/>
      <c r="R16" s="80"/>
      <c r="S16" s="81"/>
      <c r="T16" s="81"/>
      <c r="U16" s="81"/>
      <c r="V16" s="82"/>
      <c r="W16" s="80">
        <v>0</v>
      </c>
      <c r="X16" s="80"/>
      <c r="Y16" s="11" t="str">
        <f ca="1">IF(ISBLANK(BudgetsTable[[#This Row],[budg_seq_yr]]),"FY"&amp;fiscalyear,"FY"&amp;fiscalyear-1+BudgetsTable[[#This Row],[budg_seq_yr]])</f>
        <v>FY18</v>
      </c>
      <c r="Z16" s="81">
        <v>484868</v>
      </c>
      <c r="AA16" s="80" t="s">
        <v>222</v>
      </c>
      <c r="AB16" s="80" t="s">
        <v>405</v>
      </c>
      <c r="AC16" s="80" t="s">
        <v>419</v>
      </c>
    </row>
    <row r="17" spans="1:29" x14ac:dyDescent="0.4">
      <c r="A17" s="10" t="s">
        <v>988</v>
      </c>
      <c r="B17" s="78" t="s">
        <v>96</v>
      </c>
      <c r="C17" s="78">
        <f>C16+(BudgetsTable[[#This Row],[lead]]&lt;&gt;K16)</f>
        <v>13</v>
      </c>
      <c r="D17" s="78">
        <f>D16*(BudgetsTable[[#This Row],[lead]]=K16)+(BudgetsTable[[#This Row],[prop_id]]&lt;&gt;A16)</f>
        <v>1</v>
      </c>
      <c r="E17" s="79">
        <v>42570.490277777775</v>
      </c>
      <c r="F17" s="80" t="s">
        <v>975</v>
      </c>
      <c r="G17" s="80" t="s">
        <v>222</v>
      </c>
      <c r="H17" s="80" t="s">
        <v>405</v>
      </c>
      <c r="I17" s="78" t="s">
        <v>406</v>
      </c>
      <c r="J17" s="78" t="s">
        <v>13</v>
      </c>
      <c r="K17" s="80" t="s">
        <v>988</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80" t="s">
        <v>13</v>
      </c>
      <c r="O17" s="7" t="str">
        <f>IF(BudgetsTable[[#This Row],[pi_last_name]]=" ","",HYPERLINK("mailto:"&amp;BudgetsTable[[#This Row],[pi_email]]&amp;"&amp;subject=Your NSF Proposal:  "&amp;BudgetsTable[[#This Row],[prop_id]],BudgetsTable[[#This Row],[pi_email]]))</f>
        <v/>
      </c>
      <c r="P17" s="80" t="s">
        <v>13</v>
      </c>
      <c r="Q17" s="80">
        <v>1</v>
      </c>
      <c r="R17" s="80">
        <v>1</v>
      </c>
      <c r="S17" s="81">
        <v>0</v>
      </c>
      <c r="T17" s="81">
        <v>2500</v>
      </c>
      <c r="U17" s="81">
        <v>0</v>
      </c>
      <c r="V17" s="82">
        <v>94249</v>
      </c>
      <c r="W17" s="80">
        <v>0</v>
      </c>
      <c r="X17" s="80">
        <v>1</v>
      </c>
      <c r="Y17" s="11" t="str">
        <f ca="1">IF(ISBLANK(BudgetsTable[[#This Row],[budg_seq_yr]]),"FY"&amp;fiscalyear,"FY"&amp;fiscalyear-1+BudgetsTable[[#This Row],[budg_seq_yr]])</f>
        <v>FY18</v>
      </c>
      <c r="Z17" s="81">
        <v>94249</v>
      </c>
      <c r="AA17" s="80" t="s">
        <v>222</v>
      </c>
      <c r="AB17" s="80" t="s">
        <v>405</v>
      </c>
      <c r="AC17" s="80" t="s">
        <v>419</v>
      </c>
    </row>
    <row r="18" spans="1:29" x14ac:dyDescent="0.4">
      <c r="A18" s="10" t="s">
        <v>988</v>
      </c>
      <c r="B18" s="78" t="s">
        <v>96</v>
      </c>
      <c r="C18" s="78">
        <f>C17+(BudgetsTable[[#This Row],[lead]]&lt;&gt;K17)</f>
        <v>13</v>
      </c>
      <c r="D18" s="78">
        <f>D17*(BudgetsTable[[#This Row],[lead]]=K17)+(BudgetsTable[[#This Row],[prop_id]]&lt;&gt;A17)</f>
        <v>1</v>
      </c>
      <c r="E18" s="79">
        <v>42570.490277777775</v>
      </c>
      <c r="F18" s="80" t="s">
        <v>975</v>
      </c>
      <c r="G18" s="80" t="s">
        <v>222</v>
      </c>
      <c r="H18" s="80" t="s">
        <v>405</v>
      </c>
      <c r="I18" s="78" t="s">
        <v>406</v>
      </c>
      <c r="J18" s="78" t="s">
        <v>13</v>
      </c>
      <c r="K18" s="80" t="s">
        <v>988</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80" t="s">
        <v>13</v>
      </c>
      <c r="O18" s="7" t="str">
        <f>IF(BudgetsTable[[#This Row],[pi_last_name]]=" ","",HYPERLINK("mailto:"&amp;BudgetsTable[[#This Row],[pi_email]]&amp;"&amp;subject=Your NSF Proposal:  "&amp;BudgetsTable[[#This Row],[prop_id]],BudgetsTable[[#This Row],[pi_email]]))</f>
        <v/>
      </c>
      <c r="P18" s="80" t="s">
        <v>13</v>
      </c>
      <c r="Q18" s="80">
        <v>1</v>
      </c>
      <c r="R18" s="80">
        <v>1</v>
      </c>
      <c r="S18" s="81">
        <v>0</v>
      </c>
      <c r="T18" s="81">
        <v>2500</v>
      </c>
      <c r="U18" s="81">
        <v>0</v>
      </c>
      <c r="V18" s="82">
        <v>95577</v>
      </c>
      <c r="W18" s="80">
        <v>0</v>
      </c>
      <c r="X18" s="80">
        <v>2</v>
      </c>
      <c r="Y18" s="11" t="str">
        <f ca="1">IF(ISBLANK(BudgetsTable[[#This Row],[budg_seq_yr]]),"FY"&amp;fiscalyear,"FY"&amp;fiscalyear-1+BudgetsTable[[#This Row],[budg_seq_yr]])</f>
        <v>FY19</v>
      </c>
      <c r="Z18" s="81">
        <v>95577</v>
      </c>
      <c r="AA18" s="80" t="s">
        <v>222</v>
      </c>
      <c r="AB18" s="80" t="s">
        <v>405</v>
      </c>
      <c r="AC18" s="80" t="s">
        <v>419</v>
      </c>
    </row>
    <row r="19" spans="1:29" x14ac:dyDescent="0.4">
      <c r="A19" s="10" t="s">
        <v>988</v>
      </c>
      <c r="B19" s="78" t="s">
        <v>96</v>
      </c>
      <c r="C19" s="78">
        <f>C18+(BudgetsTable[[#This Row],[lead]]&lt;&gt;K18)</f>
        <v>13</v>
      </c>
      <c r="D19" s="78">
        <f>D18*(BudgetsTable[[#This Row],[lead]]=K18)+(BudgetsTable[[#This Row],[prop_id]]&lt;&gt;A18)</f>
        <v>1</v>
      </c>
      <c r="E19" s="79">
        <v>42570.490277777775</v>
      </c>
      <c r="F19" s="80" t="s">
        <v>975</v>
      </c>
      <c r="G19" s="80" t="s">
        <v>222</v>
      </c>
      <c r="H19" s="80" t="s">
        <v>405</v>
      </c>
      <c r="I19" s="78" t="s">
        <v>406</v>
      </c>
      <c r="J19" s="78" t="s">
        <v>13</v>
      </c>
      <c r="K19" s="80" t="s">
        <v>988</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80" t="s">
        <v>13</v>
      </c>
      <c r="O19" s="7" t="str">
        <f>IF(BudgetsTable[[#This Row],[pi_last_name]]=" ","",HYPERLINK("mailto:"&amp;BudgetsTable[[#This Row],[pi_email]]&amp;"&amp;subject=Your NSF Proposal:  "&amp;BudgetsTable[[#This Row],[prop_id]],BudgetsTable[[#This Row],[pi_email]]))</f>
        <v/>
      </c>
      <c r="P19" s="80" t="s">
        <v>13</v>
      </c>
      <c r="Q19" s="80">
        <v>1</v>
      </c>
      <c r="R19" s="80">
        <v>1</v>
      </c>
      <c r="S19" s="81">
        <v>0</v>
      </c>
      <c r="T19" s="81">
        <v>2500</v>
      </c>
      <c r="U19" s="81">
        <v>0</v>
      </c>
      <c r="V19" s="82">
        <v>96920</v>
      </c>
      <c r="W19" s="80">
        <v>0</v>
      </c>
      <c r="X19" s="80">
        <v>3</v>
      </c>
      <c r="Y19" s="11" t="str">
        <f ca="1">IF(ISBLANK(BudgetsTable[[#This Row],[budg_seq_yr]]),"FY"&amp;fiscalyear,"FY"&amp;fiscalyear-1+BudgetsTable[[#This Row],[budg_seq_yr]])</f>
        <v>FY20</v>
      </c>
      <c r="Z19" s="81">
        <v>96920</v>
      </c>
      <c r="AA19" s="80" t="s">
        <v>222</v>
      </c>
      <c r="AB19" s="80" t="s">
        <v>405</v>
      </c>
      <c r="AC19" s="80" t="s">
        <v>419</v>
      </c>
    </row>
    <row r="20" spans="1:29" x14ac:dyDescent="0.4">
      <c r="A20" s="10" t="s">
        <v>988</v>
      </c>
      <c r="B20" s="78" t="s">
        <v>96</v>
      </c>
      <c r="C20" s="78">
        <f>C19+(BudgetsTable[[#This Row],[lead]]&lt;&gt;K19)</f>
        <v>13</v>
      </c>
      <c r="D20" s="78">
        <f>D19*(BudgetsTable[[#This Row],[lead]]=K19)+(BudgetsTable[[#This Row],[prop_id]]&lt;&gt;A19)</f>
        <v>1</v>
      </c>
      <c r="E20" s="79">
        <v>42570.490277777775</v>
      </c>
      <c r="F20" s="80" t="s">
        <v>975</v>
      </c>
      <c r="G20" s="80" t="s">
        <v>222</v>
      </c>
      <c r="H20" s="80" t="s">
        <v>405</v>
      </c>
      <c r="I20" s="78" t="s">
        <v>406</v>
      </c>
      <c r="J20" s="78" t="s">
        <v>13</v>
      </c>
      <c r="K20" s="80" t="s">
        <v>988</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80" t="s">
        <v>13</v>
      </c>
      <c r="O20" s="7" t="str">
        <f>IF(BudgetsTable[[#This Row],[pi_last_name]]=" ","",HYPERLINK("mailto:"&amp;BudgetsTable[[#This Row],[pi_email]]&amp;"&amp;subject=Your NSF Proposal:  "&amp;BudgetsTable[[#This Row],[prop_id]],BudgetsTable[[#This Row],[pi_email]]))</f>
        <v/>
      </c>
      <c r="P20" s="80" t="s">
        <v>13</v>
      </c>
      <c r="Q20" s="80">
        <v>1</v>
      </c>
      <c r="R20" s="80">
        <v>1</v>
      </c>
      <c r="S20" s="81">
        <v>0</v>
      </c>
      <c r="T20" s="81">
        <v>2500</v>
      </c>
      <c r="U20" s="81">
        <v>0</v>
      </c>
      <c r="V20" s="82">
        <v>98328</v>
      </c>
      <c r="W20" s="80">
        <v>0</v>
      </c>
      <c r="X20" s="80">
        <v>4</v>
      </c>
      <c r="Y20" s="11" t="str">
        <f ca="1">IF(ISBLANK(BudgetsTable[[#This Row],[budg_seq_yr]]),"FY"&amp;fiscalyear,"FY"&amp;fiscalyear-1+BudgetsTable[[#This Row],[budg_seq_yr]])</f>
        <v>FY21</v>
      </c>
      <c r="Z20" s="81">
        <v>98328</v>
      </c>
      <c r="AA20" s="80" t="s">
        <v>222</v>
      </c>
      <c r="AB20" s="80" t="s">
        <v>405</v>
      </c>
      <c r="AC20" s="80" t="s">
        <v>419</v>
      </c>
    </row>
    <row r="21" spans="1:29" x14ac:dyDescent="0.4">
      <c r="A21" s="10" t="s">
        <v>988</v>
      </c>
      <c r="B21" s="78" t="s">
        <v>96</v>
      </c>
      <c r="C21" s="78">
        <f>C20+(BudgetsTable[[#This Row],[lead]]&lt;&gt;K20)</f>
        <v>13</v>
      </c>
      <c r="D21" s="78">
        <f>D20*(BudgetsTable[[#This Row],[lead]]=K20)+(BudgetsTable[[#This Row],[prop_id]]&lt;&gt;A20)</f>
        <v>1</v>
      </c>
      <c r="E21" s="79">
        <v>42570.490277777775</v>
      </c>
      <c r="F21" s="80" t="s">
        <v>975</v>
      </c>
      <c r="G21" s="80" t="s">
        <v>222</v>
      </c>
      <c r="H21" s="80" t="s">
        <v>405</v>
      </c>
      <c r="I21" s="78" t="s">
        <v>406</v>
      </c>
      <c r="J21" s="78" t="s">
        <v>13</v>
      </c>
      <c r="K21" s="80" t="s">
        <v>988</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80" t="s">
        <v>13</v>
      </c>
      <c r="O21" s="7" t="str">
        <f>IF(BudgetsTable[[#This Row],[pi_last_name]]=" ","",HYPERLINK("mailto:"&amp;BudgetsTable[[#This Row],[pi_email]]&amp;"&amp;subject=Your NSF Proposal:  "&amp;BudgetsTable[[#This Row],[prop_id]],BudgetsTable[[#This Row],[pi_email]]))</f>
        <v/>
      </c>
      <c r="P21" s="80" t="s">
        <v>13</v>
      </c>
      <c r="Q21" s="80">
        <v>1</v>
      </c>
      <c r="R21" s="80">
        <v>1</v>
      </c>
      <c r="S21" s="81">
        <v>0</v>
      </c>
      <c r="T21" s="81">
        <v>2500</v>
      </c>
      <c r="U21" s="81">
        <v>0</v>
      </c>
      <c r="V21" s="82">
        <v>99794</v>
      </c>
      <c r="W21" s="80">
        <v>0</v>
      </c>
      <c r="X21" s="80">
        <v>5</v>
      </c>
      <c r="Y21" s="11" t="str">
        <f ca="1">IF(ISBLANK(BudgetsTable[[#This Row],[budg_seq_yr]]),"FY"&amp;fiscalyear,"FY"&amp;fiscalyear-1+BudgetsTable[[#This Row],[budg_seq_yr]])</f>
        <v>FY22</v>
      </c>
      <c r="Z21" s="81">
        <v>99794</v>
      </c>
      <c r="AA21" s="80" t="s">
        <v>222</v>
      </c>
      <c r="AB21" s="80" t="s">
        <v>405</v>
      </c>
      <c r="AC21" s="80" t="s">
        <v>419</v>
      </c>
    </row>
    <row r="22" spans="1:29" x14ac:dyDescent="0.4">
      <c r="A22" s="10" t="s">
        <v>990</v>
      </c>
      <c r="B22" s="78" t="s">
        <v>96</v>
      </c>
      <c r="C22" s="78">
        <f>C21+(BudgetsTable[[#This Row],[lead]]&lt;&gt;K21)</f>
        <v>14</v>
      </c>
      <c r="D22" s="78">
        <f>D21*(BudgetsTable[[#This Row],[lead]]=K21)+(BudgetsTable[[#This Row],[prop_id]]&lt;&gt;A21)</f>
        <v>1</v>
      </c>
      <c r="E22" s="79">
        <v>42570.572916666664</v>
      </c>
      <c r="F22" s="80" t="s">
        <v>975</v>
      </c>
      <c r="G22" s="80" t="s">
        <v>222</v>
      </c>
      <c r="H22" s="80" t="s">
        <v>405</v>
      </c>
      <c r="I22" s="78" t="s">
        <v>451</v>
      </c>
      <c r="J22" s="78" t="s">
        <v>502</v>
      </c>
      <c r="K22" s="80" t="s">
        <v>990</v>
      </c>
      <c r="L22" s="7" t="str">
        <f>IF(BudgetsTable[[#This Row],[pi_last_name]]=" ","",HYPERLINK("https://www.ejacket.nsf.gov/ej/showProposal.do?Continue=Y&amp;ID="&amp;BudgetsTable[[#This Row],[prop_id]],BudgetsTable[[#This Row],[prop_id]]))</f>
        <v>1651631</v>
      </c>
      <c r="M22" s="15" t="str">
        <f>IF(BudgetsTable[[#This Row],[pi_last_name]]=" ","",HYPERLINK("https://www.ejacket.nsf.gov/ej/processReviewAnalysis.do?dispatch=add&amp;uniqId="&amp;BudgetsTable[[#This Row],[prop_id]]&amp;PO_id,"&gt;ra"))</f>
        <v>&gt;ra</v>
      </c>
      <c r="N22" s="80" t="s">
        <v>499</v>
      </c>
      <c r="O22" s="7" t="str">
        <f>IF(BudgetsTable[[#This Row],[pi_last_name]]=" ","",HYPERLINK("mailto:"&amp;BudgetsTable[[#This Row],[pi_email]]&amp;"&amp;subject=Your NSF Proposal:  "&amp;BudgetsTable[[#This Row],[prop_id]],BudgetsTable[[#This Row],[pi_email]]))</f>
        <v>aene@bu.edu</v>
      </c>
      <c r="P22" s="80" t="s">
        <v>501</v>
      </c>
      <c r="Q22" s="80"/>
      <c r="R22" s="80"/>
      <c r="S22" s="81"/>
      <c r="T22" s="81"/>
      <c r="U22" s="81"/>
      <c r="V22" s="82"/>
      <c r="W22" s="80">
        <v>0</v>
      </c>
      <c r="X22" s="80"/>
      <c r="Y22" s="11" t="str">
        <f ca="1">IF(ISBLANK(BudgetsTable[[#This Row],[budg_seq_yr]]),"FY"&amp;fiscalyear,"FY"&amp;fiscalyear-1+BudgetsTable[[#This Row],[budg_seq_yr]])</f>
        <v>FY18</v>
      </c>
      <c r="Z22" s="81">
        <v>504558</v>
      </c>
      <c r="AA22" s="80" t="s">
        <v>222</v>
      </c>
      <c r="AB22" s="80" t="s">
        <v>405</v>
      </c>
      <c r="AC22" s="80" t="s">
        <v>411</v>
      </c>
    </row>
    <row r="23" spans="1:29" x14ac:dyDescent="0.4">
      <c r="A23" s="10" t="s">
        <v>990</v>
      </c>
      <c r="B23" s="78" t="s">
        <v>96</v>
      </c>
      <c r="C23" s="78">
        <f>C22+(BudgetsTable[[#This Row],[lead]]&lt;&gt;K22)</f>
        <v>14</v>
      </c>
      <c r="D23" s="78">
        <f>D22*(BudgetsTable[[#This Row],[lead]]=K22)+(BudgetsTable[[#This Row],[prop_id]]&lt;&gt;A22)</f>
        <v>1</v>
      </c>
      <c r="E23" s="79">
        <v>42570.572916666664</v>
      </c>
      <c r="F23" s="80" t="s">
        <v>975</v>
      </c>
      <c r="G23" s="80" t="s">
        <v>222</v>
      </c>
      <c r="H23" s="80" t="s">
        <v>405</v>
      </c>
      <c r="I23" s="78" t="s">
        <v>451</v>
      </c>
      <c r="J23" s="78" t="s">
        <v>13</v>
      </c>
      <c r="K23" s="80" t="s">
        <v>990</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80" t="s">
        <v>13</v>
      </c>
      <c r="O23" s="7" t="str">
        <f>IF(BudgetsTable[[#This Row],[pi_last_name]]=" ","",HYPERLINK("mailto:"&amp;BudgetsTable[[#This Row],[pi_email]]&amp;"&amp;subject=Your NSF Proposal:  "&amp;BudgetsTable[[#This Row],[prop_id]],BudgetsTable[[#This Row],[pi_email]]))</f>
        <v/>
      </c>
      <c r="P23" s="80" t="s">
        <v>13</v>
      </c>
      <c r="Q23" s="80">
        <v>1</v>
      </c>
      <c r="R23" s="80">
        <v>1</v>
      </c>
      <c r="S23" s="81">
        <v>0</v>
      </c>
      <c r="T23" s="81">
        <v>3000</v>
      </c>
      <c r="U23" s="81">
        <v>0</v>
      </c>
      <c r="V23" s="82">
        <v>98986</v>
      </c>
      <c r="W23" s="80">
        <v>0</v>
      </c>
      <c r="X23" s="80">
        <v>1</v>
      </c>
      <c r="Y23" s="11" t="str">
        <f ca="1">IF(ISBLANK(BudgetsTable[[#This Row],[budg_seq_yr]]),"FY"&amp;fiscalyear,"FY"&amp;fiscalyear-1+BudgetsTable[[#This Row],[budg_seq_yr]])</f>
        <v>FY18</v>
      </c>
      <c r="Z23" s="81">
        <v>98986</v>
      </c>
      <c r="AA23" s="80" t="s">
        <v>222</v>
      </c>
      <c r="AB23" s="80" t="s">
        <v>405</v>
      </c>
      <c r="AC23" s="80" t="s">
        <v>411</v>
      </c>
    </row>
    <row r="24" spans="1:29" x14ac:dyDescent="0.4">
      <c r="A24" s="10" t="s">
        <v>990</v>
      </c>
      <c r="B24" s="78" t="s">
        <v>96</v>
      </c>
      <c r="C24" s="78">
        <f>C23+(BudgetsTable[[#This Row],[lead]]&lt;&gt;K23)</f>
        <v>14</v>
      </c>
      <c r="D24" s="78">
        <f>D23*(BudgetsTable[[#This Row],[lead]]=K23)+(BudgetsTable[[#This Row],[prop_id]]&lt;&gt;A23)</f>
        <v>1</v>
      </c>
      <c r="E24" s="79">
        <v>42570.572916666664</v>
      </c>
      <c r="F24" s="80" t="s">
        <v>975</v>
      </c>
      <c r="G24" s="80" t="s">
        <v>222</v>
      </c>
      <c r="H24" s="80" t="s">
        <v>405</v>
      </c>
      <c r="I24" s="78" t="s">
        <v>451</v>
      </c>
      <c r="J24" s="78" t="s">
        <v>13</v>
      </c>
      <c r="K24" s="80" t="s">
        <v>990</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80" t="s">
        <v>13</v>
      </c>
      <c r="O24" s="7" t="str">
        <f>IF(BudgetsTable[[#This Row],[pi_last_name]]=" ","",HYPERLINK("mailto:"&amp;BudgetsTable[[#This Row],[pi_email]]&amp;"&amp;subject=Your NSF Proposal:  "&amp;BudgetsTable[[#This Row],[prop_id]],BudgetsTable[[#This Row],[pi_email]]))</f>
        <v/>
      </c>
      <c r="P24" s="80" t="s">
        <v>13</v>
      </c>
      <c r="Q24" s="80">
        <v>1</v>
      </c>
      <c r="R24" s="80">
        <v>1</v>
      </c>
      <c r="S24" s="81">
        <v>0</v>
      </c>
      <c r="T24" s="81">
        <v>3000</v>
      </c>
      <c r="U24" s="81">
        <v>0</v>
      </c>
      <c r="V24" s="82">
        <v>97571</v>
      </c>
      <c r="W24" s="80">
        <v>0</v>
      </c>
      <c r="X24" s="80">
        <v>2</v>
      </c>
      <c r="Y24" s="11" t="str">
        <f ca="1">IF(ISBLANK(BudgetsTable[[#This Row],[budg_seq_yr]]),"FY"&amp;fiscalyear,"FY"&amp;fiscalyear-1+BudgetsTable[[#This Row],[budg_seq_yr]])</f>
        <v>FY19</v>
      </c>
      <c r="Z24" s="81">
        <v>97571</v>
      </c>
      <c r="AA24" s="80" t="s">
        <v>222</v>
      </c>
      <c r="AB24" s="80" t="s">
        <v>405</v>
      </c>
      <c r="AC24" s="80" t="s">
        <v>411</v>
      </c>
    </row>
    <row r="25" spans="1:29" x14ac:dyDescent="0.4">
      <c r="A25" s="10" t="s">
        <v>990</v>
      </c>
      <c r="B25" s="78" t="s">
        <v>96</v>
      </c>
      <c r="C25" s="78">
        <f>C24+(BudgetsTable[[#This Row],[lead]]&lt;&gt;K24)</f>
        <v>14</v>
      </c>
      <c r="D25" s="78">
        <f>D24*(BudgetsTable[[#This Row],[lead]]=K24)+(BudgetsTable[[#This Row],[prop_id]]&lt;&gt;A24)</f>
        <v>1</v>
      </c>
      <c r="E25" s="79">
        <v>42570.572916666664</v>
      </c>
      <c r="F25" s="80" t="s">
        <v>975</v>
      </c>
      <c r="G25" s="80" t="s">
        <v>222</v>
      </c>
      <c r="H25" s="80" t="s">
        <v>405</v>
      </c>
      <c r="I25" s="78" t="s">
        <v>451</v>
      </c>
      <c r="J25" s="78" t="s">
        <v>13</v>
      </c>
      <c r="K25" s="80" t="s">
        <v>990</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80" t="s">
        <v>13</v>
      </c>
      <c r="O25" s="7" t="str">
        <f>IF(BudgetsTable[[#This Row],[pi_last_name]]=" ","",HYPERLINK("mailto:"&amp;BudgetsTable[[#This Row],[pi_email]]&amp;"&amp;subject=Your NSF Proposal:  "&amp;BudgetsTable[[#This Row],[prop_id]],BudgetsTable[[#This Row],[pi_email]]))</f>
        <v/>
      </c>
      <c r="P25" s="80" t="s">
        <v>13</v>
      </c>
      <c r="Q25" s="80">
        <v>1</v>
      </c>
      <c r="R25" s="80">
        <v>1</v>
      </c>
      <c r="S25" s="81">
        <v>0</v>
      </c>
      <c r="T25" s="81">
        <v>3000</v>
      </c>
      <c r="U25" s="81">
        <v>0</v>
      </c>
      <c r="V25" s="82">
        <v>100355</v>
      </c>
      <c r="W25" s="80">
        <v>0</v>
      </c>
      <c r="X25" s="80">
        <v>3</v>
      </c>
      <c r="Y25" s="11" t="str">
        <f ca="1">IF(ISBLANK(BudgetsTable[[#This Row],[budg_seq_yr]]),"FY"&amp;fiscalyear,"FY"&amp;fiscalyear-1+BudgetsTable[[#This Row],[budg_seq_yr]])</f>
        <v>FY20</v>
      </c>
      <c r="Z25" s="81">
        <v>100355</v>
      </c>
      <c r="AA25" s="80" t="s">
        <v>222</v>
      </c>
      <c r="AB25" s="80" t="s">
        <v>405</v>
      </c>
      <c r="AC25" s="80" t="s">
        <v>411</v>
      </c>
    </row>
    <row r="26" spans="1:29" x14ac:dyDescent="0.4">
      <c r="A26" s="10" t="s">
        <v>990</v>
      </c>
      <c r="B26" s="78" t="s">
        <v>96</v>
      </c>
      <c r="C26" s="78">
        <f>C25+(BudgetsTable[[#This Row],[lead]]&lt;&gt;K25)</f>
        <v>14</v>
      </c>
      <c r="D26" s="78">
        <f>D25*(BudgetsTable[[#This Row],[lead]]=K25)+(BudgetsTable[[#This Row],[prop_id]]&lt;&gt;A25)</f>
        <v>1</v>
      </c>
      <c r="E26" s="79">
        <v>42570.572916666664</v>
      </c>
      <c r="F26" s="80" t="s">
        <v>975</v>
      </c>
      <c r="G26" s="80" t="s">
        <v>222</v>
      </c>
      <c r="H26" s="80" t="s">
        <v>405</v>
      </c>
      <c r="I26" s="78" t="s">
        <v>451</v>
      </c>
      <c r="J26" s="78" t="s">
        <v>13</v>
      </c>
      <c r="K26" s="80" t="s">
        <v>990</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80" t="s">
        <v>13</v>
      </c>
      <c r="O26" s="7" t="str">
        <f>IF(BudgetsTable[[#This Row],[pi_last_name]]=" ","",HYPERLINK("mailto:"&amp;BudgetsTable[[#This Row],[pi_email]]&amp;"&amp;subject=Your NSF Proposal:  "&amp;BudgetsTable[[#This Row],[prop_id]],BudgetsTable[[#This Row],[pi_email]]))</f>
        <v/>
      </c>
      <c r="P26" s="80" t="s">
        <v>13</v>
      </c>
      <c r="Q26" s="80">
        <v>1</v>
      </c>
      <c r="R26" s="80">
        <v>1</v>
      </c>
      <c r="S26" s="81">
        <v>0</v>
      </c>
      <c r="T26" s="81">
        <v>3000</v>
      </c>
      <c r="U26" s="81">
        <v>0</v>
      </c>
      <c r="V26" s="82">
        <v>103067</v>
      </c>
      <c r="W26" s="80">
        <v>0</v>
      </c>
      <c r="X26" s="80">
        <v>4</v>
      </c>
      <c r="Y26" s="11" t="str">
        <f ca="1">IF(ISBLANK(BudgetsTable[[#This Row],[budg_seq_yr]]),"FY"&amp;fiscalyear,"FY"&amp;fiscalyear-1+BudgetsTable[[#This Row],[budg_seq_yr]])</f>
        <v>FY21</v>
      </c>
      <c r="Z26" s="81">
        <v>103067</v>
      </c>
      <c r="AA26" s="80" t="s">
        <v>222</v>
      </c>
      <c r="AB26" s="80" t="s">
        <v>405</v>
      </c>
      <c r="AC26" s="80" t="s">
        <v>411</v>
      </c>
    </row>
    <row r="27" spans="1:29" x14ac:dyDescent="0.4">
      <c r="A27" s="10" t="s">
        <v>990</v>
      </c>
      <c r="B27" s="78" t="s">
        <v>96</v>
      </c>
      <c r="C27" s="78">
        <f>C26+(BudgetsTable[[#This Row],[lead]]&lt;&gt;K26)</f>
        <v>14</v>
      </c>
      <c r="D27" s="78">
        <f>D26*(BudgetsTable[[#This Row],[lead]]=K26)+(BudgetsTable[[#This Row],[prop_id]]&lt;&gt;A26)</f>
        <v>1</v>
      </c>
      <c r="E27" s="79">
        <v>42570.572916666664</v>
      </c>
      <c r="F27" s="80" t="s">
        <v>975</v>
      </c>
      <c r="G27" s="80" t="s">
        <v>222</v>
      </c>
      <c r="H27" s="80" t="s">
        <v>405</v>
      </c>
      <c r="I27" s="78" t="s">
        <v>451</v>
      </c>
      <c r="J27" s="78" t="s">
        <v>13</v>
      </c>
      <c r="K27" s="80" t="s">
        <v>990</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80" t="s">
        <v>13</v>
      </c>
      <c r="O27" s="7" t="str">
        <f>IF(BudgetsTable[[#This Row],[pi_last_name]]=" ","",HYPERLINK("mailto:"&amp;BudgetsTable[[#This Row],[pi_email]]&amp;"&amp;subject=Your NSF Proposal:  "&amp;BudgetsTable[[#This Row],[prop_id]],BudgetsTable[[#This Row],[pi_email]]))</f>
        <v/>
      </c>
      <c r="P27" s="80" t="s">
        <v>13</v>
      </c>
      <c r="Q27" s="80">
        <v>1</v>
      </c>
      <c r="R27" s="80">
        <v>1</v>
      </c>
      <c r="S27" s="81">
        <v>0</v>
      </c>
      <c r="T27" s="81">
        <v>3000</v>
      </c>
      <c r="U27" s="81">
        <v>0</v>
      </c>
      <c r="V27" s="82">
        <v>104579</v>
      </c>
      <c r="W27" s="80">
        <v>0</v>
      </c>
      <c r="X27" s="80">
        <v>5</v>
      </c>
      <c r="Y27" s="11" t="str">
        <f ca="1">IF(ISBLANK(BudgetsTable[[#This Row],[budg_seq_yr]]),"FY"&amp;fiscalyear,"FY"&amp;fiscalyear-1+BudgetsTable[[#This Row],[budg_seq_yr]])</f>
        <v>FY22</v>
      </c>
      <c r="Z27" s="81">
        <v>104579</v>
      </c>
      <c r="AA27" s="80" t="s">
        <v>222</v>
      </c>
      <c r="AB27" s="80" t="s">
        <v>405</v>
      </c>
      <c r="AC27" s="80" t="s">
        <v>411</v>
      </c>
    </row>
    <row r="28" spans="1:29" x14ac:dyDescent="0.4">
      <c r="A28" s="10" t="s">
        <v>993</v>
      </c>
      <c r="B28" s="78" t="s">
        <v>96</v>
      </c>
      <c r="C28" s="78">
        <f>C27+(BudgetsTable[[#This Row],[lead]]&lt;&gt;K27)</f>
        <v>15</v>
      </c>
      <c r="D28" s="78">
        <f>D27*(BudgetsTable[[#This Row],[lead]]=K27)+(BudgetsTable[[#This Row],[prop_id]]&lt;&gt;A27)</f>
        <v>1</v>
      </c>
      <c r="E28" s="79">
        <v>42570.777777777781</v>
      </c>
      <c r="F28" s="80" t="s">
        <v>975</v>
      </c>
      <c r="G28" s="80" t="s">
        <v>222</v>
      </c>
      <c r="H28" s="80" t="s">
        <v>405</v>
      </c>
      <c r="I28" s="78" t="s">
        <v>451</v>
      </c>
      <c r="J28" s="78" t="s">
        <v>996</v>
      </c>
      <c r="K28" s="80" t="s">
        <v>993</v>
      </c>
      <c r="L28" s="7" t="str">
        <f>IF(BudgetsTable[[#This Row],[pi_last_name]]=" ","",HYPERLINK("https://www.ejacket.nsf.gov/ej/showProposal.do?Continue=Y&amp;ID="&amp;BudgetsTable[[#This Row],[prop_id]],BudgetsTable[[#This Row],[prop_id]]))</f>
        <v>1651838</v>
      </c>
      <c r="M28" s="15" t="str">
        <f>IF(BudgetsTable[[#This Row],[pi_last_name]]=" ","",HYPERLINK("https://www.ejacket.nsf.gov/ej/processReviewAnalysis.do?dispatch=add&amp;uniqId="&amp;BudgetsTable[[#This Row],[prop_id]]&amp;PO_id,"&gt;ra"))</f>
        <v>&gt;ra</v>
      </c>
      <c r="N28" s="80" t="s">
        <v>994</v>
      </c>
      <c r="O28" s="7" t="str">
        <f>IF(BudgetsTable[[#This Row],[pi_last_name]]=" ","",HYPERLINK("mailto:"&amp;BudgetsTable[[#This Row],[pi_email]]&amp;"&amp;subject=Your NSF Proposal:  "&amp;BudgetsTable[[#This Row],[prop_id]],BudgetsTable[[#This Row],[pi_email]]))</f>
        <v>virgi@mit.edu</v>
      </c>
      <c r="P28" s="80" t="s">
        <v>223</v>
      </c>
      <c r="Q28" s="80"/>
      <c r="R28" s="80"/>
      <c r="S28" s="81"/>
      <c r="T28" s="81"/>
      <c r="U28" s="81"/>
      <c r="V28" s="82"/>
      <c r="W28" s="80">
        <v>1</v>
      </c>
      <c r="X28" s="80"/>
      <c r="Y28" s="11" t="str">
        <f ca="1">IF(ISBLANK(BudgetsTable[[#This Row],[budg_seq_yr]]),"FY"&amp;fiscalyear,"FY"&amp;fiscalyear-1+BudgetsTable[[#This Row],[budg_seq_yr]])</f>
        <v>FY18</v>
      </c>
      <c r="Z28" s="81">
        <v>400000</v>
      </c>
      <c r="AA28" s="80" t="s">
        <v>222</v>
      </c>
      <c r="AB28" s="80" t="s">
        <v>405</v>
      </c>
      <c r="AC28" s="80" t="s">
        <v>411</v>
      </c>
    </row>
    <row r="29" spans="1:29" x14ac:dyDescent="0.4">
      <c r="A29" s="10" t="s">
        <v>993</v>
      </c>
      <c r="B29" s="78" t="s">
        <v>96</v>
      </c>
      <c r="C29" s="78">
        <f>C28+(BudgetsTable[[#This Row],[lead]]&lt;&gt;K28)</f>
        <v>15</v>
      </c>
      <c r="D29" s="78">
        <f>D28*(BudgetsTable[[#This Row],[lead]]=K28)+(BudgetsTable[[#This Row],[prop_id]]&lt;&gt;A28)</f>
        <v>1</v>
      </c>
      <c r="E29" s="79">
        <v>42570.777777777781</v>
      </c>
      <c r="F29" s="80" t="s">
        <v>975</v>
      </c>
      <c r="G29" s="80" t="s">
        <v>222</v>
      </c>
      <c r="H29" s="80" t="s">
        <v>405</v>
      </c>
      <c r="I29" s="78" t="s">
        <v>451</v>
      </c>
      <c r="J29" s="78" t="s">
        <v>13</v>
      </c>
      <c r="K29" s="80" t="s">
        <v>993</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80" t="s">
        <v>13</v>
      </c>
      <c r="O29" s="7" t="str">
        <f>IF(BudgetsTable[[#This Row],[pi_last_name]]=" ","",HYPERLINK("mailto:"&amp;BudgetsTable[[#This Row],[pi_email]]&amp;"&amp;subject=Your NSF Proposal:  "&amp;BudgetsTable[[#This Row],[prop_id]],BudgetsTable[[#This Row],[pi_email]]))</f>
        <v/>
      </c>
      <c r="P29" s="80" t="s">
        <v>13</v>
      </c>
      <c r="Q29" s="80">
        <v>0</v>
      </c>
      <c r="R29" s="80">
        <v>0</v>
      </c>
      <c r="S29" s="81">
        <v>0</v>
      </c>
      <c r="T29" s="81">
        <v>0</v>
      </c>
      <c r="U29" s="81">
        <v>0</v>
      </c>
      <c r="V29" s="82">
        <v>179656</v>
      </c>
      <c r="W29" s="80">
        <v>1</v>
      </c>
      <c r="X29" s="80">
        <v>1</v>
      </c>
      <c r="Y29" s="11" t="str">
        <f ca="1">IF(ISBLANK(BudgetsTable[[#This Row],[budg_seq_yr]]),"FY"&amp;fiscalyear,"FY"&amp;fiscalyear-1+BudgetsTable[[#This Row],[budg_seq_yr]])</f>
        <v>FY18</v>
      </c>
      <c r="Z29" s="81">
        <v>179656</v>
      </c>
      <c r="AA29" s="80" t="s">
        <v>222</v>
      </c>
      <c r="AB29" s="80" t="s">
        <v>405</v>
      </c>
      <c r="AC29" s="80" t="s">
        <v>411</v>
      </c>
    </row>
    <row r="30" spans="1:29" x14ac:dyDescent="0.4">
      <c r="A30" s="10" t="s">
        <v>993</v>
      </c>
      <c r="B30" s="78" t="s">
        <v>96</v>
      </c>
      <c r="C30" s="78">
        <f>C29+(BudgetsTable[[#This Row],[lead]]&lt;&gt;K29)</f>
        <v>15</v>
      </c>
      <c r="D30" s="78">
        <f>D29*(BudgetsTable[[#This Row],[lead]]=K29)+(BudgetsTable[[#This Row],[prop_id]]&lt;&gt;A29)</f>
        <v>1</v>
      </c>
      <c r="E30" s="79">
        <v>42570.777777777781</v>
      </c>
      <c r="F30" s="80" t="s">
        <v>975</v>
      </c>
      <c r="G30" s="80" t="s">
        <v>222</v>
      </c>
      <c r="H30" s="80" t="s">
        <v>405</v>
      </c>
      <c r="I30" s="78" t="s">
        <v>451</v>
      </c>
      <c r="J30" s="78" t="s">
        <v>13</v>
      </c>
      <c r="K30" s="80" t="s">
        <v>993</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80" t="s">
        <v>13</v>
      </c>
      <c r="O30" s="7" t="str">
        <f>IF(BudgetsTable[[#This Row],[pi_last_name]]=" ","",HYPERLINK("mailto:"&amp;BudgetsTable[[#This Row],[pi_email]]&amp;"&amp;subject=Your NSF Proposal:  "&amp;BudgetsTable[[#This Row],[prop_id]],BudgetsTable[[#This Row],[pi_email]]))</f>
        <v/>
      </c>
      <c r="P30" s="80" t="s">
        <v>13</v>
      </c>
      <c r="Q30" s="80">
        <v>0</v>
      </c>
      <c r="R30" s="80">
        <v>0</v>
      </c>
      <c r="S30" s="81">
        <v>0</v>
      </c>
      <c r="T30" s="81">
        <v>0</v>
      </c>
      <c r="U30" s="81">
        <v>0</v>
      </c>
      <c r="V30" s="82">
        <v>71041</v>
      </c>
      <c r="W30" s="80">
        <v>1</v>
      </c>
      <c r="X30" s="80">
        <v>3</v>
      </c>
      <c r="Y30" s="11" t="str">
        <f ca="1">IF(ISBLANK(BudgetsTable[[#This Row],[budg_seq_yr]]),"FY"&amp;fiscalyear,"FY"&amp;fiscalyear-1+BudgetsTable[[#This Row],[budg_seq_yr]])</f>
        <v>FY20</v>
      </c>
      <c r="Z30" s="81">
        <v>71041</v>
      </c>
      <c r="AA30" s="80" t="s">
        <v>222</v>
      </c>
      <c r="AB30" s="80" t="s">
        <v>405</v>
      </c>
      <c r="AC30" s="80" t="s">
        <v>411</v>
      </c>
    </row>
    <row r="31" spans="1:29" x14ac:dyDescent="0.4">
      <c r="A31" s="10" t="s">
        <v>993</v>
      </c>
      <c r="B31" s="78" t="s">
        <v>96</v>
      </c>
      <c r="C31" s="78">
        <f>C30+(BudgetsTable[[#This Row],[lead]]&lt;&gt;K30)</f>
        <v>15</v>
      </c>
      <c r="D31" s="78">
        <f>D30*(BudgetsTable[[#This Row],[lead]]=K30)+(BudgetsTable[[#This Row],[prop_id]]&lt;&gt;A30)</f>
        <v>1</v>
      </c>
      <c r="E31" s="79">
        <v>42570.777777777781</v>
      </c>
      <c r="F31" s="80" t="s">
        <v>975</v>
      </c>
      <c r="G31" s="80" t="s">
        <v>222</v>
      </c>
      <c r="H31" s="80" t="s">
        <v>405</v>
      </c>
      <c r="I31" s="78" t="s">
        <v>451</v>
      </c>
      <c r="J31" s="78" t="s">
        <v>13</v>
      </c>
      <c r="K31" s="80" t="s">
        <v>993</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80" t="s">
        <v>13</v>
      </c>
      <c r="O31" s="7" t="str">
        <f>IF(BudgetsTable[[#This Row],[pi_last_name]]=" ","",HYPERLINK("mailto:"&amp;BudgetsTable[[#This Row],[pi_email]]&amp;"&amp;subject=Your NSF Proposal:  "&amp;BudgetsTable[[#This Row],[prop_id]],BudgetsTable[[#This Row],[pi_email]]))</f>
        <v/>
      </c>
      <c r="P31" s="80" t="s">
        <v>13</v>
      </c>
      <c r="Q31" s="80">
        <v>0</v>
      </c>
      <c r="R31" s="80">
        <v>0</v>
      </c>
      <c r="S31" s="81">
        <v>0</v>
      </c>
      <c r="T31" s="81">
        <v>0</v>
      </c>
      <c r="U31" s="81">
        <v>0</v>
      </c>
      <c r="V31" s="82">
        <v>73514</v>
      </c>
      <c r="W31" s="80">
        <v>1</v>
      </c>
      <c r="X31" s="80">
        <v>4</v>
      </c>
      <c r="Y31" s="11" t="str">
        <f ca="1">IF(ISBLANK(BudgetsTable[[#This Row],[budg_seq_yr]]),"FY"&amp;fiscalyear,"FY"&amp;fiscalyear-1+BudgetsTable[[#This Row],[budg_seq_yr]])</f>
        <v>FY21</v>
      </c>
      <c r="Z31" s="81">
        <v>73514</v>
      </c>
      <c r="AA31" s="80" t="s">
        <v>222</v>
      </c>
      <c r="AB31" s="80" t="s">
        <v>405</v>
      </c>
      <c r="AC31" s="80" t="s">
        <v>411</v>
      </c>
    </row>
    <row r="32" spans="1:29" x14ac:dyDescent="0.4">
      <c r="A32" s="10" t="s">
        <v>993</v>
      </c>
      <c r="B32" s="78" t="s">
        <v>96</v>
      </c>
      <c r="C32" s="78">
        <f>C31+(BudgetsTable[[#This Row],[lead]]&lt;&gt;K31)</f>
        <v>15</v>
      </c>
      <c r="D32" s="78">
        <f>D31*(BudgetsTable[[#This Row],[lead]]=K31)+(BudgetsTable[[#This Row],[prop_id]]&lt;&gt;A31)</f>
        <v>1</v>
      </c>
      <c r="E32" s="79">
        <v>42570.777777777781</v>
      </c>
      <c r="F32" s="80" t="s">
        <v>975</v>
      </c>
      <c r="G32" s="80" t="s">
        <v>222</v>
      </c>
      <c r="H32" s="80" t="s">
        <v>405</v>
      </c>
      <c r="I32" s="78" t="s">
        <v>451</v>
      </c>
      <c r="J32" s="78" t="s">
        <v>13</v>
      </c>
      <c r="K32" s="80" t="s">
        <v>993</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80" t="s">
        <v>13</v>
      </c>
      <c r="O32" s="7" t="str">
        <f>IF(BudgetsTable[[#This Row],[pi_last_name]]=" ","",HYPERLINK("mailto:"&amp;BudgetsTable[[#This Row],[pi_email]]&amp;"&amp;subject=Your NSF Proposal:  "&amp;BudgetsTable[[#This Row],[prop_id]],BudgetsTable[[#This Row],[pi_email]]))</f>
        <v/>
      </c>
      <c r="P32" s="80" t="s">
        <v>13</v>
      </c>
      <c r="Q32" s="80">
        <v>0</v>
      </c>
      <c r="R32" s="80">
        <v>0</v>
      </c>
      <c r="S32" s="81">
        <v>0</v>
      </c>
      <c r="T32" s="81">
        <v>0</v>
      </c>
      <c r="U32" s="81">
        <v>0</v>
      </c>
      <c r="V32" s="82">
        <v>75789</v>
      </c>
      <c r="W32" s="80">
        <v>1</v>
      </c>
      <c r="X32" s="80">
        <v>5</v>
      </c>
      <c r="Y32" s="11" t="str">
        <f ca="1">IF(ISBLANK(BudgetsTable[[#This Row],[budg_seq_yr]]),"FY"&amp;fiscalyear,"FY"&amp;fiscalyear-1+BudgetsTable[[#This Row],[budg_seq_yr]])</f>
        <v>FY22</v>
      </c>
      <c r="Z32" s="81">
        <v>75789</v>
      </c>
      <c r="AA32" s="80" t="s">
        <v>222</v>
      </c>
      <c r="AB32" s="80" t="s">
        <v>405</v>
      </c>
      <c r="AC32" s="80" t="s">
        <v>411</v>
      </c>
    </row>
    <row r="33" spans="1:29" x14ac:dyDescent="0.4">
      <c r="A33" s="10" t="s">
        <v>999</v>
      </c>
      <c r="B33" s="78" t="s">
        <v>96</v>
      </c>
      <c r="C33" s="78">
        <f>C32+(BudgetsTable[[#This Row],[lead]]&lt;&gt;K32)</f>
        <v>16</v>
      </c>
      <c r="D33" s="78">
        <f>D32*(BudgetsTable[[#This Row],[lead]]=K32)+(BudgetsTable[[#This Row],[prop_id]]&lt;&gt;A32)</f>
        <v>1</v>
      </c>
      <c r="E33" s="79">
        <v>42570.840277777781</v>
      </c>
      <c r="F33" s="80" t="s">
        <v>975</v>
      </c>
      <c r="G33" s="80" t="s">
        <v>222</v>
      </c>
      <c r="H33" s="80" t="s">
        <v>405</v>
      </c>
      <c r="I33" s="78" t="s">
        <v>422</v>
      </c>
      <c r="J33" s="78" t="s">
        <v>1002</v>
      </c>
      <c r="K33" s="80" t="s">
        <v>999</v>
      </c>
      <c r="L33" s="7" t="str">
        <f>IF(BudgetsTable[[#This Row],[pi_last_name]]=" ","",HYPERLINK("https://www.ejacket.nsf.gov/ej/showProposal.do?Continue=Y&amp;ID="&amp;BudgetsTable[[#This Row],[prop_id]],BudgetsTable[[#This Row],[prop_id]]))</f>
        <v>1651861</v>
      </c>
      <c r="M33" s="15" t="str">
        <f>IF(BudgetsTable[[#This Row],[pi_last_name]]=" ","",HYPERLINK("https://www.ejacket.nsf.gov/ej/processReviewAnalysis.do?dispatch=add&amp;uniqId="&amp;BudgetsTable[[#This Row],[prop_id]]&amp;PO_id,"&gt;ra"))</f>
        <v>&gt;ra</v>
      </c>
      <c r="N33" s="80" t="s">
        <v>1000</v>
      </c>
      <c r="O33" s="7" t="str">
        <f>IF(BudgetsTable[[#This Row],[pi_last_name]]=" ","",HYPERLINK("mailto:"&amp;BudgetsTable[[#This Row],[pi_email]]&amp;"&amp;subject=Your NSF Proposal:  "&amp;BudgetsTable[[#This Row],[prop_id]],BudgetsTable[[#This Row],[pi_email]]))</f>
        <v>rothvoss@uw.edu</v>
      </c>
      <c r="P33" s="80" t="s">
        <v>258</v>
      </c>
      <c r="Q33" s="80"/>
      <c r="R33" s="80"/>
      <c r="S33" s="81"/>
      <c r="T33" s="81"/>
      <c r="U33" s="81"/>
      <c r="V33" s="82"/>
      <c r="W33" s="80">
        <v>0</v>
      </c>
      <c r="X33" s="80"/>
      <c r="Y33" s="11" t="str">
        <f ca="1">IF(ISBLANK(BudgetsTable[[#This Row],[budg_seq_yr]]),"FY"&amp;fiscalyear,"FY"&amp;fiscalyear-1+BudgetsTable[[#This Row],[budg_seq_yr]])</f>
        <v>FY18</v>
      </c>
      <c r="Z33" s="81">
        <v>522239</v>
      </c>
      <c r="AA33" s="80" t="s">
        <v>222</v>
      </c>
      <c r="AB33" s="80" t="s">
        <v>405</v>
      </c>
      <c r="AC33" s="80" t="s">
        <v>411</v>
      </c>
    </row>
    <row r="34" spans="1:29" x14ac:dyDescent="0.4">
      <c r="A34" s="10" t="s">
        <v>999</v>
      </c>
      <c r="B34" s="78" t="s">
        <v>96</v>
      </c>
      <c r="C34" s="78">
        <f>C33+(BudgetsTable[[#This Row],[lead]]&lt;&gt;K33)</f>
        <v>16</v>
      </c>
      <c r="D34" s="78">
        <f>D33*(BudgetsTable[[#This Row],[lead]]=K33)+(BudgetsTable[[#This Row],[prop_id]]&lt;&gt;A33)</f>
        <v>1</v>
      </c>
      <c r="E34" s="79">
        <v>42570.840277777781</v>
      </c>
      <c r="F34" s="80" t="s">
        <v>975</v>
      </c>
      <c r="G34" s="80" t="s">
        <v>222</v>
      </c>
      <c r="H34" s="80" t="s">
        <v>405</v>
      </c>
      <c r="I34" s="78" t="s">
        <v>422</v>
      </c>
      <c r="J34" s="78" t="s">
        <v>13</v>
      </c>
      <c r="K34" s="80" t="s">
        <v>999</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80" t="s">
        <v>13</v>
      </c>
      <c r="O34" s="7" t="str">
        <f>IF(BudgetsTable[[#This Row],[pi_last_name]]=" ","",HYPERLINK("mailto:"&amp;BudgetsTable[[#This Row],[pi_email]]&amp;"&amp;subject=Your NSF Proposal:  "&amp;BudgetsTable[[#This Row],[prop_id]],BudgetsTable[[#This Row],[pi_email]]))</f>
        <v/>
      </c>
      <c r="P34" s="80" t="s">
        <v>13</v>
      </c>
      <c r="Q34" s="80">
        <v>1</v>
      </c>
      <c r="R34" s="80">
        <v>2</v>
      </c>
      <c r="S34" s="81">
        <v>12860</v>
      </c>
      <c r="T34" s="81">
        <v>6000</v>
      </c>
      <c r="U34" s="81">
        <v>3000</v>
      </c>
      <c r="V34" s="82">
        <v>87907</v>
      </c>
      <c r="W34" s="80">
        <v>0</v>
      </c>
      <c r="X34" s="80">
        <v>1</v>
      </c>
      <c r="Y34" s="11" t="str">
        <f ca="1">IF(ISBLANK(BudgetsTable[[#This Row],[budg_seq_yr]]),"FY"&amp;fiscalyear,"FY"&amp;fiscalyear-1+BudgetsTable[[#This Row],[budg_seq_yr]])</f>
        <v>FY18</v>
      </c>
      <c r="Z34" s="81">
        <v>87907</v>
      </c>
      <c r="AA34" s="80" t="s">
        <v>222</v>
      </c>
      <c r="AB34" s="80" t="s">
        <v>405</v>
      </c>
      <c r="AC34" s="80" t="s">
        <v>411</v>
      </c>
    </row>
    <row r="35" spans="1:29" x14ac:dyDescent="0.4">
      <c r="A35" s="10" t="s">
        <v>999</v>
      </c>
      <c r="B35" s="78" t="s">
        <v>96</v>
      </c>
      <c r="C35" s="78">
        <f>C34+(BudgetsTable[[#This Row],[lead]]&lt;&gt;K34)</f>
        <v>16</v>
      </c>
      <c r="D35" s="78">
        <f>D34*(BudgetsTable[[#This Row],[lead]]=K34)+(BudgetsTable[[#This Row],[prop_id]]&lt;&gt;A34)</f>
        <v>1</v>
      </c>
      <c r="E35" s="79">
        <v>42570.840277777781</v>
      </c>
      <c r="F35" s="80" t="s">
        <v>975</v>
      </c>
      <c r="G35" s="80" t="s">
        <v>222</v>
      </c>
      <c r="H35" s="80" t="s">
        <v>405</v>
      </c>
      <c r="I35" s="78" t="s">
        <v>422</v>
      </c>
      <c r="J35" s="78" t="s">
        <v>13</v>
      </c>
      <c r="K35" s="80" t="s">
        <v>999</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80" t="s">
        <v>13</v>
      </c>
      <c r="O35" s="7" t="str">
        <f>IF(BudgetsTable[[#This Row],[pi_last_name]]=" ","",HYPERLINK("mailto:"&amp;BudgetsTable[[#This Row],[pi_email]]&amp;"&amp;subject=Your NSF Proposal:  "&amp;BudgetsTable[[#This Row],[prop_id]],BudgetsTable[[#This Row],[pi_email]]))</f>
        <v/>
      </c>
      <c r="P35" s="80" t="s">
        <v>13</v>
      </c>
      <c r="Q35" s="80">
        <v>1</v>
      </c>
      <c r="R35" s="80">
        <v>2</v>
      </c>
      <c r="S35" s="81">
        <v>13374</v>
      </c>
      <c r="T35" s="81">
        <v>6000</v>
      </c>
      <c r="U35" s="81">
        <v>3000</v>
      </c>
      <c r="V35" s="82">
        <v>90386</v>
      </c>
      <c r="W35" s="80">
        <v>0</v>
      </c>
      <c r="X35" s="80">
        <v>2</v>
      </c>
      <c r="Y35" s="11" t="str">
        <f ca="1">IF(ISBLANK(BudgetsTable[[#This Row],[budg_seq_yr]]),"FY"&amp;fiscalyear,"FY"&amp;fiscalyear-1+BudgetsTable[[#This Row],[budg_seq_yr]])</f>
        <v>FY19</v>
      </c>
      <c r="Z35" s="81">
        <v>90386</v>
      </c>
      <c r="AA35" s="80" t="s">
        <v>222</v>
      </c>
      <c r="AB35" s="80" t="s">
        <v>405</v>
      </c>
      <c r="AC35" s="80" t="s">
        <v>411</v>
      </c>
    </row>
    <row r="36" spans="1:29" x14ac:dyDescent="0.4">
      <c r="A36" s="10" t="s">
        <v>999</v>
      </c>
      <c r="B36" s="78" t="s">
        <v>96</v>
      </c>
      <c r="C36" s="78">
        <f>C35+(BudgetsTable[[#This Row],[lead]]&lt;&gt;K35)</f>
        <v>16</v>
      </c>
      <c r="D36" s="78">
        <f>D35*(BudgetsTable[[#This Row],[lead]]=K35)+(BudgetsTable[[#This Row],[prop_id]]&lt;&gt;A35)</f>
        <v>1</v>
      </c>
      <c r="E36" s="79">
        <v>42570.840277777781</v>
      </c>
      <c r="F36" s="80" t="s">
        <v>975</v>
      </c>
      <c r="G36" s="80" t="s">
        <v>222</v>
      </c>
      <c r="H36" s="80" t="s">
        <v>405</v>
      </c>
      <c r="I36" s="78" t="s">
        <v>422</v>
      </c>
      <c r="J36" s="78" t="s">
        <v>13</v>
      </c>
      <c r="K36" s="80" t="s">
        <v>999</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80" t="s">
        <v>13</v>
      </c>
      <c r="O36" s="7" t="str">
        <f>IF(BudgetsTable[[#This Row],[pi_last_name]]=" ","",HYPERLINK("mailto:"&amp;BudgetsTable[[#This Row],[pi_email]]&amp;"&amp;subject=Your NSF Proposal:  "&amp;BudgetsTable[[#This Row],[prop_id]],BudgetsTable[[#This Row],[pi_email]]))</f>
        <v/>
      </c>
      <c r="P36" s="80" t="s">
        <v>13</v>
      </c>
      <c r="Q36" s="80">
        <v>1</v>
      </c>
      <c r="R36" s="80">
        <v>2</v>
      </c>
      <c r="S36" s="81">
        <v>21399</v>
      </c>
      <c r="T36" s="81">
        <v>6000</v>
      </c>
      <c r="U36" s="81">
        <v>3000</v>
      </c>
      <c r="V36" s="82">
        <v>111530</v>
      </c>
      <c r="W36" s="80">
        <v>0</v>
      </c>
      <c r="X36" s="80">
        <v>3</v>
      </c>
      <c r="Y36" s="11" t="str">
        <f ca="1">IF(ISBLANK(BudgetsTable[[#This Row],[budg_seq_yr]]),"FY"&amp;fiscalyear,"FY"&amp;fiscalyear-1+BudgetsTable[[#This Row],[budg_seq_yr]])</f>
        <v>FY20</v>
      </c>
      <c r="Z36" s="81">
        <v>111530</v>
      </c>
      <c r="AA36" s="80" t="s">
        <v>222</v>
      </c>
      <c r="AB36" s="80" t="s">
        <v>405</v>
      </c>
      <c r="AC36" s="80" t="s">
        <v>411</v>
      </c>
    </row>
    <row r="37" spans="1:29" x14ac:dyDescent="0.4">
      <c r="A37" s="10" t="s">
        <v>999</v>
      </c>
      <c r="B37" s="78" t="s">
        <v>96</v>
      </c>
      <c r="C37" s="78">
        <f>C36+(BudgetsTable[[#This Row],[lead]]&lt;&gt;K36)</f>
        <v>16</v>
      </c>
      <c r="D37" s="78">
        <f>D36*(BudgetsTable[[#This Row],[lead]]=K36)+(BudgetsTable[[#This Row],[prop_id]]&lt;&gt;A36)</f>
        <v>1</v>
      </c>
      <c r="E37" s="79">
        <v>42570.840277777781</v>
      </c>
      <c r="F37" s="80" t="s">
        <v>975</v>
      </c>
      <c r="G37" s="80" t="s">
        <v>222</v>
      </c>
      <c r="H37" s="80" t="s">
        <v>405</v>
      </c>
      <c r="I37" s="78" t="s">
        <v>422</v>
      </c>
      <c r="J37" s="78" t="s">
        <v>13</v>
      </c>
      <c r="K37" s="80" t="s">
        <v>999</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80" t="s">
        <v>13</v>
      </c>
      <c r="O37" s="7" t="str">
        <f>IF(BudgetsTable[[#This Row],[pi_last_name]]=" ","",HYPERLINK("mailto:"&amp;BudgetsTable[[#This Row],[pi_email]]&amp;"&amp;subject=Your NSF Proposal:  "&amp;BudgetsTable[[#This Row],[prop_id]],BudgetsTable[[#This Row],[pi_email]]))</f>
        <v/>
      </c>
      <c r="P37" s="80" t="s">
        <v>13</v>
      </c>
      <c r="Q37" s="80">
        <v>1</v>
      </c>
      <c r="R37" s="80">
        <v>2</v>
      </c>
      <c r="S37" s="81">
        <v>22255</v>
      </c>
      <c r="T37" s="81">
        <v>6000</v>
      </c>
      <c r="U37" s="81">
        <v>3000</v>
      </c>
      <c r="V37" s="82">
        <v>114613</v>
      </c>
      <c r="W37" s="80">
        <v>0</v>
      </c>
      <c r="X37" s="80">
        <v>4</v>
      </c>
      <c r="Y37" s="11" t="str">
        <f ca="1">IF(ISBLANK(BudgetsTable[[#This Row],[budg_seq_yr]]),"FY"&amp;fiscalyear,"FY"&amp;fiscalyear-1+BudgetsTable[[#This Row],[budg_seq_yr]])</f>
        <v>FY21</v>
      </c>
      <c r="Z37" s="81">
        <v>114613</v>
      </c>
      <c r="AA37" s="80" t="s">
        <v>222</v>
      </c>
      <c r="AB37" s="80" t="s">
        <v>405</v>
      </c>
      <c r="AC37" s="80" t="s">
        <v>411</v>
      </c>
    </row>
    <row r="38" spans="1:29" x14ac:dyDescent="0.4">
      <c r="A38" s="10" t="s">
        <v>999</v>
      </c>
      <c r="B38" s="78" t="s">
        <v>96</v>
      </c>
      <c r="C38" s="78">
        <f>C37+(BudgetsTable[[#This Row],[lead]]&lt;&gt;K37)</f>
        <v>16</v>
      </c>
      <c r="D38" s="78">
        <f>D37*(BudgetsTable[[#This Row],[lead]]=K37)+(BudgetsTable[[#This Row],[prop_id]]&lt;&gt;A37)</f>
        <v>1</v>
      </c>
      <c r="E38" s="79">
        <v>42570.840277777781</v>
      </c>
      <c r="F38" s="80" t="s">
        <v>975</v>
      </c>
      <c r="G38" s="80" t="s">
        <v>222</v>
      </c>
      <c r="H38" s="80" t="s">
        <v>405</v>
      </c>
      <c r="I38" s="78" t="s">
        <v>422</v>
      </c>
      <c r="J38" s="78" t="s">
        <v>13</v>
      </c>
      <c r="K38" s="80" t="s">
        <v>999</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80" t="s">
        <v>13</v>
      </c>
      <c r="O38" s="7" t="str">
        <f>IF(BudgetsTable[[#This Row],[pi_last_name]]=" ","",HYPERLINK("mailto:"&amp;BudgetsTable[[#This Row],[pi_email]]&amp;"&amp;subject=Your NSF Proposal:  "&amp;BudgetsTable[[#This Row],[prop_id]],BudgetsTable[[#This Row],[pi_email]]))</f>
        <v/>
      </c>
      <c r="P38" s="80" t="s">
        <v>13</v>
      </c>
      <c r="Q38" s="80">
        <v>1</v>
      </c>
      <c r="R38" s="80">
        <v>2</v>
      </c>
      <c r="S38" s="81">
        <v>23145</v>
      </c>
      <c r="T38" s="81">
        <v>6000</v>
      </c>
      <c r="U38" s="81">
        <v>3000</v>
      </c>
      <c r="V38" s="82">
        <v>117803</v>
      </c>
      <c r="W38" s="80">
        <v>0</v>
      </c>
      <c r="X38" s="80">
        <v>5</v>
      </c>
      <c r="Y38" s="11" t="str">
        <f ca="1">IF(ISBLANK(BudgetsTable[[#This Row],[budg_seq_yr]]),"FY"&amp;fiscalyear,"FY"&amp;fiscalyear-1+BudgetsTable[[#This Row],[budg_seq_yr]])</f>
        <v>FY22</v>
      </c>
      <c r="Z38" s="81">
        <v>117803</v>
      </c>
      <c r="AA38" s="80" t="s">
        <v>222</v>
      </c>
      <c r="AB38" s="80" t="s">
        <v>405</v>
      </c>
      <c r="AC38" s="80" t="s">
        <v>411</v>
      </c>
    </row>
    <row r="39" spans="1:29" x14ac:dyDescent="0.4">
      <c r="A39" s="10" t="s">
        <v>1005</v>
      </c>
      <c r="B39" s="78" t="s">
        <v>96</v>
      </c>
      <c r="C39" s="78">
        <f>C38+(BudgetsTable[[#This Row],[lead]]&lt;&gt;K38)</f>
        <v>17</v>
      </c>
      <c r="D39" s="78">
        <f>D38*(BudgetsTable[[#This Row],[lead]]=K38)+(BudgetsTable[[#This Row],[prop_id]]&lt;&gt;A38)</f>
        <v>1</v>
      </c>
      <c r="E39" s="79">
        <v>42571.410416666666</v>
      </c>
      <c r="F39" s="80" t="s">
        <v>975</v>
      </c>
      <c r="G39" s="80" t="s">
        <v>222</v>
      </c>
      <c r="H39" s="80" t="s">
        <v>405</v>
      </c>
      <c r="I39" s="78" t="s">
        <v>406</v>
      </c>
      <c r="J39" s="78" t="s">
        <v>509</v>
      </c>
      <c r="K39" s="80" t="s">
        <v>1005</v>
      </c>
      <c r="L39" s="7" t="str">
        <f>IF(BudgetsTable[[#This Row],[pi_last_name]]=" ","",HYPERLINK("https://www.ejacket.nsf.gov/ej/showProposal.do?Continue=Y&amp;ID="&amp;BudgetsTable[[#This Row],[prop_id]],BudgetsTable[[#This Row],[prop_id]]))</f>
        <v>1651932</v>
      </c>
      <c r="M39" s="15" t="str">
        <f>IF(BudgetsTable[[#This Row],[pi_last_name]]=" ","",HYPERLINK("https://www.ejacket.nsf.gov/ej/processReviewAnalysis.do?dispatch=add&amp;uniqId="&amp;BudgetsTable[[#This Row],[prop_id]]&amp;PO_id,"&gt;ra"))</f>
        <v>&gt;ra</v>
      </c>
      <c r="N39" s="80" t="s">
        <v>505</v>
      </c>
      <c r="O39" s="7" t="str">
        <f>IF(BudgetsTable[[#This Row],[pi_last_name]]=" ","",HYPERLINK("mailto:"&amp;BudgetsTable[[#This Row],[pi_email]]&amp;"&amp;subject=Your NSF Proposal:  "&amp;BudgetsTable[[#This Row],[prop_id]],BudgetsTable[[#This Row],[pi_email]]))</f>
        <v>sharathr@vt.edu</v>
      </c>
      <c r="P39" s="80" t="s">
        <v>507</v>
      </c>
      <c r="Q39" s="80"/>
      <c r="R39" s="80"/>
      <c r="S39" s="81"/>
      <c r="T39" s="81"/>
      <c r="U39" s="81"/>
      <c r="V39" s="82"/>
      <c r="W39" s="80">
        <v>0</v>
      </c>
      <c r="X39" s="80"/>
      <c r="Y39" s="11" t="str">
        <f ca="1">IF(ISBLANK(BudgetsTable[[#This Row],[budg_seq_yr]]),"FY"&amp;fiscalyear,"FY"&amp;fiscalyear-1+BudgetsTable[[#This Row],[budg_seq_yr]])</f>
        <v>FY18</v>
      </c>
      <c r="Z39" s="81">
        <v>518410</v>
      </c>
      <c r="AA39" s="80" t="s">
        <v>222</v>
      </c>
      <c r="AB39" s="80" t="s">
        <v>405</v>
      </c>
      <c r="AC39" s="80" t="s">
        <v>419</v>
      </c>
    </row>
    <row r="40" spans="1:29" x14ac:dyDescent="0.4">
      <c r="A40" s="10" t="s">
        <v>1005</v>
      </c>
      <c r="B40" s="78" t="s">
        <v>96</v>
      </c>
      <c r="C40" s="78">
        <f>C39+(BudgetsTable[[#This Row],[lead]]&lt;&gt;K39)</f>
        <v>17</v>
      </c>
      <c r="D40" s="78">
        <f>D39*(BudgetsTable[[#This Row],[lead]]=K39)+(BudgetsTable[[#This Row],[prop_id]]&lt;&gt;A39)</f>
        <v>1</v>
      </c>
      <c r="E40" s="79">
        <v>42571.410416666666</v>
      </c>
      <c r="F40" s="80" t="s">
        <v>975</v>
      </c>
      <c r="G40" s="80" t="s">
        <v>222</v>
      </c>
      <c r="H40" s="80" t="s">
        <v>405</v>
      </c>
      <c r="I40" s="78" t="s">
        <v>406</v>
      </c>
      <c r="J40" s="78" t="s">
        <v>13</v>
      </c>
      <c r="K40" s="80" t="s">
        <v>1005</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80" t="s">
        <v>13</v>
      </c>
      <c r="O40" s="7" t="str">
        <f>IF(BudgetsTable[[#This Row],[pi_last_name]]=" ","",HYPERLINK("mailto:"&amp;BudgetsTable[[#This Row],[pi_email]]&amp;"&amp;subject=Your NSF Proposal:  "&amp;BudgetsTable[[#This Row],[prop_id]],BudgetsTable[[#This Row],[pi_email]]))</f>
        <v/>
      </c>
      <c r="P40" s="80" t="s">
        <v>13</v>
      </c>
      <c r="Q40" s="80">
        <v>1</v>
      </c>
      <c r="R40" s="80">
        <v>1.5</v>
      </c>
      <c r="S40" s="81">
        <v>0</v>
      </c>
      <c r="T40" s="81">
        <v>0</v>
      </c>
      <c r="U40" s="81">
        <v>0</v>
      </c>
      <c r="V40" s="82">
        <v>100932</v>
      </c>
      <c r="W40" s="80">
        <v>0</v>
      </c>
      <c r="X40" s="80">
        <v>1</v>
      </c>
      <c r="Y40" s="11" t="str">
        <f ca="1">IF(ISBLANK(BudgetsTable[[#This Row],[budg_seq_yr]]),"FY"&amp;fiscalyear,"FY"&amp;fiscalyear-1+BudgetsTable[[#This Row],[budg_seq_yr]])</f>
        <v>FY18</v>
      </c>
      <c r="Z40" s="81">
        <v>100932</v>
      </c>
      <c r="AA40" s="80" t="s">
        <v>222</v>
      </c>
      <c r="AB40" s="80" t="s">
        <v>405</v>
      </c>
      <c r="AC40" s="80" t="s">
        <v>419</v>
      </c>
    </row>
    <row r="41" spans="1:29" x14ac:dyDescent="0.4">
      <c r="A41" s="10" t="s">
        <v>1005</v>
      </c>
      <c r="B41" s="78" t="s">
        <v>96</v>
      </c>
      <c r="C41" s="78">
        <f>C40+(BudgetsTable[[#This Row],[lead]]&lt;&gt;K40)</f>
        <v>17</v>
      </c>
      <c r="D41" s="78">
        <f>D40*(BudgetsTable[[#This Row],[lead]]=K40)+(BudgetsTable[[#This Row],[prop_id]]&lt;&gt;A40)</f>
        <v>1</v>
      </c>
      <c r="E41" s="79">
        <v>42571.410416666666</v>
      </c>
      <c r="F41" s="80" t="s">
        <v>975</v>
      </c>
      <c r="G41" s="80" t="s">
        <v>222</v>
      </c>
      <c r="H41" s="80" t="s">
        <v>405</v>
      </c>
      <c r="I41" s="78" t="s">
        <v>406</v>
      </c>
      <c r="J41" s="78" t="s">
        <v>13</v>
      </c>
      <c r="K41" s="80" t="s">
        <v>1005</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80" t="s">
        <v>13</v>
      </c>
      <c r="O41" s="7" t="str">
        <f>IF(BudgetsTable[[#This Row],[pi_last_name]]=" ","",HYPERLINK("mailto:"&amp;BudgetsTable[[#This Row],[pi_email]]&amp;"&amp;subject=Your NSF Proposal:  "&amp;BudgetsTable[[#This Row],[prop_id]],BudgetsTable[[#This Row],[pi_email]]))</f>
        <v/>
      </c>
      <c r="P41" s="80" t="s">
        <v>13</v>
      </c>
      <c r="Q41" s="80">
        <v>1</v>
      </c>
      <c r="R41" s="80">
        <v>1.5</v>
      </c>
      <c r="S41" s="81">
        <v>0</v>
      </c>
      <c r="T41" s="81">
        <v>0</v>
      </c>
      <c r="U41" s="81">
        <v>0</v>
      </c>
      <c r="V41" s="82">
        <v>99694</v>
      </c>
      <c r="W41" s="80">
        <v>0</v>
      </c>
      <c r="X41" s="80">
        <v>2</v>
      </c>
      <c r="Y41" s="11" t="str">
        <f ca="1">IF(ISBLANK(BudgetsTable[[#This Row],[budg_seq_yr]]),"FY"&amp;fiscalyear,"FY"&amp;fiscalyear-1+BudgetsTable[[#This Row],[budg_seq_yr]])</f>
        <v>FY19</v>
      </c>
      <c r="Z41" s="81">
        <v>99694</v>
      </c>
      <c r="AA41" s="80" t="s">
        <v>222</v>
      </c>
      <c r="AB41" s="80" t="s">
        <v>405</v>
      </c>
      <c r="AC41" s="80" t="s">
        <v>419</v>
      </c>
    </row>
    <row r="42" spans="1:29" x14ac:dyDescent="0.4">
      <c r="A42" s="10" t="s">
        <v>1005</v>
      </c>
      <c r="B42" s="78" t="s">
        <v>96</v>
      </c>
      <c r="C42" s="78">
        <f>C41+(BudgetsTable[[#This Row],[lead]]&lt;&gt;K41)</f>
        <v>17</v>
      </c>
      <c r="D42" s="78">
        <f>D41*(BudgetsTable[[#This Row],[lead]]=K41)+(BudgetsTable[[#This Row],[prop_id]]&lt;&gt;A41)</f>
        <v>1</v>
      </c>
      <c r="E42" s="79">
        <v>42571.410416666666</v>
      </c>
      <c r="F42" s="80" t="s">
        <v>975</v>
      </c>
      <c r="G42" s="80" t="s">
        <v>222</v>
      </c>
      <c r="H42" s="80" t="s">
        <v>405</v>
      </c>
      <c r="I42" s="78" t="s">
        <v>406</v>
      </c>
      <c r="J42" s="78" t="s">
        <v>13</v>
      </c>
      <c r="K42" s="80" t="s">
        <v>1005</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80" t="s">
        <v>13</v>
      </c>
      <c r="O42" s="7" t="str">
        <f>IF(BudgetsTable[[#This Row],[pi_last_name]]=" ","",HYPERLINK("mailto:"&amp;BudgetsTable[[#This Row],[pi_email]]&amp;"&amp;subject=Your NSF Proposal:  "&amp;BudgetsTable[[#This Row],[prop_id]],BudgetsTable[[#This Row],[pi_email]]))</f>
        <v/>
      </c>
      <c r="P42" s="80" t="s">
        <v>13</v>
      </c>
      <c r="Q42" s="80">
        <v>1</v>
      </c>
      <c r="R42" s="80">
        <v>1.5</v>
      </c>
      <c r="S42" s="81">
        <v>0</v>
      </c>
      <c r="T42" s="81">
        <v>2500</v>
      </c>
      <c r="U42" s="81">
        <v>0</v>
      </c>
      <c r="V42" s="82">
        <v>112535</v>
      </c>
      <c r="W42" s="80">
        <v>0</v>
      </c>
      <c r="X42" s="80">
        <v>3</v>
      </c>
      <c r="Y42" s="11" t="str">
        <f ca="1">IF(ISBLANK(BudgetsTable[[#This Row],[budg_seq_yr]]),"FY"&amp;fiscalyear,"FY"&amp;fiscalyear-1+BudgetsTable[[#This Row],[budg_seq_yr]])</f>
        <v>FY20</v>
      </c>
      <c r="Z42" s="81">
        <v>112535</v>
      </c>
      <c r="AA42" s="80" t="s">
        <v>222</v>
      </c>
      <c r="AB42" s="80" t="s">
        <v>405</v>
      </c>
      <c r="AC42" s="80" t="s">
        <v>419</v>
      </c>
    </row>
    <row r="43" spans="1:29" x14ac:dyDescent="0.4">
      <c r="A43" s="10" t="s">
        <v>1005</v>
      </c>
      <c r="B43" s="78" t="s">
        <v>96</v>
      </c>
      <c r="C43" s="78">
        <f>C42+(BudgetsTable[[#This Row],[lead]]&lt;&gt;K42)</f>
        <v>17</v>
      </c>
      <c r="D43" s="78">
        <f>D42*(BudgetsTable[[#This Row],[lead]]=K42)+(BudgetsTable[[#This Row],[prop_id]]&lt;&gt;A42)</f>
        <v>1</v>
      </c>
      <c r="E43" s="79">
        <v>42571.410416666666</v>
      </c>
      <c r="F43" s="80" t="s">
        <v>975</v>
      </c>
      <c r="G43" s="80" t="s">
        <v>222</v>
      </c>
      <c r="H43" s="80" t="s">
        <v>405</v>
      </c>
      <c r="I43" s="78" t="s">
        <v>406</v>
      </c>
      <c r="J43" s="78" t="s">
        <v>13</v>
      </c>
      <c r="K43" s="80" t="s">
        <v>1005</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80" t="s">
        <v>13</v>
      </c>
      <c r="O43" s="7" t="str">
        <f>IF(BudgetsTable[[#This Row],[pi_last_name]]=" ","",HYPERLINK("mailto:"&amp;BudgetsTable[[#This Row],[pi_email]]&amp;"&amp;subject=Your NSF Proposal:  "&amp;BudgetsTable[[#This Row],[prop_id]],BudgetsTable[[#This Row],[pi_email]]))</f>
        <v/>
      </c>
      <c r="P43" s="80" t="s">
        <v>13</v>
      </c>
      <c r="Q43" s="80">
        <v>1</v>
      </c>
      <c r="R43" s="80">
        <v>1</v>
      </c>
      <c r="S43" s="81">
        <v>0</v>
      </c>
      <c r="T43" s="81">
        <v>2500</v>
      </c>
      <c r="U43" s="81">
        <v>0</v>
      </c>
      <c r="V43" s="82">
        <v>100769</v>
      </c>
      <c r="W43" s="80">
        <v>0</v>
      </c>
      <c r="X43" s="80">
        <v>4</v>
      </c>
      <c r="Y43" s="11" t="str">
        <f ca="1">IF(ISBLANK(BudgetsTable[[#This Row],[budg_seq_yr]]),"FY"&amp;fiscalyear,"FY"&amp;fiscalyear-1+BudgetsTable[[#This Row],[budg_seq_yr]])</f>
        <v>FY21</v>
      </c>
      <c r="Z43" s="81">
        <v>100769</v>
      </c>
      <c r="AA43" s="80" t="s">
        <v>222</v>
      </c>
      <c r="AB43" s="80" t="s">
        <v>405</v>
      </c>
      <c r="AC43" s="80" t="s">
        <v>419</v>
      </c>
    </row>
    <row r="44" spans="1:29" x14ac:dyDescent="0.4">
      <c r="A44" s="10" t="s">
        <v>1005</v>
      </c>
      <c r="B44" s="78" t="s">
        <v>96</v>
      </c>
      <c r="C44" s="78">
        <f>C43+(BudgetsTable[[#This Row],[lead]]&lt;&gt;K43)</f>
        <v>17</v>
      </c>
      <c r="D44" s="78">
        <f>D43*(BudgetsTable[[#This Row],[lead]]=K43)+(BudgetsTable[[#This Row],[prop_id]]&lt;&gt;A43)</f>
        <v>1</v>
      </c>
      <c r="E44" s="79">
        <v>42571.410416666666</v>
      </c>
      <c r="F44" s="80" t="s">
        <v>975</v>
      </c>
      <c r="G44" s="80" t="s">
        <v>222</v>
      </c>
      <c r="H44" s="80" t="s">
        <v>405</v>
      </c>
      <c r="I44" s="78" t="s">
        <v>406</v>
      </c>
      <c r="J44" s="78" t="s">
        <v>13</v>
      </c>
      <c r="K44" s="80" t="s">
        <v>1005</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80" t="s">
        <v>13</v>
      </c>
      <c r="O44" s="7" t="str">
        <f>IF(BudgetsTable[[#This Row],[pi_last_name]]=" ","",HYPERLINK("mailto:"&amp;BudgetsTable[[#This Row],[pi_email]]&amp;"&amp;subject=Your NSF Proposal:  "&amp;BudgetsTable[[#This Row],[prop_id]],BudgetsTable[[#This Row],[pi_email]]))</f>
        <v/>
      </c>
      <c r="P44" s="80" t="s">
        <v>13</v>
      </c>
      <c r="Q44" s="80">
        <v>1</v>
      </c>
      <c r="R44" s="80">
        <v>1</v>
      </c>
      <c r="S44" s="81">
        <v>0</v>
      </c>
      <c r="T44" s="81">
        <v>2500</v>
      </c>
      <c r="U44" s="81">
        <v>0</v>
      </c>
      <c r="V44" s="82">
        <v>104480</v>
      </c>
      <c r="W44" s="80">
        <v>0</v>
      </c>
      <c r="X44" s="80">
        <v>5</v>
      </c>
      <c r="Y44" s="11" t="str">
        <f ca="1">IF(ISBLANK(BudgetsTable[[#This Row],[budg_seq_yr]]),"FY"&amp;fiscalyear,"FY"&amp;fiscalyear-1+BudgetsTable[[#This Row],[budg_seq_yr]])</f>
        <v>FY22</v>
      </c>
      <c r="Z44" s="81">
        <v>104480</v>
      </c>
      <c r="AA44" s="80" t="s">
        <v>222</v>
      </c>
      <c r="AB44" s="80" t="s">
        <v>405</v>
      </c>
      <c r="AC44" s="80" t="s">
        <v>419</v>
      </c>
    </row>
    <row r="45" spans="1:29" x14ac:dyDescent="0.4">
      <c r="A45" s="10" t="s">
        <v>1008</v>
      </c>
      <c r="B45" s="78" t="s">
        <v>96</v>
      </c>
      <c r="C45" s="78">
        <f>C44+(BudgetsTable[[#This Row],[lead]]&lt;&gt;K44)</f>
        <v>18</v>
      </c>
      <c r="D45" s="78">
        <f>D44*(BudgetsTable[[#This Row],[lead]]=K44)+(BudgetsTable[[#This Row],[prop_id]]&lt;&gt;A44)</f>
        <v>1</v>
      </c>
      <c r="E45" s="79">
        <v>42571.42291666667</v>
      </c>
      <c r="F45" s="80" t="s">
        <v>975</v>
      </c>
      <c r="G45" s="80" t="s">
        <v>222</v>
      </c>
      <c r="H45" s="80" t="s">
        <v>405</v>
      </c>
      <c r="I45" s="78" t="s">
        <v>422</v>
      </c>
      <c r="J45" s="78" t="s">
        <v>1011</v>
      </c>
      <c r="K45" s="80" t="s">
        <v>1008</v>
      </c>
      <c r="L45" s="7" t="str">
        <f>IF(BudgetsTable[[#This Row],[pi_last_name]]=" ","",HYPERLINK("https://www.ejacket.nsf.gov/ej/showProposal.do?Continue=Y&amp;ID="&amp;BudgetsTable[[#This Row],[prop_id]],BudgetsTable[[#This Row],[prop_id]]))</f>
        <v>1651949</v>
      </c>
      <c r="M45" s="15" t="str">
        <f>IF(BudgetsTable[[#This Row],[pi_last_name]]=" ","",HYPERLINK("https://www.ejacket.nsf.gov/ej/processReviewAnalysis.do?dispatch=add&amp;uniqId="&amp;BudgetsTable[[#This Row],[prop_id]]&amp;PO_id,"&gt;ra"))</f>
        <v>&gt;ra</v>
      </c>
      <c r="N45" s="80" t="s">
        <v>1009</v>
      </c>
      <c r="O45" s="7" t="str">
        <f>IF(BudgetsTable[[#This Row],[pi_last_name]]=" ","",HYPERLINK("mailto:"&amp;BudgetsTable[[#This Row],[pi_email]]&amp;"&amp;subject=Your NSF Proposal:  "&amp;BudgetsTable[[#This Row],[prop_id]],BudgetsTable[[#This Row],[pi_email]]))</f>
        <v>haeupler@cs.cmu.edu</v>
      </c>
      <c r="P45" s="80" t="s">
        <v>424</v>
      </c>
      <c r="Q45" s="80"/>
      <c r="R45" s="80"/>
      <c r="S45" s="81"/>
      <c r="T45" s="81"/>
      <c r="U45" s="81"/>
      <c r="V45" s="82"/>
      <c r="W45" s="80">
        <v>0</v>
      </c>
      <c r="X45" s="80"/>
      <c r="Y45" s="11" t="str">
        <f ca="1">IF(ISBLANK(BudgetsTable[[#This Row],[budg_seq_yr]]),"FY"&amp;fiscalyear,"FY"&amp;fiscalyear-1+BudgetsTable[[#This Row],[budg_seq_yr]])</f>
        <v>FY18</v>
      </c>
      <c r="Z45" s="81">
        <v>485739</v>
      </c>
      <c r="AA45" s="80" t="s">
        <v>222</v>
      </c>
      <c r="AB45" s="80" t="s">
        <v>405</v>
      </c>
      <c r="AC45" s="80" t="s">
        <v>1012</v>
      </c>
    </row>
    <row r="46" spans="1:29" x14ac:dyDescent="0.4">
      <c r="A46" s="10" t="s">
        <v>1008</v>
      </c>
      <c r="B46" s="78" t="s">
        <v>96</v>
      </c>
      <c r="C46" s="78">
        <f>C45+(BudgetsTable[[#This Row],[lead]]&lt;&gt;K45)</f>
        <v>18</v>
      </c>
      <c r="D46" s="78">
        <f>D45*(BudgetsTable[[#This Row],[lead]]=K45)+(BudgetsTable[[#This Row],[prop_id]]&lt;&gt;A45)</f>
        <v>1</v>
      </c>
      <c r="E46" s="79">
        <v>42571.42291666667</v>
      </c>
      <c r="F46" s="80" t="s">
        <v>975</v>
      </c>
      <c r="G46" s="80" t="s">
        <v>222</v>
      </c>
      <c r="H46" s="80" t="s">
        <v>405</v>
      </c>
      <c r="I46" s="78" t="s">
        <v>422</v>
      </c>
      <c r="J46" s="78" t="s">
        <v>13</v>
      </c>
      <c r="K46" s="80" t="s">
        <v>1008</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80" t="s">
        <v>13</v>
      </c>
      <c r="O46" s="7" t="str">
        <f>IF(BudgetsTable[[#This Row],[pi_last_name]]=" ","",HYPERLINK("mailto:"&amp;BudgetsTable[[#This Row],[pi_email]]&amp;"&amp;subject=Your NSF Proposal:  "&amp;BudgetsTable[[#This Row],[prop_id]],BudgetsTable[[#This Row],[pi_email]]))</f>
        <v/>
      </c>
      <c r="P46" s="80" t="s">
        <v>13</v>
      </c>
      <c r="Q46" s="80">
        <v>1</v>
      </c>
      <c r="R46" s="80">
        <v>0.25</v>
      </c>
      <c r="S46" s="81">
        <v>0</v>
      </c>
      <c r="T46" s="81">
        <v>0</v>
      </c>
      <c r="U46" s="81">
        <v>0</v>
      </c>
      <c r="V46" s="82">
        <v>91502</v>
      </c>
      <c r="W46" s="80">
        <v>0</v>
      </c>
      <c r="X46" s="80">
        <v>1</v>
      </c>
      <c r="Y46" s="11" t="str">
        <f ca="1">IF(ISBLANK(BudgetsTable[[#This Row],[budg_seq_yr]]),"FY"&amp;fiscalyear,"FY"&amp;fiscalyear-1+BudgetsTable[[#This Row],[budg_seq_yr]])</f>
        <v>FY18</v>
      </c>
      <c r="Z46" s="81">
        <v>91502</v>
      </c>
      <c r="AA46" s="80" t="s">
        <v>222</v>
      </c>
      <c r="AB46" s="80" t="s">
        <v>405</v>
      </c>
      <c r="AC46" s="80" t="s">
        <v>1012</v>
      </c>
    </row>
    <row r="47" spans="1:29" x14ac:dyDescent="0.4">
      <c r="A47" s="10" t="s">
        <v>1008</v>
      </c>
      <c r="B47" s="78" t="s">
        <v>96</v>
      </c>
      <c r="C47" s="78">
        <f>C46+(BudgetsTable[[#This Row],[lead]]&lt;&gt;K46)</f>
        <v>18</v>
      </c>
      <c r="D47" s="78">
        <f>D46*(BudgetsTable[[#This Row],[lead]]=K46)+(BudgetsTable[[#This Row],[prop_id]]&lt;&gt;A46)</f>
        <v>1</v>
      </c>
      <c r="E47" s="79">
        <v>42571.42291666667</v>
      </c>
      <c r="F47" s="80" t="s">
        <v>975</v>
      </c>
      <c r="G47" s="80" t="s">
        <v>222</v>
      </c>
      <c r="H47" s="80" t="s">
        <v>405</v>
      </c>
      <c r="I47" s="78" t="s">
        <v>422</v>
      </c>
      <c r="J47" s="78" t="s">
        <v>13</v>
      </c>
      <c r="K47" s="80" t="s">
        <v>1008</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80" t="s">
        <v>13</v>
      </c>
      <c r="O47" s="7" t="str">
        <f>IF(BudgetsTable[[#This Row],[pi_last_name]]=" ","",HYPERLINK("mailto:"&amp;BudgetsTable[[#This Row],[pi_email]]&amp;"&amp;subject=Your NSF Proposal:  "&amp;BudgetsTable[[#This Row],[prop_id]],BudgetsTable[[#This Row],[pi_email]]))</f>
        <v/>
      </c>
      <c r="P47" s="80" t="s">
        <v>13</v>
      </c>
      <c r="Q47" s="80">
        <v>1</v>
      </c>
      <c r="R47" s="80">
        <v>0.25</v>
      </c>
      <c r="S47" s="81">
        <v>0</v>
      </c>
      <c r="T47" s="81">
        <v>0</v>
      </c>
      <c r="U47" s="81">
        <v>0</v>
      </c>
      <c r="V47" s="82">
        <v>94244</v>
      </c>
      <c r="W47" s="80">
        <v>0</v>
      </c>
      <c r="X47" s="80">
        <v>2</v>
      </c>
      <c r="Y47" s="11" t="str">
        <f ca="1">IF(ISBLANK(BudgetsTable[[#This Row],[budg_seq_yr]]),"FY"&amp;fiscalyear,"FY"&amp;fiscalyear-1+BudgetsTable[[#This Row],[budg_seq_yr]])</f>
        <v>FY19</v>
      </c>
      <c r="Z47" s="81">
        <v>94244</v>
      </c>
      <c r="AA47" s="80" t="s">
        <v>222</v>
      </c>
      <c r="AB47" s="80" t="s">
        <v>405</v>
      </c>
      <c r="AC47" s="80" t="s">
        <v>1012</v>
      </c>
    </row>
    <row r="48" spans="1:29" x14ac:dyDescent="0.4">
      <c r="A48" s="10" t="s">
        <v>1008</v>
      </c>
      <c r="B48" s="78" t="s">
        <v>96</v>
      </c>
      <c r="C48" s="78">
        <f>C47+(BudgetsTable[[#This Row],[lead]]&lt;&gt;K47)</f>
        <v>18</v>
      </c>
      <c r="D48" s="78">
        <f>D47*(BudgetsTable[[#This Row],[lead]]=K47)+(BudgetsTable[[#This Row],[prop_id]]&lt;&gt;A47)</f>
        <v>1</v>
      </c>
      <c r="E48" s="79">
        <v>42571.42291666667</v>
      </c>
      <c r="F48" s="80" t="s">
        <v>975</v>
      </c>
      <c r="G48" s="80" t="s">
        <v>222</v>
      </c>
      <c r="H48" s="80" t="s">
        <v>405</v>
      </c>
      <c r="I48" s="78" t="s">
        <v>422</v>
      </c>
      <c r="J48" s="78" t="s">
        <v>13</v>
      </c>
      <c r="K48" s="80" t="s">
        <v>1008</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80" t="s">
        <v>13</v>
      </c>
      <c r="O48" s="7" t="str">
        <f>IF(BudgetsTable[[#This Row],[pi_last_name]]=" ","",HYPERLINK("mailto:"&amp;BudgetsTable[[#This Row],[pi_email]]&amp;"&amp;subject=Your NSF Proposal:  "&amp;BudgetsTable[[#This Row],[prop_id]],BudgetsTable[[#This Row],[pi_email]]))</f>
        <v/>
      </c>
      <c r="P48" s="80" t="s">
        <v>13</v>
      </c>
      <c r="Q48" s="80">
        <v>1</v>
      </c>
      <c r="R48" s="80">
        <v>0.25</v>
      </c>
      <c r="S48" s="81">
        <v>0</v>
      </c>
      <c r="T48" s="81">
        <v>0</v>
      </c>
      <c r="U48" s="81">
        <v>0</v>
      </c>
      <c r="V48" s="82">
        <v>97060</v>
      </c>
      <c r="W48" s="80">
        <v>0</v>
      </c>
      <c r="X48" s="80">
        <v>3</v>
      </c>
      <c r="Y48" s="11" t="str">
        <f ca="1">IF(ISBLANK(BudgetsTable[[#This Row],[budg_seq_yr]]),"FY"&amp;fiscalyear,"FY"&amp;fiscalyear-1+BudgetsTable[[#This Row],[budg_seq_yr]])</f>
        <v>FY20</v>
      </c>
      <c r="Z48" s="81">
        <v>97060</v>
      </c>
      <c r="AA48" s="80" t="s">
        <v>222</v>
      </c>
      <c r="AB48" s="80" t="s">
        <v>405</v>
      </c>
      <c r="AC48" s="80" t="s">
        <v>1012</v>
      </c>
    </row>
    <row r="49" spans="1:29" x14ac:dyDescent="0.4">
      <c r="A49" s="10" t="s">
        <v>1008</v>
      </c>
      <c r="B49" s="78" t="s">
        <v>96</v>
      </c>
      <c r="C49" s="78">
        <f>C48+(BudgetsTable[[#This Row],[lead]]&lt;&gt;K48)</f>
        <v>18</v>
      </c>
      <c r="D49" s="78">
        <f>D48*(BudgetsTable[[#This Row],[lead]]=K48)+(BudgetsTable[[#This Row],[prop_id]]&lt;&gt;A48)</f>
        <v>1</v>
      </c>
      <c r="E49" s="79">
        <v>42571.42291666667</v>
      </c>
      <c r="F49" s="80" t="s">
        <v>975</v>
      </c>
      <c r="G49" s="80" t="s">
        <v>222</v>
      </c>
      <c r="H49" s="80" t="s">
        <v>405</v>
      </c>
      <c r="I49" s="78" t="s">
        <v>422</v>
      </c>
      <c r="J49" s="78" t="s">
        <v>13</v>
      </c>
      <c r="K49" s="80" t="s">
        <v>1008</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80" t="s">
        <v>13</v>
      </c>
      <c r="O49" s="7" t="str">
        <f>IF(BudgetsTable[[#This Row],[pi_last_name]]=" ","",HYPERLINK("mailto:"&amp;BudgetsTable[[#This Row],[pi_email]]&amp;"&amp;subject=Your NSF Proposal:  "&amp;BudgetsTable[[#This Row],[prop_id]],BudgetsTable[[#This Row],[pi_email]]))</f>
        <v/>
      </c>
      <c r="P49" s="80" t="s">
        <v>13</v>
      </c>
      <c r="Q49" s="80">
        <v>1</v>
      </c>
      <c r="R49" s="80">
        <v>0.25</v>
      </c>
      <c r="S49" s="81">
        <v>0</v>
      </c>
      <c r="T49" s="81">
        <v>0</v>
      </c>
      <c r="U49" s="81">
        <v>0</v>
      </c>
      <c r="V49" s="82">
        <v>99967</v>
      </c>
      <c r="W49" s="80">
        <v>0</v>
      </c>
      <c r="X49" s="80">
        <v>4</v>
      </c>
      <c r="Y49" s="11" t="str">
        <f ca="1">IF(ISBLANK(BudgetsTable[[#This Row],[budg_seq_yr]]),"FY"&amp;fiscalyear,"FY"&amp;fiscalyear-1+BudgetsTable[[#This Row],[budg_seq_yr]])</f>
        <v>FY21</v>
      </c>
      <c r="Z49" s="81">
        <v>99967</v>
      </c>
      <c r="AA49" s="80" t="s">
        <v>222</v>
      </c>
      <c r="AB49" s="80" t="s">
        <v>405</v>
      </c>
      <c r="AC49" s="80" t="s">
        <v>1012</v>
      </c>
    </row>
    <row r="50" spans="1:29" x14ac:dyDescent="0.4">
      <c r="A50" s="10" t="s">
        <v>1008</v>
      </c>
      <c r="B50" s="78" t="s">
        <v>96</v>
      </c>
      <c r="C50" s="78">
        <f>C49+(BudgetsTable[[#This Row],[lead]]&lt;&gt;K49)</f>
        <v>18</v>
      </c>
      <c r="D50" s="78">
        <f>D49*(BudgetsTable[[#This Row],[lead]]=K49)+(BudgetsTable[[#This Row],[prop_id]]&lt;&gt;A49)</f>
        <v>1</v>
      </c>
      <c r="E50" s="79">
        <v>42571.42291666667</v>
      </c>
      <c r="F50" s="80" t="s">
        <v>975</v>
      </c>
      <c r="G50" s="80" t="s">
        <v>222</v>
      </c>
      <c r="H50" s="80" t="s">
        <v>405</v>
      </c>
      <c r="I50" s="78" t="s">
        <v>422</v>
      </c>
      <c r="J50" s="78" t="s">
        <v>13</v>
      </c>
      <c r="K50" s="80" t="s">
        <v>1008</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80" t="s">
        <v>13</v>
      </c>
      <c r="O50" s="7" t="str">
        <f>IF(BudgetsTable[[#This Row],[pi_last_name]]=" ","",HYPERLINK("mailto:"&amp;BudgetsTable[[#This Row],[pi_email]]&amp;"&amp;subject=Your NSF Proposal:  "&amp;BudgetsTable[[#This Row],[prop_id]],BudgetsTable[[#This Row],[pi_email]]))</f>
        <v/>
      </c>
      <c r="P50" s="80" t="s">
        <v>13</v>
      </c>
      <c r="Q50" s="80">
        <v>1</v>
      </c>
      <c r="R50" s="80">
        <v>0.25</v>
      </c>
      <c r="S50" s="81">
        <v>0</v>
      </c>
      <c r="T50" s="81">
        <v>0</v>
      </c>
      <c r="U50" s="81">
        <v>0</v>
      </c>
      <c r="V50" s="82">
        <v>102966</v>
      </c>
      <c r="W50" s="80">
        <v>0</v>
      </c>
      <c r="X50" s="80">
        <v>5</v>
      </c>
      <c r="Y50" s="11" t="str">
        <f ca="1">IF(ISBLANK(BudgetsTable[[#This Row],[budg_seq_yr]]),"FY"&amp;fiscalyear,"FY"&amp;fiscalyear-1+BudgetsTable[[#This Row],[budg_seq_yr]])</f>
        <v>FY22</v>
      </c>
      <c r="Z50" s="81">
        <v>102966</v>
      </c>
      <c r="AA50" s="80" t="s">
        <v>222</v>
      </c>
      <c r="AB50" s="80" t="s">
        <v>405</v>
      </c>
      <c r="AC50" s="80" t="s">
        <v>1012</v>
      </c>
    </row>
    <row r="51" spans="1:29" x14ac:dyDescent="0.4">
      <c r="A51" s="10" t="s">
        <v>1015</v>
      </c>
      <c r="B51" s="78" t="s">
        <v>96</v>
      </c>
      <c r="C51" s="78">
        <f>C50+(BudgetsTable[[#This Row],[lead]]&lt;&gt;K50)</f>
        <v>19</v>
      </c>
      <c r="D51" s="78">
        <f>D50*(BudgetsTable[[#This Row],[lead]]=K50)+(BudgetsTable[[#This Row],[prop_id]]&lt;&gt;A50)</f>
        <v>1</v>
      </c>
      <c r="E51" s="79">
        <v>42571.425000000003</v>
      </c>
      <c r="F51" s="80" t="s">
        <v>975</v>
      </c>
      <c r="G51" s="80" t="s">
        <v>222</v>
      </c>
      <c r="H51" s="80" t="s">
        <v>405</v>
      </c>
      <c r="I51" s="78" t="s">
        <v>422</v>
      </c>
      <c r="J51" s="78" t="s">
        <v>1019</v>
      </c>
      <c r="K51" s="80" t="s">
        <v>1015</v>
      </c>
      <c r="L51" s="7" t="str">
        <f>IF(BudgetsTable[[#This Row],[pi_last_name]]=" ","",HYPERLINK("https://www.ejacket.nsf.gov/ej/showProposal.do?Continue=Y&amp;ID="&amp;BudgetsTable[[#This Row],[prop_id]],BudgetsTable[[#This Row],[prop_id]]))</f>
        <v>1651952</v>
      </c>
      <c r="M51" s="15" t="str">
        <f>IF(BudgetsTable[[#This Row],[pi_last_name]]=" ","",HYPERLINK("https://www.ejacket.nsf.gov/ej/processReviewAnalysis.do?dispatch=add&amp;uniqId="&amp;BudgetsTable[[#This Row],[prop_id]]&amp;PO_id,"&gt;ra"))</f>
        <v>&gt;ra</v>
      </c>
      <c r="N51" s="80" t="s">
        <v>1016</v>
      </c>
      <c r="O51" s="7" t="str">
        <f>IF(BudgetsTable[[#This Row],[pi_last_name]]=" ","",HYPERLINK("mailto:"&amp;BudgetsTable[[#This Row],[pi_email]]&amp;"&amp;subject=Your NSF Proposal:  "&amp;BudgetsTable[[#This Row],[prop_id]],BudgetsTable[[#This Row],[pi_email]]))</f>
        <v>bjuba@wustl.edu</v>
      </c>
      <c r="P51" s="80" t="s">
        <v>1018</v>
      </c>
      <c r="Q51" s="80"/>
      <c r="R51" s="80"/>
      <c r="S51" s="81"/>
      <c r="T51" s="81"/>
      <c r="U51" s="81"/>
      <c r="V51" s="82"/>
      <c r="W51" s="80">
        <v>0</v>
      </c>
      <c r="X51" s="80"/>
      <c r="Y51" s="11" t="str">
        <f ca="1">IF(ISBLANK(BudgetsTable[[#This Row],[budg_seq_yr]]),"FY"&amp;fiscalyear,"FY"&amp;fiscalyear-1+BudgetsTable[[#This Row],[budg_seq_yr]])</f>
        <v>FY18</v>
      </c>
      <c r="Z51" s="81">
        <v>681281</v>
      </c>
      <c r="AA51" s="80" t="s">
        <v>222</v>
      </c>
      <c r="AB51" s="80" t="s">
        <v>405</v>
      </c>
      <c r="AC51" s="80" t="s">
        <v>1020</v>
      </c>
    </row>
    <row r="52" spans="1:29" x14ac:dyDescent="0.4">
      <c r="A52" s="10" t="s">
        <v>1015</v>
      </c>
      <c r="B52" s="78" t="s">
        <v>96</v>
      </c>
      <c r="C52" s="78">
        <f>C51+(BudgetsTable[[#This Row],[lead]]&lt;&gt;K51)</f>
        <v>19</v>
      </c>
      <c r="D52" s="78">
        <f>D51*(BudgetsTable[[#This Row],[lead]]=K51)+(BudgetsTable[[#This Row],[prop_id]]&lt;&gt;A51)</f>
        <v>1</v>
      </c>
      <c r="E52" s="79">
        <v>42571.425000000003</v>
      </c>
      <c r="F52" s="80" t="s">
        <v>975</v>
      </c>
      <c r="G52" s="80" t="s">
        <v>222</v>
      </c>
      <c r="H52" s="80" t="s">
        <v>405</v>
      </c>
      <c r="I52" s="78" t="s">
        <v>422</v>
      </c>
      <c r="J52" s="78" t="s">
        <v>13</v>
      </c>
      <c r="K52" s="80" t="s">
        <v>1015</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80" t="s">
        <v>13</v>
      </c>
      <c r="O52" s="7" t="str">
        <f>IF(BudgetsTable[[#This Row],[pi_last_name]]=" ","",HYPERLINK("mailto:"&amp;BudgetsTable[[#This Row],[pi_email]]&amp;"&amp;subject=Your NSF Proposal:  "&amp;BudgetsTable[[#This Row],[prop_id]],BudgetsTable[[#This Row],[pi_email]]))</f>
        <v/>
      </c>
      <c r="P52" s="80" t="s">
        <v>13</v>
      </c>
      <c r="Q52" s="80">
        <v>1</v>
      </c>
      <c r="R52" s="80">
        <v>1</v>
      </c>
      <c r="S52" s="81">
        <v>0</v>
      </c>
      <c r="T52" s="81">
        <v>3000</v>
      </c>
      <c r="U52" s="81">
        <v>8550</v>
      </c>
      <c r="V52" s="82">
        <v>135741</v>
      </c>
      <c r="W52" s="80">
        <v>0</v>
      </c>
      <c r="X52" s="80">
        <v>1</v>
      </c>
      <c r="Y52" s="11" t="str">
        <f ca="1">IF(ISBLANK(BudgetsTable[[#This Row],[budg_seq_yr]]),"FY"&amp;fiscalyear,"FY"&amp;fiscalyear-1+BudgetsTable[[#This Row],[budg_seq_yr]])</f>
        <v>FY18</v>
      </c>
      <c r="Z52" s="81">
        <v>135741</v>
      </c>
      <c r="AA52" s="80" t="s">
        <v>222</v>
      </c>
      <c r="AB52" s="80" t="s">
        <v>405</v>
      </c>
      <c r="AC52" s="80" t="s">
        <v>1020</v>
      </c>
    </row>
    <row r="53" spans="1:29" x14ac:dyDescent="0.4">
      <c r="A53" s="10" t="s">
        <v>1015</v>
      </c>
      <c r="B53" s="78" t="s">
        <v>96</v>
      </c>
      <c r="C53" s="78">
        <f>C52+(BudgetsTable[[#This Row],[lead]]&lt;&gt;K52)</f>
        <v>19</v>
      </c>
      <c r="D53" s="78">
        <f>D52*(BudgetsTable[[#This Row],[lead]]=K52)+(BudgetsTable[[#This Row],[prop_id]]&lt;&gt;A52)</f>
        <v>1</v>
      </c>
      <c r="E53" s="79">
        <v>42571.425000000003</v>
      </c>
      <c r="F53" s="80" t="s">
        <v>975</v>
      </c>
      <c r="G53" s="80" t="s">
        <v>222</v>
      </c>
      <c r="H53" s="80" t="s">
        <v>405</v>
      </c>
      <c r="I53" s="78" t="s">
        <v>422</v>
      </c>
      <c r="J53" s="78" t="s">
        <v>13</v>
      </c>
      <c r="K53" s="80" t="s">
        <v>1015</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80" t="s">
        <v>13</v>
      </c>
      <c r="O53" s="7" t="str">
        <f>IF(BudgetsTable[[#This Row],[pi_last_name]]=" ","",HYPERLINK("mailto:"&amp;BudgetsTable[[#This Row],[pi_email]]&amp;"&amp;subject=Your NSF Proposal:  "&amp;BudgetsTable[[#This Row],[prop_id]],BudgetsTable[[#This Row],[pi_email]]))</f>
        <v/>
      </c>
      <c r="P53" s="80" t="s">
        <v>13</v>
      </c>
      <c r="Q53" s="80">
        <v>1</v>
      </c>
      <c r="R53" s="80">
        <v>1</v>
      </c>
      <c r="S53" s="81">
        <v>0</v>
      </c>
      <c r="T53" s="81">
        <v>3000</v>
      </c>
      <c r="U53" s="81">
        <v>0</v>
      </c>
      <c r="V53" s="82">
        <v>130754</v>
      </c>
      <c r="W53" s="80">
        <v>0</v>
      </c>
      <c r="X53" s="80">
        <v>2</v>
      </c>
      <c r="Y53" s="11" t="str">
        <f ca="1">IF(ISBLANK(BudgetsTable[[#This Row],[budg_seq_yr]]),"FY"&amp;fiscalyear,"FY"&amp;fiscalyear-1+BudgetsTable[[#This Row],[budg_seq_yr]])</f>
        <v>FY19</v>
      </c>
      <c r="Z53" s="81">
        <v>130754</v>
      </c>
      <c r="AA53" s="80" t="s">
        <v>222</v>
      </c>
      <c r="AB53" s="80" t="s">
        <v>405</v>
      </c>
      <c r="AC53" s="80" t="s">
        <v>1020</v>
      </c>
    </row>
    <row r="54" spans="1:29" x14ac:dyDescent="0.4">
      <c r="A54" s="10" t="s">
        <v>1015</v>
      </c>
      <c r="B54" s="78" t="s">
        <v>96</v>
      </c>
      <c r="C54" s="78">
        <f>C53+(BudgetsTable[[#This Row],[lead]]&lt;&gt;K53)</f>
        <v>19</v>
      </c>
      <c r="D54" s="78">
        <f>D53*(BudgetsTable[[#This Row],[lead]]=K53)+(BudgetsTable[[#This Row],[prop_id]]&lt;&gt;A53)</f>
        <v>1</v>
      </c>
      <c r="E54" s="79">
        <v>42571.425000000003</v>
      </c>
      <c r="F54" s="80" t="s">
        <v>975</v>
      </c>
      <c r="G54" s="80" t="s">
        <v>222</v>
      </c>
      <c r="H54" s="80" t="s">
        <v>405</v>
      </c>
      <c r="I54" s="78" t="s">
        <v>422</v>
      </c>
      <c r="J54" s="78" t="s">
        <v>13</v>
      </c>
      <c r="K54" s="80" t="s">
        <v>1015</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80" t="s">
        <v>13</v>
      </c>
      <c r="O54" s="7" t="str">
        <f>IF(BudgetsTable[[#This Row],[pi_last_name]]=" ","",HYPERLINK("mailto:"&amp;BudgetsTable[[#This Row],[pi_email]]&amp;"&amp;subject=Your NSF Proposal:  "&amp;BudgetsTable[[#This Row],[prop_id]],BudgetsTable[[#This Row],[pi_email]]))</f>
        <v/>
      </c>
      <c r="P54" s="80" t="s">
        <v>13</v>
      </c>
      <c r="Q54" s="80">
        <v>1</v>
      </c>
      <c r="R54" s="80">
        <v>1</v>
      </c>
      <c r="S54" s="81">
        <v>0</v>
      </c>
      <c r="T54" s="81">
        <v>3000</v>
      </c>
      <c r="U54" s="81">
        <v>0</v>
      </c>
      <c r="V54" s="82">
        <v>134429</v>
      </c>
      <c r="W54" s="80">
        <v>0</v>
      </c>
      <c r="X54" s="80">
        <v>3</v>
      </c>
      <c r="Y54" s="11" t="str">
        <f ca="1">IF(ISBLANK(BudgetsTable[[#This Row],[budg_seq_yr]]),"FY"&amp;fiscalyear,"FY"&amp;fiscalyear-1+BudgetsTable[[#This Row],[budg_seq_yr]])</f>
        <v>FY20</v>
      </c>
      <c r="Z54" s="81">
        <v>134429</v>
      </c>
      <c r="AA54" s="80" t="s">
        <v>222</v>
      </c>
      <c r="AB54" s="80" t="s">
        <v>405</v>
      </c>
      <c r="AC54" s="80" t="s">
        <v>1020</v>
      </c>
    </row>
    <row r="55" spans="1:29" x14ac:dyDescent="0.4">
      <c r="A55" s="10" t="s">
        <v>1015</v>
      </c>
      <c r="B55" s="78" t="s">
        <v>96</v>
      </c>
      <c r="C55" s="78">
        <f>C54+(BudgetsTable[[#This Row],[lead]]&lt;&gt;K54)</f>
        <v>19</v>
      </c>
      <c r="D55" s="78">
        <f>D54*(BudgetsTable[[#This Row],[lead]]=K54)+(BudgetsTable[[#This Row],[prop_id]]&lt;&gt;A54)</f>
        <v>1</v>
      </c>
      <c r="E55" s="79">
        <v>42571.425000000003</v>
      </c>
      <c r="F55" s="80" t="s">
        <v>975</v>
      </c>
      <c r="G55" s="80" t="s">
        <v>222</v>
      </c>
      <c r="H55" s="80" t="s">
        <v>405</v>
      </c>
      <c r="I55" s="78" t="s">
        <v>422</v>
      </c>
      <c r="J55" s="78" t="s">
        <v>13</v>
      </c>
      <c r="K55" s="80" t="s">
        <v>1015</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80" t="s">
        <v>13</v>
      </c>
      <c r="O55" s="7" t="str">
        <f>IF(BudgetsTable[[#This Row],[pi_last_name]]=" ","",HYPERLINK("mailto:"&amp;BudgetsTable[[#This Row],[pi_email]]&amp;"&amp;subject=Your NSF Proposal:  "&amp;BudgetsTable[[#This Row],[prop_id]],BudgetsTable[[#This Row],[pi_email]]))</f>
        <v/>
      </c>
      <c r="P55" s="80" t="s">
        <v>13</v>
      </c>
      <c r="Q55" s="80">
        <v>1</v>
      </c>
      <c r="R55" s="80">
        <v>1</v>
      </c>
      <c r="S55" s="81">
        <v>0</v>
      </c>
      <c r="T55" s="81">
        <v>3000</v>
      </c>
      <c r="U55" s="81">
        <v>0</v>
      </c>
      <c r="V55" s="82">
        <v>138218</v>
      </c>
      <c r="W55" s="80">
        <v>0</v>
      </c>
      <c r="X55" s="80">
        <v>4</v>
      </c>
      <c r="Y55" s="11" t="str">
        <f ca="1">IF(ISBLANK(BudgetsTable[[#This Row],[budg_seq_yr]]),"FY"&amp;fiscalyear,"FY"&amp;fiscalyear-1+BudgetsTable[[#This Row],[budg_seq_yr]])</f>
        <v>FY21</v>
      </c>
      <c r="Z55" s="81">
        <v>138218</v>
      </c>
      <c r="AA55" s="80" t="s">
        <v>222</v>
      </c>
      <c r="AB55" s="80" t="s">
        <v>405</v>
      </c>
      <c r="AC55" s="80" t="s">
        <v>1020</v>
      </c>
    </row>
    <row r="56" spans="1:29" x14ac:dyDescent="0.4">
      <c r="A56" s="10" t="s">
        <v>1015</v>
      </c>
      <c r="B56" s="78" t="s">
        <v>96</v>
      </c>
      <c r="C56" s="78">
        <f>C55+(BudgetsTable[[#This Row],[lead]]&lt;&gt;K55)</f>
        <v>19</v>
      </c>
      <c r="D56" s="78">
        <f>D55*(BudgetsTable[[#This Row],[lead]]=K55)+(BudgetsTable[[#This Row],[prop_id]]&lt;&gt;A55)</f>
        <v>1</v>
      </c>
      <c r="E56" s="79">
        <v>42571.425000000003</v>
      </c>
      <c r="F56" s="80" t="s">
        <v>975</v>
      </c>
      <c r="G56" s="80" t="s">
        <v>222</v>
      </c>
      <c r="H56" s="80" t="s">
        <v>405</v>
      </c>
      <c r="I56" s="78" t="s">
        <v>422</v>
      </c>
      <c r="J56" s="78" t="s">
        <v>13</v>
      </c>
      <c r="K56" s="80" t="s">
        <v>1015</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80" t="s">
        <v>13</v>
      </c>
      <c r="O56" s="7" t="str">
        <f>IF(BudgetsTable[[#This Row],[pi_last_name]]=" ","",HYPERLINK("mailto:"&amp;BudgetsTable[[#This Row],[pi_email]]&amp;"&amp;subject=Your NSF Proposal:  "&amp;BudgetsTable[[#This Row],[prop_id]],BudgetsTable[[#This Row],[pi_email]]))</f>
        <v/>
      </c>
      <c r="P56" s="80" t="s">
        <v>13</v>
      </c>
      <c r="Q56" s="80">
        <v>1</v>
      </c>
      <c r="R56" s="80">
        <v>1</v>
      </c>
      <c r="S56" s="81">
        <v>0</v>
      </c>
      <c r="T56" s="81">
        <v>3000</v>
      </c>
      <c r="U56" s="81">
        <v>0</v>
      </c>
      <c r="V56" s="82">
        <v>142139</v>
      </c>
      <c r="W56" s="80">
        <v>0</v>
      </c>
      <c r="X56" s="80">
        <v>5</v>
      </c>
      <c r="Y56" s="11" t="str">
        <f ca="1">IF(ISBLANK(BudgetsTable[[#This Row],[budg_seq_yr]]),"FY"&amp;fiscalyear,"FY"&amp;fiscalyear-1+BudgetsTable[[#This Row],[budg_seq_yr]])</f>
        <v>FY22</v>
      </c>
      <c r="Z56" s="81">
        <v>142139</v>
      </c>
      <c r="AA56" s="80" t="s">
        <v>222</v>
      </c>
      <c r="AB56" s="80" t="s">
        <v>405</v>
      </c>
      <c r="AC56" s="80" t="s">
        <v>1020</v>
      </c>
    </row>
    <row r="57" spans="1:29" x14ac:dyDescent="0.4">
      <c r="A57" s="10" t="s">
        <v>1023</v>
      </c>
      <c r="B57" s="78" t="s">
        <v>96</v>
      </c>
      <c r="C57" s="78">
        <f>C56+(BudgetsTable[[#This Row],[lead]]&lt;&gt;K56)</f>
        <v>20</v>
      </c>
      <c r="D57" s="78">
        <f>D56*(BudgetsTable[[#This Row],[lead]]=K56)+(BudgetsTable[[#This Row],[prop_id]]&lt;&gt;A56)</f>
        <v>1</v>
      </c>
      <c r="E57" s="79">
        <v>42571.428472222222</v>
      </c>
      <c r="F57" s="80" t="s">
        <v>975</v>
      </c>
      <c r="G57" s="80" t="s">
        <v>222</v>
      </c>
      <c r="H57" s="80" t="s">
        <v>405</v>
      </c>
      <c r="I57" s="78" t="s">
        <v>451</v>
      </c>
      <c r="J57" s="78" t="s">
        <v>425</v>
      </c>
      <c r="K57" s="80" t="s">
        <v>1023</v>
      </c>
      <c r="L57" s="7" t="str">
        <f>IF(BudgetsTable[[#This Row],[pi_last_name]]=" ","",HYPERLINK("https://www.ejacket.nsf.gov/ej/showProposal.do?Continue=Y&amp;ID="&amp;BudgetsTable[[#This Row],[prop_id]],BudgetsTable[[#This Row],[prop_id]]))</f>
        <v>1651964</v>
      </c>
      <c r="M57" s="15" t="str">
        <f>IF(BudgetsTable[[#This Row],[pi_last_name]]=" ","",HYPERLINK("https://www.ejacket.nsf.gov/ej/processReviewAnalysis.do?dispatch=add&amp;uniqId="&amp;BudgetsTable[[#This Row],[prop_id]]&amp;PO_id,"&gt;ra"))</f>
        <v>&gt;ra</v>
      </c>
      <c r="N57" s="80" t="s">
        <v>423</v>
      </c>
      <c r="O57" s="7" t="str">
        <f>IF(BudgetsTable[[#This Row],[pi_last_name]]=" ","",HYPERLINK("mailto:"&amp;BudgetsTable[[#This Row],[pi_email]]&amp;"&amp;subject=Your NSF Proposal:  "&amp;BudgetsTable[[#This Row],[prop_id]],BudgetsTable[[#This Row],[pi_email]]))</f>
        <v>bmoseley@seas.wustl.edu</v>
      </c>
      <c r="P57" s="80" t="s">
        <v>1018</v>
      </c>
      <c r="Q57" s="80"/>
      <c r="R57" s="80"/>
      <c r="S57" s="81"/>
      <c r="T57" s="81"/>
      <c r="U57" s="81"/>
      <c r="V57" s="82"/>
      <c r="W57" s="80">
        <v>0</v>
      </c>
      <c r="X57" s="80"/>
      <c r="Y57" s="11" t="str">
        <f ca="1">IF(ISBLANK(BudgetsTable[[#This Row],[budg_seq_yr]]),"FY"&amp;fiscalyear,"FY"&amp;fiscalyear-1+BudgetsTable[[#This Row],[budg_seq_yr]])</f>
        <v>FY18</v>
      </c>
      <c r="Z57" s="81">
        <v>517179</v>
      </c>
      <c r="AA57" s="80" t="s">
        <v>222</v>
      </c>
      <c r="AB57" s="80" t="s">
        <v>405</v>
      </c>
      <c r="AC57" s="80" t="s">
        <v>1020</v>
      </c>
    </row>
    <row r="58" spans="1:29" x14ac:dyDescent="0.4">
      <c r="A58" s="10" t="s">
        <v>1023</v>
      </c>
      <c r="B58" s="78" t="s">
        <v>96</v>
      </c>
      <c r="C58" s="78">
        <f>C57+(BudgetsTable[[#This Row],[lead]]&lt;&gt;K57)</f>
        <v>20</v>
      </c>
      <c r="D58" s="78">
        <f>D57*(BudgetsTable[[#This Row],[lead]]=K57)+(BudgetsTable[[#This Row],[prop_id]]&lt;&gt;A57)</f>
        <v>1</v>
      </c>
      <c r="E58" s="79">
        <v>42571.428472222222</v>
      </c>
      <c r="F58" s="80" t="s">
        <v>975</v>
      </c>
      <c r="G58" s="80" t="s">
        <v>222</v>
      </c>
      <c r="H58" s="80" t="s">
        <v>405</v>
      </c>
      <c r="I58" s="78" t="s">
        <v>451</v>
      </c>
      <c r="J58" s="78" t="s">
        <v>13</v>
      </c>
      <c r="K58" s="80" t="s">
        <v>1023</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80" t="s">
        <v>13</v>
      </c>
      <c r="O58" s="7" t="str">
        <f>IF(BudgetsTable[[#This Row],[pi_last_name]]=" ","",HYPERLINK("mailto:"&amp;BudgetsTable[[#This Row],[pi_email]]&amp;"&amp;subject=Your NSF Proposal:  "&amp;BudgetsTable[[#This Row],[prop_id]],BudgetsTable[[#This Row],[pi_email]]))</f>
        <v/>
      </c>
      <c r="P58" s="80" t="s">
        <v>13</v>
      </c>
      <c r="Q58" s="80">
        <v>1</v>
      </c>
      <c r="R58" s="80">
        <v>1</v>
      </c>
      <c r="S58" s="81">
        <v>0</v>
      </c>
      <c r="T58" s="81">
        <v>0</v>
      </c>
      <c r="U58" s="81">
        <v>0</v>
      </c>
      <c r="V58" s="82">
        <v>95361</v>
      </c>
      <c r="W58" s="80">
        <v>0</v>
      </c>
      <c r="X58" s="80">
        <v>1</v>
      </c>
      <c r="Y58" s="11" t="str">
        <f ca="1">IF(ISBLANK(BudgetsTable[[#This Row],[budg_seq_yr]]),"FY"&amp;fiscalyear,"FY"&amp;fiscalyear-1+BudgetsTable[[#This Row],[budg_seq_yr]])</f>
        <v>FY18</v>
      </c>
      <c r="Z58" s="81">
        <v>95361</v>
      </c>
      <c r="AA58" s="80" t="s">
        <v>222</v>
      </c>
      <c r="AB58" s="80" t="s">
        <v>405</v>
      </c>
      <c r="AC58" s="80" t="s">
        <v>1020</v>
      </c>
    </row>
    <row r="59" spans="1:29" x14ac:dyDescent="0.4">
      <c r="A59" s="10" t="s">
        <v>1023</v>
      </c>
      <c r="B59" s="78" t="s">
        <v>96</v>
      </c>
      <c r="C59" s="78">
        <f>C58+(BudgetsTable[[#This Row],[lead]]&lt;&gt;K58)</f>
        <v>20</v>
      </c>
      <c r="D59" s="78">
        <f>D58*(BudgetsTable[[#This Row],[lead]]=K58)+(BudgetsTable[[#This Row],[prop_id]]&lt;&gt;A58)</f>
        <v>1</v>
      </c>
      <c r="E59" s="79">
        <v>42571.428472222222</v>
      </c>
      <c r="F59" s="80" t="s">
        <v>975</v>
      </c>
      <c r="G59" s="80" t="s">
        <v>222</v>
      </c>
      <c r="H59" s="80" t="s">
        <v>405</v>
      </c>
      <c r="I59" s="78" t="s">
        <v>451</v>
      </c>
      <c r="J59" s="78" t="s">
        <v>13</v>
      </c>
      <c r="K59" s="80" t="s">
        <v>1023</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80" t="s">
        <v>13</v>
      </c>
      <c r="O59" s="7" t="str">
        <f>IF(BudgetsTable[[#This Row],[pi_last_name]]=" ","",HYPERLINK("mailto:"&amp;BudgetsTable[[#This Row],[pi_email]]&amp;"&amp;subject=Your NSF Proposal:  "&amp;BudgetsTable[[#This Row],[prop_id]],BudgetsTable[[#This Row],[pi_email]]))</f>
        <v/>
      </c>
      <c r="P59" s="80" t="s">
        <v>13</v>
      </c>
      <c r="Q59" s="80">
        <v>1</v>
      </c>
      <c r="R59" s="80">
        <v>1</v>
      </c>
      <c r="S59" s="81">
        <v>0</v>
      </c>
      <c r="T59" s="81">
        <v>0</v>
      </c>
      <c r="U59" s="81">
        <v>0</v>
      </c>
      <c r="V59" s="82">
        <v>90018</v>
      </c>
      <c r="W59" s="80">
        <v>0</v>
      </c>
      <c r="X59" s="80">
        <v>2</v>
      </c>
      <c r="Y59" s="11" t="str">
        <f ca="1">IF(ISBLANK(BudgetsTable[[#This Row],[budg_seq_yr]]),"FY"&amp;fiscalyear,"FY"&amp;fiscalyear-1+BudgetsTable[[#This Row],[budg_seq_yr]])</f>
        <v>FY19</v>
      </c>
      <c r="Z59" s="81">
        <v>90018</v>
      </c>
      <c r="AA59" s="80" t="s">
        <v>222</v>
      </c>
      <c r="AB59" s="80" t="s">
        <v>405</v>
      </c>
      <c r="AC59" s="80" t="s">
        <v>1020</v>
      </c>
    </row>
    <row r="60" spans="1:29" x14ac:dyDescent="0.4">
      <c r="A60" s="10" t="s">
        <v>1023</v>
      </c>
      <c r="B60" s="78" t="s">
        <v>96</v>
      </c>
      <c r="C60" s="78">
        <f>C59+(BudgetsTable[[#This Row],[lead]]&lt;&gt;K59)</f>
        <v>20</v>
      </c>
      <c r="D60" s="78">
        <f>D59*(BudgetsTable[[#This Row],[lead]]=K59)+(BudgetsTable[[#This Row],[prop_id]]&lt;&gt;A59)</f>
        <v>1</v>
      </c>
      <c r="E60" s="79">
        <v>42571.428472222222</v>
      </c>
      <c r="F60" s="80" t="s">
        <v>975</v>
      </c>
      <c r="G60" s="80" t="s">
        <v>222</v>
      </c>
      <c r="H60" s="80" t="s">
        <v>405</v>
      </c>
      <c r="I60" s="78" t="s">
        <v>451</v>
      </c>
      <c r="J60" s="78" t="s">
        <v>13</v>
      </c>
      <c r="K60" s="80" t="s">
        <v>1023</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80" t="s">
        <v>13</v>
      </c>
      <c r="O60" s="7" t="str">
        <f>IF(BudgetsTable[[#This Row],[pi_last_name]]=" ","",HYPERLINK("mailto:"&amp;BudgetsTable[[#This Row],[pi_email]]&amp;"&amp;subject=Your NSF Proposal:  "&amp;BudgetsTable[[#This Row],[prop_id]],BudgetsTable[[#This Row],[pi_email]]))</f>
        <v/>
      </c>
      <c r="P60" s="80" t="s">
        <v>13</v>
      </c>
      <c r="Q60" s="80">
        <v>1</v>
      </c>
      <c r="R60" s="80">
        <v>1</v>
      </c>
      <c r="S60" s="81">
        <v>0</v>
      </c>
      <c r="T60" s="81">
        <v>0</v>
      </c>
      <c r="U60" s="81">
        <v>0</v>
      </c>
      <c r="V60" s="82">
        <v>92215</v>
      </c>
      <c r="W60" s="80">
        <v>0</v>
      </c>
      <c r="X60" s="80">
        <v>3</v>
      </c>
      <c r="Y60" s="11" t="str">
        <f ca="1">IF(ISBLANK(BudgetsTable[[#This Row],[budg_seq_yr]]),"FY"&amp;fiscalyear,"FY"&amp;fiscalyear-1+BudgetsTable[[#This Row],[budg_seq_yr]])</f>
        <v>FY20</v>
      </c>
      <c r="Z60" s="81">
        <v>92215</v>
      </c>
      <c r="AA60" s="80" t="s">
        <v>222</v>
      </c>
      <c r="AB60" s="80" t="s">
        <v>405</v>
      </c>
      <c r="AC60" s="80" t="s">
        <v>1020</v>
      </c>
    </row>
    <row r="61" spans="1:29" x14ac:dyDescent="0.4">
      <c r="A61" s="10" t="s">
        <v>1023</v>
      </c>
      <c r="B61" s="78" t="s">
        <v>96</v>
      </c>
      <c r="C61" s="78">
        <f>C60+(BudgetsTable[[#This Row],[lead]]&lt;&gt;K60)</f>
        <v>20</v>
      </c>
      <c r="D61" s="78">
        <f>D60*(BudgetsTable[[#This Row],[lead]]=K60)+(BudgetsTable[[#This Row],[prop_id]]&lt;&gt;A60)</f>
        <v>1</v>
      </c>
      <c r="E61" s="79">
        <v>42571.428472222222</v>
      </c>
      <c r="F61" s="80" t="s">
        <v>975</v>
      </c>
      <c r="G61" s="80" t="s">
        <v>222</v>
      </c>
      <c r="H61" s="80" t="s">
        <v>405</v>
      </c>
      <c r="I61" s="78" t="s">
        <v>451</v>
      </c>
      <c r="J61" s="78" t="s">
        <v>13</v>
      </c>
      <c r="K61" s="80" t="s">
        <v>1023</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80" t="s">
        <v>13</v>
      </c>
      <c r="O61" s="7" t="str">
        <f>IF(BudgetsTable[[#This Row],[pi_last_name]]=" ","",HYPERLINK("mailto:"&amp;BudgetsTable[[#This Row],[pi_email]]&amp;"&amp;subject=Your NSF Proposal:  "&amp;BudgetsTable[[#This Row],[prop_id]],BudgetsTable[[#This Row],[pi_email]]))</f>
        <v/>
      </c>
      <c r="P61" s="80" t="s">
        <v>13</v>
      </c>
      <c r="Q61" s="80">
        <v>1</v>
      </c>
      <c r="R61" s="80">
        <v>2</v>
      </c>
      <c r="S61" s="81">
        <v>0</v>
      </c>
      <c r="T61" s="81">
        <v>0</v>
      </c>
      <c r="U61" s="81">
        <v>0</v>
      </c>
      <c r="V61" s="82">
        <v>118229</v>
      </c>
      <c r="W61" s="80">
        <v>0</v>
      </c>
      <c r="X61" s="80">
        <v>4</v>
      </c>
      <c r="Y61" s="11" t="str">
        <f ca="1">IF(ISBLANK(BudgetsTable[[#This Row],[budg_seq_yr]]),"FY"&amp;fiscalyear,"FY"&amp;fiscalyear-1+BudgetsTable[[#This Row],[budg_seq_yr]])</f>
        <v>FY21</v>
      </c>
      <c r="Z61" s="81">
        <v>118229</v>
      </c>
      <c r="AA61" s="80" t="s">
        <v>222</v>
      </c>
      <c r="AB61" s="80" t="s">
        <v>405</v>
      </c>
      <c r="AC61" s="80" t="s">
        <v>1020</v>
      </c>
    </row>
    <row r="62" spans="1:29" x14ac:dyDescent="0.4">
      <c r="A62" s="10" t="s">
        <v>1023</v>
      </c>
      <c r="B62" s="78" t="s">
        <v>96</v>
      </c>
      <c r="C62" s="78">
        <f>C61+(BudgetsTable[[#This Row],[lead]]&lt;&gt;K61)</f>
        <v>20</v>
      </c>
      <c r="D62" s="78">
        <f>D61*(BudgetsTable[[#This Row],[lead]]=K61)+(BudgetsTable[[#This Row],[prop_id]]&lt;&gt;A61)</f>
        <v>1</v>
      </c>
      <c r="E62" s="79">
        <v>42571.428472222222</v>
      </c>
      <c r="F62" s="80" t="s">
        <v>975</v>
      </c>
      <c r="G62" s="80" t="s">
        <v>222</v>
      </c>
      <c r="H62" s="80" t="s">
        <v>405</v>
      </c>
      <c r="I62" s="78" t="s">
        <v>451</v>
      </c>
      <c r="J62" s="78" t="s">
        <v>13</v>
      </c>
      <c r="K62" s="80" t="s">
        <v>1023</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80" t="s">
        <v>13</v>
      </c>
      <c r="O62" s="7" t="str">
        <f>IF(BudgetsTable[[#This Row],[pi_last_name]]=" ","",HYPERLINK("mailto:"&amp;BudgetsTable[[#This Row],[pi_email]]&amp;"&amp;subject=Your NSF Proposal:  "&amp;BudgetsTable[[#This Row],[prop_id]],BudgetsTable[[#This Row],[pi_email]]))</f>
        <v/>
      </c>
      <c r="P62" s="80" t="s">
        <v>13</v>
      </c>
      <c r="Q62" s="80">
        <v>1</v>
      </c>
      <c r="R62" s="80">
        <v>1</v>
      </c>
      <c r="S62" s="81">
        <v>0</v>
      </c>
      <c r="T62" s="81">
        <v>0</v>
      </c>
      <c r="U62" s="81">
        <v>0</v>
      </c>
      <c r="V62" s="82">
        <v>121356</v>
      </c>
      <c r="W62" s="80">
        <v>0</v>
      </c>
      <c r="X62" s="80">
        <v>5</v>
      </c>
      <c r="Y62" s="11" t="str">
        <f ca="1">IF(ISBLANK(BudgetsTable[[#This Row],[budg_seq_yr]]),"FY"&amp;fiscalyear,"FY"&amp;fiscalyear-1+BudgetsTable[[#This Row],[budg_seq_yr]])</f>
        <v>FY22</v>
      </c>
      <c r="Z62" s="81">
        <v>121356</v>
      </c>
      <c r="AA62" s="80" t="s">
        <v>222</v>
      </c>
      <c r="AB62" s="80" t="s">
        <v>405</v>
      </c>
      <c r="AC62" s="80" t="s">
        <v>1020</v>
      </c>
    </row>
    <row r="63" spans="1:29" x14ac:dyDescent="0.4">
      <c r="A63" s="10" t="s">
        <v>1025</v>
      </c>
      <c r="B63" s="78" t="s">
        <v>96</v>
      </c>
      <c r="C63" s="78">
        <f>C62+(BudgetsTable[[#This Row],[lead]]&lt;&gt;K62)</f>
        <v>21</v>
      </c>
      <c r="D63" s="78">
        <f>D62*(BudgetsTable[[#This Row],[lead]]=K62)+(BudgetsTable[[#This Row],[prop_id]]&lt;&gt;A62)</f>
        <v>1</v>
      </c>
      <c r="E63" s="79">
        <v>42571.431250000001</v>
      </c>
      <c r="F63" s="80" t="s">
        <v>975</v>
      </c>
      <c r="G63" s="80" t="s">
        <v>222</v>
      </c>
      <c r="H63" s="80" t="s">
        <v>405</v>
      </c>
      <c r="I63" s="78" t="s">
        <v>451</v>
      </c>
      <c r="J63" s="78" t="s">
        <v>1029</v>
      </c>
      <c r="K63" s="80" t="s">
        <v>1025</v>
      </c>
      <c r="L63" s="7" t="str">
        <f>IF(BudgetsTable[[#This Row],[pi_last_name]]=" ","",HYPERLINK("https://www.ejacket.nsf.gov/ej/showProposal.do?Continue=Y&amp;ID="&amp;BudgetsTable[[#This Row],[prop_id]],BudgetsTable[[#This Row],[prop_id]]))</f>
        <v>1651970</v>
      </c>
      <c r="M63" s="15" t="str">
        <f>IF(BudgetsTable[[#This Row],[pi_last_name]]=" ","",HYPERLINK("https://www.ejacket.nsf.gov/ej/processReviewAnalysis.do?dispatch=add&amp;uniqId="&amp;BudgetsTable[[#This Row],[prop_id]]&amp;PO_id,"&gt;ra"))</f>
        <v>&gt;ra</v>
      </c>
      <c r="N63" s="80" t="s">
        <v>1026</v>
      </c>
      <c r="O63" s="7" t="str">
        <f>IF(BudgetsTable[[#This Row],[pi_last_name]]=" ","",HYPERLINK("mailto:"&amp;BudgetsTable[[#This Row],[pi_email]]&amp;"&amp;subject=Your NSF Proposal:  "&amp;BudgetsTable[[#This Row],[prop_id]],BudgetsTable[[#This Row],[pi_email]]))</f>
        <v>jullman@ccs.neu.edu</v>
      </c>
      <c r="P63" s="80" t="s">
        <v>1028</v>
      </c>
      <c r="Q63" s="80"/>
      <c r="R63" s="80"/>
      <c r="S63" s="81"/>
      <c r="T63" s="81"/>
      <c r="U63" s="81"/>
      <c r="V63" s="82"/>
      <c r="W63" s="80">
        <v>0</v>
      </c>
      <c r="X63" s="80"/>
      <c r="Y63" s="11" t="str">
        <f ca="1">IF(ISBLANK(BudgetsTable[[#This Row],[budg_seq_yr]]),"FY"&amp;fiscalyear,"FY"&amp;fiscalyear-1+BudgetsTable[[#This Row],[budg_seq_yr]])</f>
        <v>FY18</v>
      </c>
      <c r="Z63" s="81">
        <v>535891</v>
      </c>
      <c r="AA63" s="80" t="s">
        <v>222</v>
      </c>
      <c r="AB63" s="80" t="s">
        <v>405</v>
      </c>
      <c r="AC63" s="80" t="s">
        <v>411</v>
      </c>
    </row>
    <row r="64" spans="1:29" x14ac:dyDescent="0.4">
      <c r="A64" s="10" t="s">
        <v>1025</v>
      </c>
      <c r="B64" s="78" t="s">
        <v>96</v>
      </c>
      <c r="C64" s="78">
        <f>C63+(BudgetsTable[[#This Row],[lead]]&lt;&gt;K63)</f>
        <v>21</v>
      </c>
      <c r="D64" s="78">
        <f>D63*(BudgetsTable[[#This Row],[lead]]=K63)+(BudgetsTable[[#This Row],[prop_id]]&lt;&gt;A63)</f>
        <v>1</v>
      </c>
      <c r="E64" s="79">
        <v>42571.431250000001</v>
      </c>
      <c r="F64" s="80" t="s">
        <v>975</v>
      </c>
      <c r="G64" s="80" t="s">
        <v>222</v>
      </c>
      <c r="H64" s="80" t="s">
        <v>405</v>
      </c>
      <c r="I64" s="78" t="s">
        <v>451</v>
      </c>
      <c r="J64" s="78" t="s">
        <v>13</v>
      </c>
      <c r="K64" s="80" t="s">
        <v>1025</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80" t="s">
        <v>13</v>
      </c>
      <c r="O64" s="7" t="str">
        <f>IF(BudgetsTable[[#This Row],[pi_last_name]]=" ","",HYPERLINK("mailto:"&amp;BudgetsTable[[#This Row],[pi_email]]&amp;"&amp;subject=Your NSF Proposal:  "&amp;BudgetsTable[[#This Row],[prop_id]],BudgetsTable[[#This Row],[pi_email]]))</f>
        <v/>
      </c>
      <c r="P64" s="80" t="s">
        <v>13</v>
      </c>
      <c r="Q64" s="80">
        <v>1</v>
      </c>
      <c r="R64" s="80">
        <v>1</v>
      </c>
      <c r="S64" s="81">
        <v>0</v>
      </c>
      <c r="T64" s="81">
        <v>3000</v>
      </c>
      <c r="U64" s="81">
        <v>0</v>
      </c>
      <c r="V64" s="82">
        <v>100938</v>
      </c>
      <c r="W64" s="80">
        <v>0</v>
      </c>
      <c r="X64" s="80">
        <v>1</v>
      </c>
      <c r="Y64" s="11" t="str">
        <f ca="1">IF(ISBLANK(BudgetsTable[[#This Row],[budg_seq_yr]]),"FY"&amp;fiscalyear,"FY"&amp;fiscalyear-1+BudgetsTable[[#This Row],[budg_seq_yr]])</f>
        <v>FY18</v>
      </c>
      <c r="Z64" s="81">
        <v>100938</v>
      </c>
      <c r="AA64" s="80" t="s">
        <v>222</v>
      </c>
      <c r="AB64" s="80" t="s">
        <v>405</v>
      </c>
      <c r="AC64" s="80" t="s">
        <v>411</v>
      </c>
    </row>
    <row r="65" spans="1:29" x14ac:dyDescent="0.4">
      <c r="A65" s="10" t="s">
        <v>1025</v>
      </c>
      <c r="B65" s="78" t="s">
        <v>96</v>
      </c>
      <c r="C65" s="78">
        <f>C64+(BudgetsTable[[#This Row],[lead]]&lt;&gt;K64)</f>
        <v>21</v>
      </c>
      <c r="D65" s="78">
        <f>D64*(BudgetsTable[[#This Row],[lead]]=K64)+(BudgetsTable[[#This Row],[prop_id]]&lt;&gt;A64)</f>
        <v>1</v>
      </c>
      <c r="E65" s="79">
        <v>42571.431250000001</v>
      </c>
      <c r="F65" s="80" t="s">
        <v>975</v>
      </c>
      <c r="G65" s="80" t="s">
        <v>222</v>
      </c>
      <c r="H65" s="80" t="s">
        <v>405</v>
      </c>
      <c r="I65" s="78" t="s">
        <v>451</v>
      </c>
      <c r="J65" s="78" t="s">
        <v>13</v>
      </c>
      <c r="K65" s="80" t="s">
        <v>1025</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80" t="s">
        <v>13</v>
      </c>
      <c r="O65" s="7" t="str">
        <f>IF(BudgetsTable[[#This Row],[pi_last_name]]=" ","",HYPERLINK("mailto:"&amp;BudgetsTable[[#This Row],[pi_email]]&amp;"&amp;subject=Your NSF Proposal:  "&amp;BudgetsTable[[#This Row],[prop_id]],BudgetsTable[[#This Row],[pi_email]]))</f>
        <v/>
      </c>
      <c r="P65" s="80" t="s">
        <v>13</v>
      </c>
      <c r="Q65" s="80">
        <v>1</v>
      </c>
      <c r="R65" s="80">
        <v>1</v>
      </c>
      <c r="S65" s="81">
        <v>0</v>
      </c>
      <c r="T65" s="81">
        <v>3090</v>
      </c>
      <c r="U65" s="81">
        <v>0</v>
      </c>
      <c r="V65" s="82">
        <v>103965</v>
      </c>
      <c r="W65" s="80">
        <v>0</v>
      </c>
      <c r="X65" s="80">
        <v>2</v>
      </c>
      <c r="Y65" s="11" t="str">
        <f ca="1">IF(ISBLANK(BudgetsTable[[#This Row],[budg_seq_yr]]),"FY"&amp;fiscalyear,"FY"&amp;fiscalyear-1+BudgetsTable[[#This Row],[budg_seq_yr]])</f>
        <v>FY19</v>
      </c>
      <c r="Z65" s="81">
        <v>103965</v>
      </c>
      <c r="AA65" s="80" t="s">
        <v>222</v>
      </c>
      <c r="AB65" s="80" t="s">
        <v>405</v>
      </c>
      <c r="AC65" s="80" t="s">
        <v>411</v>
      </c>
    </row>
    <row r="66" spans="1:29" x14ac:dyDescent="0.4">
      <c r="A66" s="10" t="s">
        <v>1025</v>
      </c>
      <c r="B66" s="78" t="s">
        <v>96</v>
      </c>
      <c r="C66" s="78">
        <f>C65+(BudgetsTable[[#This Row],[lead]]&lt;&gt;K65)</f>
        <v>21</v>
      </c>
      <c r="D66" s="78">
        <f>D65*(BudgetsTable[[#This Row],[lead]]=K65)+(BudgetsTable[[#This Row],[prop_id]]&lt;&gt;A65)</f>
        <v>1</v>
      </c>
      <c r="E66" s="79">
        <v>42571.431250000001</v>
      </c>
      <c r="F66" s="80" t="s">
        <v>975</v>
      </c>
      <c r="G66" s="80" t="s">
        <v>222</v>
      </c>
      <c r="H66" s="80" t="s">
        <v>405</v>
      </c>
      <c r="I66" s="78" t="s">
        <v>451</v>
      </c>
      <c r="J66" s="78" t="s">
        <v>13</v>
      </c>
      <c r="K66" s="80" t="s">
        <v>1025</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80" t="s">
        <v>13</v>
      </c>
      <c r="O66" s="7" t="str">
        <f>IF(BudgetsTable[[#This Row],[pi_last_name]]=" ","",HYPERLINK("mailto:"&amp;BudgetsTable[[#This Row],[pi_email]]&amp;"&amp;subject=Your NSF Proposal:  "&amp;BudgetsTable[[#This Row],[prop_id]],BudgetsTable[[#This Row],[pi_email]]))</f>
        <v/>
      </c>
      <c r="P66" s="80" t="s">
        <v>13</v>
      </c>
      <c r="Q66" s="80">
        <v>1</v>
      </c>
      <c r="R66" s="80">
        <v>1</v>
      </c>
      <c r="S66" s="81">
        <v>0</v>
      </c>
      <c r="T66" s="81">
        <v>3183</v>
      </c>
      <c r="U66" s="81">
        <v>0</v>
      </c>
      <c r="V66" s="82">
        <v>107086</v>
      </c>
      <c r="W66" s="80">
        <v>0</v>
      </c>
      <c r="X66" s="80">
        <v>3</v>
      </c>
      <c r="Y66" s="11" t="str">
        <f ca="1">IF(ISBLANK(BudgetsTable[[#This Row],[budg_seq_yr]]),"FY"&amp;fiscalyear,"FY"&amp;fiscalyear-1+BudgetsTable[[#This Row],[budg_seq_yr]])</f>
        <v>FY20</v>
      </c>
      <c r="Z66" s="81">
        <v>107086</v>
      </c>
      <c r="AA66" s="80" t="s">
        <v>222</v>
      </c>
      <c r="AB66" s="80" t="s">
        <v>405</v>
      </c>
      <c r="AC66" s="80" t="s">
        <v>411</v>
      </c>
    </row>
    <row r="67" spans="1:29" x14ac:dyDescent="0.4">
      <c r="A67" s="10" t="s">
        <v>1025</v>
      </c>
      <c r="B67" s="78" t="s">
        <v>96</v>
      </c>
      <c r="C67" s="78">
        <f>C66+(BudgetsTable[[#This Row],[lead]]&lt;&gt;K66)</f>
        <v>21</v>
      </c>
      <c r="D67" s="78">
        <f>D66*(BudgetsTable[[#This Row],[lead]]=K66)+(BudgetsTable[[#This Row],[prop_id]]&lt;&gt;A66)</f>
        <v>1</v>
      </c>
      <c r="E67" s="79">
        <v>42571.431250000001</v>
      </c>
      <c r="F67" s="80" t="s">
        <v>975</v>
      </c>
      <c r="G67" s="80" t="s">
        <v>222</v>
      </c>
      <c r="H67" s="80" t="s">
        <v>405</v>
      </c>
      <c r="I67" s="78" t="s">
        <v>451</v>
      </c>
      <c r="J67" s="78" t="s">
        <v>13</v>
      </c>
      <c r="K67" s="80" t="s">
        <v>1025</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80" t="s">
        <v>13</v>
      </c>
      <c r="O67" s="7" t="str">
        <f>IF(BudgetsTable[[#This Row],[pi_last_name]]=" ","",HYPERLINK("mailto:"&amp;BudgetsTable[[#This Row],[pi_email]]&amp;"&amp;subject=Your NSF Proposal:  "&amp;BudgetsTable[[#This Row],[prop_id]],BudgetsTable[[#This Row],[pi_email]]))</f>
        <v/>
      </c>
      <c r="P67" s="80" t="s">
        <v>13</v>
      </c>
      <c r="Q67" s="80">
        <v>1</v>
      </c>
      <c r="R67" s="80">
        <v>1</v>
      </c>
      <c r="S67" s="81">
        <v>0</v>
      </c>
      <c r="T67" s="81">
        <v>3278</v>
      </c>
      <c r="U67" s="81">
        <v>0</v>
      </c>
      <c r="V67" s="82">
        <v>110296</v>
      </c>
      <c r="W67" s="80">
        <v>0</v>
      </c>
      <c r="X67" s="80">
        <v>4</v>
      </c>
      <c r="Y67" s="11" t="str">
        <f ca="1">IF(ISBLANK(BudgetsTable[[#This Row],[budg_seq_yr]]),"FY"&amp;fiscalyear,"FY"&amp;fiscalyear-1+BudgetsTable[[#This Row],[budg_seq_yr]])</f>
        <v>FY21</v>
      </c>
      <c r="Z67" s="81">
        <v>110296</v>
      </c>
      <c r="AA67" s="80" t="s">
        <v>222</v>
      </c>
      <c r="AB67" s="80" t="s">
        <v>405</v>
      </c>
      <c r="AC67" s="80" t="s">
        <v>411</v>
      </c>
    </row>
    <row r="68" spans="1:29" x14ac:dyDescent="0.4">
      <c r="A68" s="10" t="s">
        <v>1025</v>
      </c>
      <c r="B68" s="78" t="s">
        <v>96</v>
      </c>
      <c r="C68" s="78">
        <f>C67+(BudgetsTable[[#This Row],[lead]]&lt;&gt;K67)</f>
        <v>21</v>
      </c>
      <c r="D68" s="78">
        <f>D67*(BudgetsTable[[#This Row],[lead]]=K67)+(BudgetsTable[[#This Row],[prop_id]]&lt;&gt;A67)</f>
        <v>1</v>
      </c>
      <c r="E68" s="79">
        <v>42571.431250000001</v>
      </c>
      <c r="F68" s="80" t="s">
        <v>975</v>
      </c>
      <c r="G68" s="80" t="s">
        <v>222</v>
      </c>
      <c r="H68" s="80" t="s">
        <v>405</v>
      </c>
      <c r="I68" s="78" t="s">
        <v>451</v>
      </c>
      <c r="J68" s="78" t="s">
        <v>13</v>
      </c>
      <c r="K68" s="80" t="s">
        <v>1025</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80" t="s">
        <v>13</v>
      </c>
      <c r="O68" s="7" t="str">
        <f>IF(BudgetsTable[[#This Row],[pi_last_name]]=" ","",HYPERLINK("mailto:"&amp;BudgetsTable[[#This Row],[pi_email]]&amp;"&amp;subject=Your NSF Proposal:  "&amp;BudgetsTable[[#This Row],[prop_id]],BudgetsTable[[#This Row],[pi_email]]))</f>
        <v/>
      </c>
      <c r="P68" s="80" t="s">
        <v>13</v>
      </c>
      <c r="Q68" s="80">
        <v>1</v>
      </c>
      <c r="R68" s="80">
        <v>1</v>
      </c>
      <c r="S68" s="81">
        <v>0</v>
      </c>
      <c r="T68" s="81">
        <v>3377</v>
      </c>
      <c r="U68" s="81">
        <v>0</v>
      </c>
      <c r="V68" s="82">
        <v>113606</v>
      </c>
      <c r="W68" s="80">
        <v>0</v>
      </c>
      <c r="X68" s="80">
        <v>5</v>
      </c>
      <c r="Y68" s="11" t="str">
        <f ca="1">IF(ISBLANK(BudgetsTable[[#This Row],[budg_seq_yr]]),"FY"&amp;fiscalyear,"FY"&amp;fiscalyear-1+BudgetsTable[[#This Row],[budg_seq_yr]])</f>
        <v>FY22</v>
      </c>
      <c r="Z68" s="81">
        <v>113606</v>
      </c>
      <c r="AA68" s="80" t="s">
        <v>222</v>
      </c>
      <c r="AB68" s="80" t="s">
        <v>405</v>
      </c>
      <c r="AC68" s="80" t="s">
        <v>411</v>
      </c>
    </row>
    <row r="69" spans="1:29" x14ac:dyDescent="0.4">
      <c r="A69" s="10" t="s">
        <v>1031</v>
      </c>
      <c r="B69" s="78" t="s">
        <v>96</v>
      </c>
      <c r="C69" s="78">
        <f>C68+(BudgetsTable[[#This Row],[lead]]&lt;&gt;K68)</f>
        <v>22</v>
      </c>
      <c r="D69" s="78">
        <f>D68*(BudgetsTable[[#This Row],[lead]]=K68)+(BudgetsTable[[#This Row],[prop_id]]&lt;&gt;A68)</f>
        <v>1</v>
      </c>
      <c r="E69" s="79">
        <v>42571.449305555558</v>
      </c>
      <c r="F69" s="80" t="s">
        <v>975</v>
      </c>
      <c r="G69" s="80" t="s">
        <v>222</v>
      </c>
      <c r="H69" s="80" t="s">
        <v>405</v>
      </c>
      <c r="I69" s="78" t="s">
        <v>406</v>
      </c>
      <c r="J69" s="78" t="s">
        <v>1034</v>
      </c>
      <c r="K69" s="80" t="s">
        <v>1031</v>
      </c>
      <c r="L69" s="7" t="str">
        <f>IF(BudgetsTable[[#This Row],[pi_last_name]]=" ","",HYPERLINK("https://www.ejacket.nsf.gov/ej/showProposal.do?Continue=Y&amp;ID="&amp;BudgetsTable[[#This Row],[prop_id]],BudgetsTable[[#This Row],[prop_id]]))</f>
        <v>1651987</v>
      </c>
      <c r="M69" s="15" t="str">
        <f>IF(BudgetsTable[[#This Row],[pi_last_name]]=" ","",HYPERLINK("https://www.ejacket.nsf.gov/ej/processReviewAnalysis.do?dispatch=add&amp;uniqId="&amp;BudgetsTable[[#This Row],[prop_id]]&amp;PO_id,"&gt;ra"))</f>
        <v>&gt;ra</v>
      </c>
      <c r="N69" s="80" t="s">
        <v>1032</v>
      </c>
      <c r="O69" s="7" t="str">
        <f>IF(BudgetsTable[[#This Row],[pi_last_name]]=" ","",HYPERLINK("mailto:"&amp;BudgetsTable[[#This Row],[pi_email]]&amp;"&amp;subject=Your NSF Proposal:  "&amp;BudgetsTable[[#This Row],[prop_id]],BudgetsTable[[#This Row],[pi_email]]))</f>
        <v>rongge@cs.duke.edu</v>
      </c>
      <c r="P69" s="80" t="s">
        <v>490</v>
      </c>
      <c r="Q69" s="80"/>
      <c r="R69" s="80"/>
      <c r="S69" s="81"/>
      <c r="T69" s="81"/>
      <c r="U69" s="81"/>
      <c r="V69" s="82"/>
      <c r="W69" s="80">
        <v>0</v>
      </c>
      <c r="X69" s="80"/>
      <c r="Y69" s="11" t="str">
        <f ca="1">IF(ISBLANK(BudgetsTable[[#This Row],[budg_seq_yr]]),"FY"&amp;fiscalyear,"FY"&amp;fiscalyear-1+BudgetsTable[[#This Row],[budg_seq_yr]])</f>
        <v>FY18</v>
      </c>
      <c r="Z69" s="81">
        <v>521233</v>
      </c>
      <c r="AA69" s="80" t="s">
        <v>222</v>
      </c>
      <c r="AB69" s="80" t="s">
        <v>405</v>
      </c>
      <c r="AC69" s="80" t="s">
        <v>411</v>
      </c>
    </row>
    <row r="70" spans="1:29" x14ac:dyDescent="0.4">
      <c r="A70" s="10" t="s">
        <v>1031</v>
      </c>
      <c r="B70" s="78" t="s">
        <v>96</v>
      </c>
      <c r="C70" s="78">
        <f>C69+(BudgetsTable[[#This Row],[lead]]&lt;&gt;K69)</f>
        <v>22</v>
      </c>
      <c r="D70" s="78">
        <f>D69*(BudgetsTable[[#This Row],[lead]]=K69)+(BudgetsTable[[#This Row],[prop_id]]&lt;&gt;A69)</f>
        <v>1</v>
      </c>
      <c r="E70" s="79">
        <v>42571.449305555558</v>
      </c>
      <c r="F70" s="80" t="s">
        <v>975</v>
      </c>
      <c r="G70" s="80" t="s">
        <v>222</v>
      </c>
      <c r="H70" s="80" t="s">
        <v>405</v>
      </c>
      <c r="I70" s="78" t="s">
        <v>406</v>
      </c>
      <c r="J70" s="78" t="s">
        <v>13</v>
      </c>
      <c r="K70" s="80" t="s">
        <v>1031</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80" t="s">
        <v>13</v>
      </c>
      <c r="O70" s="7" t="str">
        <f>IF(BudgetsTable[[#This Row],[pi_last_name]]=" ","",HYPERLINK("mailto:"&amp;BudgetsTable[[#This Row],[pi_email]]&amp;"&amp;subject=Your NSF Proposal:  "&amp;BudgetsTable[[#This Row],[prop_id]],BudgetsTable[[#This Row],[pi_email]]))</f>
        <v/>
      </c>
      <c r="P70" s="80" t="s">
        <v>13</v>
      </c>
      <c r="Q70" s="80">
        <v>1</v>
      </c>
      <c r="R70" s="80">
        <v>1</v>
      </c>
      <c r="S70" s="81">
        <v>0</v>
      </c>
      <c r="T70" s="81">
        <v>2750</v>
      </c>
      <c r="U70" s="81">
        <v>8000</v>
      </c>
      <c r="V70" s="82">
        <v>106828</v>
      </c>
      <c r="W70" s="80">
        <v>0</v>
      </c>
      <c r="X70" s="80">
        <v>1</v>
      </c>
      <c r="Y70" s="11" t="str">
        <f ca="1">IF(ISBLANK(BudgetsTable[[#This Row],[budg_seq_yr]]),"FY"&amp;fiscalyear,"FY"&amp;fiscalyear-1+BudgetsTable[[#This Row],[budg_seq_yr]])</f>
        <v>FY18</v>
      </c>
      <c r="Z70" s="81">
        <v>106828</v>
      </c>
      <c r="AA70" s="80" t="s">
        <v>222</v>
      </c>
      <c r="AB70" s="80" t="s">
        <v>405</v>
      </c>
      <c r="AC70" s="80" t="s">
        <v>411</v>
      </c>
    </row>
    <row r="71" spans="1:29" x14ac:dyDescent="0.4">
      <c r="A71" s="10" t="s">
        <v>1031</v>
      </c>
      <c r="B71" s="78" t="s">
        <v>96</v>
      </c>
      <c r="C71" s="78">
        <f>C70+(BudgetsTable[[#This Row],[lead]]&lt;&gt;K70)</f>
        <v>22</v>
      </c>
      <c r="D71" s="78">
        <f>D70*(BudgetsTable[[#This Row],[lead]]=K70)+(BudgetsTable[[#This Row],[prop_id]]&lt;&gt;A70)</f>
        <v>1</v>
      </c>
      <c r="E71" s="79">
        <v>42571.449305555558</v>
      </c>
      <c r="F71" s="80" t="s">
        <v>975</v>
      </c>
      <c r="G71" s="80" t="s">
        <v>222</v>
      </c>
      <c r="H71" s="80" t="s">
        <v>405</v>
      </c>
      <c r="I71" s="78" t="s">
        <v>406</v>
      </c>
      <c r="J71" s="78" t="s">
        <v>13</v>
      </c>
      <c r="K71" s="80" t="s">
        <v>1031</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80" t="s">
        <v>13</v>
      </c>
      <c r="O71" s="7" t="str">
        <f>IF(BudgetsTable[[#This Row],[pi_last_name]]=" ","",HYPERLINK("mailto:"&amp;BudgetsTable[[#This Row],[pi_email]]&amp;"&amp;subject=Your NSF Proposal:  "&amp;BudgetsTable[[#This Row],[prop_id]],BudgetsTable[[#This Row],[pi_email]]))</f>
        <v/>
      </c>
      <c r="P71" s="80" t="s">
        <v>13</v>
      </c>
      <c r="Q71" s="80">
        <v>1</v>
      </c>
      <c r="R71" s="80">
        <v>1</v>
      </c>
      <c r="S71" s="81">
        <v>0</v>
      </c>
      <c r="T71" s="81">
        <v>0</v>
      </c>
      <c r="U71" s="81">
        <v>0</v>
      </c>
      <c r="V71" s="82">
        <v>96859</v>
      </c>
      <c r="W71" s="80">
        <v>0</v>
      </c>
      <c r="X71" s="80">
        <v>2</v>
      </c>
      <c r="Y71" s="11" t="str">
        <f ca="1">IF(ISBLANK(BudgetsTable[[#This Row],[budg_seq_yr]]),"FY"&amp;fiscalyear,"FY"&amp;fiscalyear-1+BudgetsTable[[#This Row],[budg_seq_yr]])</f>
        <v>FY19</v>
      </c>
      <c r="Z71" s="81">
        <v>96859</v>
      </c>
      <c r="AA71" s="80" t="s">
        <v>222</v>
      </c>
      <c r="AB71" s="80" t="s">
        <v>405</v>
      </c>
      <c r="AC71" s="80" t="s">
        <v>411</v>
      </c>
    </row>
    <row r="72" spans="1:29" x14ac:dyDescent="0.4">
      <c r="A72" s="10" t="s">
        <v>1031</v>
      </c>
      <c r="B72" s="78" t="s">
        <v>96</v>
      </c>
      <c r="C72" s="78">
        <f>C71+(BudgetsTable[[#This Row],[lead]]&lt;&gt;K71)</f>
        <v>22</v>
      </c>
      <c r="D72" s="78">
        <f>D71*(BudgetsTable[[#This Row],[lead]]=K71)+(BudgetsTable[[#This Row],[prop_id]]&lt;&gt;A71)</f>
        <v>1</v>
      </c>
      <c r="E72" s="79">
        <v>42571.449305555558</v>
      </c>
      <c r="F72" s="80" t="s">
        <v>975</v>
      </c>
      <c r="G72" s="80" t="s">
        <v>222</v>
      </c>
      <c r="H72" s="80" t="s">
        <v>405</v>
      </c>
      <c r="I72" s="78" t="s">
        <v>406</v>
      </c>
      <c r="J72" s="78" t="s">
        <v>13</v>
      </c>
      <c r="K72" s="80" t="s">
        <v>1031</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80" t="s">
        <v>13</v>
      </c>
      <c r="O72" s="7" t="str">
        <f>IF(BudgetsTable[[#This Row],[pi_last_name]]=" ","",HYPERLINK("mailto:"&amp;BudgetsTable[[#This Row],[pi_email]]&amp;"&amp;subject=Your NSF Proposal:  "&amp;BudgetsTable[[#This Row],[prop_id]],BudgetsTable[[#This Row],[pi_email]]))</f>
        <v/>
      </c>
      <c r="P72" s="80" t="s">
        <v>13</v>
      </c>
      <c r="Q72" s="80">
        <v>1</v>
      </c>
      <c r="R72" s="80">
        <v>1</v>
      </c>
      <c r="S72" s="81">
        <v>0</v>
      </c>
      <c r="T72" s="81">
        <v>2917</v>
      </c>
      <c r="U72" s="81">
        <v>0</v>
      </c>
      <c r="V72" s="82">
        <v>104054</v>
      </c>
      <c r="W72" s="80">
        <v>0</v>
      </c>
      <c r="X72" s="80">
        <v>3</v>
      </c>
      <c r="Y72" s="11" t="str">
        <f ca="1">IF(ISBLANK(BudgetsTable[[#This Row],[budg_seq_yr]]),"FY"&amp;fiscalyear,"FY"&amp;fiscalyear-1+BudgetsTable[[#This Row],[budg_seq_yr]])</f>
        <v>FY20</v>
      </c>
      <c r="Z72" s="81">
        <v>104054</v>
      </c>
      <c r="AA72" s="80" t="s">
        <v>222</v>
      </c>
      <c r="AB72" s="80" t="s">
        <v>405</v>
      </c>
      <c r="AC72" s="80" t="s">
        <v>411</v>
      </c>
    </row>
    <row r="73" spans="1:29" x14ac:dyDescent="0.4">
      <c r="A73" s="10" t="s">
        <v>1031</v>
      </c>
      <c r="B73" s="78" t="s">
        <v>96</v>
      </c>
      <c r="C73" s="78">
        <f>C72+(BudgetsTable[[#This Row],[lead]]&lt;&gt;K72)</f>
        <v>22</v>
      </c>
      <c r="D73" s="78">
        <f>D72*(BudgetsTable[[#This Row],[lead]]=K72)+(BudgetsTable[[#This Row],[prop_id]]&lt;&gt;A72)</f>
        <v>1</v>
      </c>
      <c r="E73" s="79">
        <v>42571.449305555558</v>
      </c>
      <c r="F73" s="80" t="s">
        <v>975</v>
      </c>
      <c r="G73" s="80" t="s">
        <v>222</v>
      </c>
      <c r="H73" s="80" t="s">
        <v>405</v>
      </c>
      <c r="I73" s="78" t="s">
        <v>406</v>
      </c>
      <c r="J73" s="78" t="s">
        <v>13</v>
      </c>
      <c r="K73" s="80" t="s">
        <v>1031</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80" t="s">
        <v>13</v>
      </c>
      <c r="O73" s="7" t="str">
        <f>IF(BudgetsTable[[#This Row],[pi_last_name]]=" ","",HYPERLINK("mailto:"&amp;BudgetsTable[[#This Row],[pi_email]]&amp;"&amp;subject=Your NSF Proposal:  "&amp;BudgetsTable[[#This Row],[prop_id]],BudgetsTable[[#This Row],[pi_email]]))</f>
        <v/>
      </c>
      <c r="P73" s="80" t="s">
        <v>13</v>
      </c>
      <c r="Q73" s="80">
        <v>1</v>
      </c>
      <c r="R73" s="80">
        <v>1</v>
      </c>
      <c r="S73" s="81">
        <v>0</v>
      </c>
      <c r="T73" s="81">
        <v>0</v>
      </c>
      <c r="U73" s="81">
        <v>0</v>
      </c>
      <c r="V73" s="82">
        <v>102628</v>
      </c>
      <c r="W73" s="80">
        <v>0</v>
      </c>
      <c r="X73" s="80">
        <v>4</v>
      </c>
      <c r="Y73" s="11" t="str">
        <f ca="1">IF(ISBLANK(BudgetsTable[[#This Row],[budg_seq_yr]]),"FY"&amp;fiscalyear,"FY"&amp;fiscalyear-1+BudgetsTable[[#This Row],[budg_seq_yr]])</f>
        <v>FY21</v>
      </c>
      <c r="Z73" s="81">
        <v>102628</v>
      </c>
      <c r="AA73" s="80" t="s">
        <v>222</v>
      </c>
      <c r="AB73" s="80" t="s">
        <v>405</v>
      </c>
      <c r="AC73" s="80" t="s">
        <v>411</v>
      </c>
    </row>
    <row r="74" spans="1:29" x14ac:dyDescent="0.4">
      <c r="A74" s="10" t="s">
        <v>1031</v>
      </c>
      <c r="B74" s="78" t="s">
        <v>96</v>
      </c>
      <c r="C74" s="78">
        <f>C73+(BudgetsTable[[#This Row],[lead]]&lt;&gt;K73)</f>
        <v>22</v>
      </c>
      <c r="D74" s="78">
        <f>D73*(BudgetsTable[[#This Row],[lead]]=K73)+(BudgetsTable[[#This Row],[prop_id]]&lt;&gt;A73)</f>
        <v>1</v>
      </c>
      <c r="E74" s="79">
        <v>42571.449305555558</v>
      </c>
      <c r="F74" s="80" t="s">
        <v>975</v>
      </c>
      <c r="G74" s="80" t="s">
        <v>222</v>
      </c>
      <c r="H74" s="80" t="s">
        <v>405</v>
      </c>
      <c r="I74" s="78" t="s">
        <v>406</v>
      </c>
      <c r="J74" s="78" t="s">
        <v>13</v>
      </c>
      <c r="K74" s="80" t="s">
        <v>1031</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80" t="s">
        <v>13</v>
      </c>
      <c r="O74" s="7" t="str">
        <f>IF(BudgetsTable[[#This Row],[pi_last_name]]=" ","",HYPERLINK("mailto:"&amp;BudgetsTable[[#This Row],[pi_email]]&amp;"&amp;subject=Your NSF Proposal:  "&amp;BudgetsTable[[#This Row],[prop_id]],BudgetsTable[[#This Row],[pi_email]]))</f>
        <v/>
      </c>
      <c r="P74" s="80" t="s">
        <v>13</v>
      </c>
      <c r="Q74" s="80">
        <v>1</v>
      </c>
      <c r="R74" s="80">
        <v>1</v>
      </c>
      <c r="S74" s="81">
        <v>0</v>
      </c>
      <c r="T74" s="81">
        <v>3095</v>
      </c>
      <c r="U74" s="81">
        <v>0</v>
      </c>
      <c r="V74" s="82">
        <v>110864</v>
      </c>
      <c r="W74" s="80">
        <v>0</v>
      </c>
      <c r="X74" s="80">
        <v>5</v>
      </c>
      <c r="Y74" s="11" t="str">
        <f ca="1">IF(ISBLANK(BudgetsTable[[#This Row],[budg_seq_yr]]),"FY"&amp;fiscalyear,"FY"&amp;fiscalyear-1+BudgetsTable[[#This Row],[budg_seq_yr]])</f>
        <v>FY22</v>
      </c>
      <c r="Z74" s="81">
        <v>110864</v>
      </c>
      <c r="AA74" s="80" t="s">
        <v>222</v>
      </c>
      <c r="AB74" s="80" t="s">
        <v>405</v>
      </c>
      <c r="AC74" s="80" t="s">
        <v>411</v>
      </c>
    </row>
    <row r="75" spans="1:29" x14ac:dyDescent="0.4">
      <c r="A75" s="10" t="s">
        <v>1037</v>
      </c>
      <c r="B75" s="78" t="s">
        <v>96</v>
      </c>
      <c r="C75" s="78">
        <f>C74+(BudgetsTable[[#This Row],[lead]]&lt;&gt;K74)</f>
        <v>23</v>
      </c>
      <c r="D75" s="78">
        <f>D74*(BudgetsTable[[#This Row],[lead]]=K74)+(BudgetsTable[[#This Row],[prop_id]]&lt;&gt;A74)</f>
        <v>1</v>
      </c>
      <c r="E75" s="79">
        <v>42571.455555555556</v>
      </c>
      <c r="F75" s="80" t="s">
        <v>975</v>
      </c>
      <c r="G75" s="80" t="s">
        <v>222</v>
      </c>
      <c r="H75" s="80" t="s">
        <v>405</v>
      </c>
      <c r="I75" s="78" t="s">
        <v>406</v>
      </c>
      <c r="J75" s="78" t="s">
        <v>1041</v>
      </c>
      <c r="K75" s="80" t="s">
        <v>1037</v>
      </c>
      <c r="L75" s="7" t="str">
        <f>IF(BudgetsTable[[#This Row],[pi_last_name]]=" ","",HYPERLINK("https://www.ejacket.nsf.gov/ej/showProposal.do?Continue=Y&amp;ID="&amp;BudgetsTable[[#This Row],[prop_id]],BudgetsTable[[#This Row],[prop_id]]))</f>
        <v>1651999</v>
      </c>
      <c r="M75" s="15" t="str">
        <f>IF(BudgetsTable[[#This Row],[pi_last_name]]=" ","",HYPERLINK("https://www.ejacket.nsf.gov/ej/processReviewAnalysis.do?dispatch=add&amp;uniqId="&amp;BudgetsTable[[#This Row],[prop_id]]&amp;PO_id,"&gt;ra"))</f>
        <v>&gt;ra</v>
      </c>
      <c r="N75" s="80" t="s">
        <v>1038</v>
      </c>
      <c r="O75" s="7" t="str">
        <f>IF(BudgetsTable[[#This Row],[pi_last_name]]=" ","",HYPERLINK("mailto:"&amp;BudgetsTable[[#This Row],[pi_email]]&amp;"&amp;subject=Your NSF Proposal:  "&amp;BudgetsTable[[#This Row],[prop_id]],BudgetsTable[[#This Row],[pi_email]]))</f>
        <v>rpeng@cc.gatech.edu</v>
      </c>
      <c r="P75" s="80" t="s">
        <v>1040</v>
      </c>
      <c r="Q75" s="80"/>
      <c r="R75" s="80"/>
      <c r="S75" s="81"/>
      <c r="T75" s="81"/>
      <c r="U75" s="81"/>
      <c r="V75" s="82"/>
      <c r="W75" s="80">
        <v>0</v>
      </c>
      <c r="X75" s="80"/>
      <c r="Y75" s="11" t="str">
        <f ca="1">IF(ISBLANK(BudgetsTable[[#This Row],[budg_seq_yr]]),"FY"&amp;fiscalyear,"FY"&amp;fiscalyear-1+BudgetsTable[[#This Row],[budg_seq_yr]])</f>
        <v>FY18</v>
      </c>
      <c r="Z75" s="81">
        <v>600000</v>
      </c>
      <c r="AA75" s="80" t="s">
        <v>222</v>
      </c>
      <c r="AB75" s="80" t="s">
        <v>405</v>
      </c>
      <c r="AC75" s="80" t="s">
        <v>411</v>
      </c>
    </row>
    <row r="76" spans="1:29" x14ac:dyDescent="0.4">
      <c r="A76" s="10" t="s">
        <v>1037</v>
      </c>
      <c r="B76" s="78" t="s">
        <v>96</v>
      </c>
      <c r="C76" s="78">
        <f>C75+(BudgetsTable[[#This Row],[lead]]&lt;&gt;K75)</f>
        <v>23</v>
      </c>
      <c r="D76" s="78">
        <f>D75*(BudgetsTable[[#This Row],[lead]]=K75)+(BudgetsTable[[#This Row],[prop_id]]&lt;&gt;A75)</f>
        <v>1</v>
      </c>
      <c r="E76" s="79">
        <v>42571.455555555556</v>
      </c>
      <c r="F76" s="80" t="s">
        <v>975</v>
      </c>
      <c r="G76" s="80" t="s">
        <v>222</v>
      </c>
      <c r="H76" s="80" t="s">
        <v>405</v>
      </c>
      <c r="I76" s="78" t="s">
        <v>406</v>
      </c>
      <c r="J76" s="78" t="s">
        <v>13</v>
      </c>
      <c r="K76" s="80" t="s">
        <v>1037</v>
      </c>
      <c r="L76" s="7" t="str">
        <f>IF(BudgetsTable[[#This Row],[pi_last_name]]=" ","",HYPERLINK("https://www.ejacket.nsf.gov/ej/showProposal.do?Continue=Y&amp;ID="&amp;BudgetsTable[[#This Row],[prop_id]],BudgetsTable[[#This Row],[prop_id]]))</f>
        <v/>
      </c>
      <c r="M76" s="15" t="str">
        <f>IF(BudgetsTable[[#This Row],[pi_last_name]]=" ","",HYPERLINK("https://www.ejacket.nsf.gov/ej/processReviewAnalysis.do?dispatch=add&amp;uniqId="&amp;BudgetsTable[[#This Row],[prop_id]]&amp;PO_id,"&gt;ra"))</f>
        <v/>
      </c>
      <c r="N76" s="80" t="s">
        <v>13</v>
      </c>
      <c r="O76" s="7" t="str">
        <f>IF(BudgetsTable[[#This Row],[pi_last_name]]=" ","",HYPERLINK("mailto:"&amp;BudgetsTable[[#This Row],[pi_email]]&amp;"&amp;subject=Your NSF Proposal:  "&amp;BudgetsTable[[#This Row],[prop_id]],BudgetsTable[[#This Row],[pi_email]]))</f>
        <v/>
      </c>
      <c r="P76" s="80" t="s">
        <v>13</v>
      </c>
      <c r="Q76" s="80">
        <v>1</v>
      </c>
      <c r="R76" s="80">
        <v>1</v>
      </c>
      <c r="S76" s="81">
        <v>0</v>
      </c>
      <c r="T76" s="81">
        <v>4600</v>
      </c>
      <c r="U76" s="81">
        <v>0</v>
      </c>
      <c r="V76" s="82">
        <v>113599</v>
      </c>
      <c r="W76" s="80">
        <v>0</v>
      </c>
      <c r="X76" s="80">
        <v>1</v>
      </c>
      <c r="Y76" s="11" t="str">
        <f ca="1">IF(ISBLANK(BudgetsTable[[#This Row],[budg_seq_yr]]),"FY"&amp;fiscalyear,"FY"&amp;fiscalyear-1+BudgetsTable[[#This Row],[budg_seq_yr]])</f>
        <v>FY18</v>
      </c>
      <c r="Z76" s="81">
        <v>113599</v>
      </c>
      <c r="AA76" s="80" t="s">
        <v>222</v>
      </c>
      <c r="AB76" s="80" t="s">
        <v>405</v>
      </c>
      <c r="AC76" s="80" t="s">
        <v>411</v>
      </c>
    </row>
    <row r="77" spans="1:29" x14ac:dyDescent="0.4">
      <c r="A77" s="10" t="s">
        <v>1037</v>
      </c>
      <c r="B77" s="78" t="s">
        <v>96</v>
      </c>
      <c r="C77" s="78">
        <f>C76+(BudgetsTable[[#This Row],[lead]]&lt;&gt;K76)</f>
        <v>23</v>
      </c>
      <c r="D77" s="78">
        <f>D76*(BudgetsTable[[#This Row],[lead]]=K76)+(BudgetsTable[[#This Row],[prop_id]]&lt;&gt;A76)</f>
        <v>1</v>
      </c>
      <c r="E77" s="79">
        <v>42571.455555555556</v>
      </c>
      <c r="F77" s="80" t="s">
        <v>975</v>
      </c>
      <c r="G77" s="80" t="s">
        <v>222</v>
      </c>
      <c r="H77" s="80" t="s">
        <v>405</v>
      </c>
      <c r="I77" s="78" t="s">
        <v>406</v>
      </c>
      <c r="J77" s="78" t="s">
        <v>13</v>
      </c>
      <c r="K77" s="80" t="s">
        <v>1037</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80" t="s">
        <v>13</v>
      </c>
      <c r="O77" s="7" t="str">
        <f>IF(BudgetsTable[[#This Row],[pi_last_name]]=" ","",HYPERLINK("mailto:"&amp;BudgetsTable[[#This Row],[pi_email]]&amp;"&amp;subject=Your NSF Proposal:  "&amp;BudgetsTable[[#This Row],[prop_id]],BudgetsTable[[#This Row],[pi_email]]))</f>
        <v/>
      </c>
      <c r="P77" s="80" t="s">
        <v>13</v>
      </c>
      <c r="Q77" s="80">
        <v>1</v>
      </c>
      <c r="R77" s="80">
        <v>1</v>
      </c>
      <c r="S77" s="81">
        <v>0</v>
      </c>
      <c r="T77" s="81">
        <v>4600</v>
      </c>
      <c r="U77" s="81">
        <v>0</v>
      </c>
      <c r="V77" s="82">
        <v>116687</v>
      </c>
      <c r="W77" s="80">
        <v>0</v>
      </c>
      <c r="X77" s="80">
        <v>2</v>
      </c>
      <c r="Y77" s="11" t="str">
        <f ca="1">IF(ISBLANK(BudgetsTable[[#This Row],[budg_seq_yr]]),"FY"&amp;fiscalyear,"FY"&amp;fiscalyear-1+BudgetsTable[[#This Row],[budg_seq_yr]])</f>
        <v>FY19</v>
      </c>
      <c r="Z77" s="81">
        <v>116687</v>
      </c>
      <c r="AA77" s="80" t="s">
        <v>222</v>
      </c>
      <c r="AB77" s="80" t="s">
        <v>405</v>
      </c>
      <c r="AC77" s="80" t="s">
        <v>411</v>
      </c>
    </row>
    <row r="78" spans="1:29" x14ac:dyDescent="0.4">
      <c r="A78" s="10" t="s">
        <v>1037</v>
      </c>
      <c r="B78" s="78" t="s">
        <v>96</v>
      </c>
      <c r="C78" s="78">
        <f>C77+(BudgetsTable[[#This Row],[lead]]&lt;&gt;K77)</f>
        <v>23</v>
      </c>
      <c r="D78" s="78">
        <f>D77*(BudgetsTable[[#This Row],[lead]]=K77)+(BudgetsTable[[#This Row],[prop_id]]&lt;&gt;A77)</f>
        <v>1</v>
      </c>
      <c r="E78" s="79">
        <v>42571.455555555556</v>
      </c>
      <c r="F78" s="80" t="s">
        <v>975</v>
      </c>
      <c r="G78" s="80" t="s">
        <v>222</v>
      </c>
      <c r="H78" s="80" t="s">
        <v>405</v>
      </c>
      <c r="I78" s="78" t="s">
        <v>406</v>
      </c>
      <c r="J78" s="78" t="s">
        <v>13</v>
      </c>
      <c r="K78" s="80" t="s">
        <v>1037</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80" t="s">
        <v>13</v>
      </c>
      <c r="O78" s="7" t="str">
        <f>IF(BudgetsTable[[#This Row],[pi_last_name]]=" ","",HYPERLINK("mailto:"&amp;BudgetsTable[[#This Row],[pi_email]]&amp;"&amp;subject=Your NSF Proposal:  "&amp;BudgetsTable[[#This Row],[prop_id]],BudgetsTable[[#This Row],[pi_email]]))</f>
        <v/>
      </c>
      <c r="P78" s="80" t="s">
        <v>13</v>
      </c>
      <c r="Q78" s="80">
        <v>1</v>
      </c>
      <c r="R78" s="80">
        <v>1</v>
      </c>
      <c r="S78" s="81">
        <v>0</v>
      </c>
      <c r="T78" s="81">
        <v>4600</v>
      </c>
      <c r="U78" s="81">
        <v>0</v>
      </c>
      <c r="V78" s="82">
        <v>119883</v>
      </c>
      <c r="W78" s="80">
        <v>0</v>
      </c>
      <c r="X78" s="80">
        <v>3</v>
      </c>
      <c r="Y78" s="11" t="str">
        <f ca="1">IF(ISBLANK(BudgetsTable[[#This Row],[budg_seq_yr]]),"FY"&amp;fiscalyear,"FY"&amp;fiscalyear-1+BudgetsTable[[#This Row],[budg_seq_yr]])</f>
        <v>FY20</v>
      </c>
      <c r="Z78" s="81">
        <v>119883</v>
      </c>
      <c r="AA78" s="80" t="s">
        <v>222</v>
      </c>
      <c r="AB78" s="80" t="s">
        <v>405</v>
      </c>
      <c r="AC78" s="80" t="s">
        <v>411</v>
      </c>
    </row>
    <row r="79" spans="1:29" x14ac:dyDescent="0.4">
      <c r="A79" s="10" t="s">
        <v>1037</v>
      </c>
      <c r="B79" s="78" t="s">
        <v>96</v>
      </c>
      <c r="C79" s="78">
        <f>C78+(BudgetsTable[[#This Row],[lead]]&lt;&gt;K78)</f>
        <v>23</v>
      </c>
      <c r="D79" s="78">
        <f>D78*(BudgetsTable[[#This Row],[lead]]=K78)+(BudgetsTable[[#This Row],[prop_id]]&lt;&gt;A78)</f>
        <v>1</v>
      </c>
      <c r="E79" s="79">
        <v>42571.455555555556</v>
      </c>
      <c r="F79" s="80" t="s">
        <v>975</v>
      </c>
      <c r="G79" s="80" t="s">
        <v>222</v>
      </c>
      <c r="H79" s="80" t="s">
        <v>405</v>
      </c>
      <c r="I79" s="78" t="s">
        <v>406</v>
      </c>
      <c r="J79" s="78" t="s">
        <v>13</v>
      </c>
      <c r="K79" s="80" t="s">
        <v>1037</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80" t="s">
        <v>13</v>
      </c>
      <c r="O79" s="7" t="str">
        <f>IF(BudgetsTable[[#This Row],[pi_last_name]]=" ","",HYPERLINK("mailto:"&amp;BudgetsTable[[#This Row],[pi_email]]&amp;"&amp;subject=Your NSF Proposal:  "&amp;BudgetsTable[[#This Row],[prop_id]],BudgetsTable[[#This Row],[pi_email]]))</f>
        <v/>
      </c>
      <c r="P79" s="80" t="s">
        <v>13</v>
      </c>
      <c r="Q79" s="80">
        <v>1</v>
      </c>
      <c r="R79" s="80">
        <v>1</v>
      </c>
      <c r="S79" s="81">
        <v>0</v>
      </c>
      <c r="T79" s="81">
        <v>4600</v>
      </c>
      <c r="U79" s="81">
        <v>0</v>
      </c>
      <c r="V79" s="82">
        <v>123199</v>
      </c>
      <c r="W79" s="80">
        <v>0</v>
      </c>
      <c r="X79" s="80">
        <v>4</v>
      </c>
      <c r="Y79" s="11" t="str">
        <f ca="1">IF(ISBLANK(BudgetsTable[[#This Row],[budg_seq_yr]]),"FY"&amp;fiscalyear,"FY"&amp;fiscalyear-1+BudgetsTable[[#This Row],[budg_seq_yr]])</f>
        <v>FY21</v>
      </c>
      <c r="Z79" s="81">
        <v>123199</v>
      </c>
      <c r="AA79" s="80" t="s">
        <v>222</v>
      </c>
      <c r="AB79" s="80" t="s">
        <v>405</v>
      </c>
      <c r="AC79" s="80" t="s">
        <v>411</v>
      </c>
    </row>
    <row r="80" spans="1:29" x14ac:dyDescent="0.4">
      <c r="A80" s="10" t="s">
        <v>1037</v>
      </c>
      <c r="B80" s="78" t="s">
        <v>96</v>
      </c>
      <c r="C80" s="78">
        <f>C79+(BudgetsTable[[#This Row],[lead]]&lt;&gt;K79)</f>
        <v>23</v>
      </c>
      <c r="D80" s="78">
        <f>D79*(BudgetsTable[[#This Row],[lead]]=K79)+(BudgetsTable[[#This Row],[prop_id]]&lt;&gt;A79)</f>
        <v>1</v>
      </c>
      <c r="E80" s="79">
        <v>42571.455555555556</v>
      </c>
      <c r="F80" s="80" t="s">
        <v>975</v>
      </c>
      <c r="G80" s="80" t="s">
        <v>222</v>
      </c>
      <c r="H80" s="80" t="s">
        <v>405</v>
      </c>
      <c r="I80" s="78" t="s">
        <v>406</v>
      </c>
      <c r="J80" s="78" t="s">
        <v>13</v>
      </c>
      <c r="K80" s="80" t="s">
        <v>1037</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80" t="s">
        <v>13</v>
      </c>
      <c r="O80" s="7" t="str">
        <f>IF(BudgetsTable[[#This Row],[pi_last_name]]=" ","",HYPERLINK("mailto:"&amp;BudgetsTable[[#This Row],[pi_email]]&amp;"&amp;subject=Your NSF Proposal:  "&amp;BudgetsTable[[#This Row],[prop_id]],BudgetsTable[[#This Row],[pi_email]]))</f>
        <v/>
      </c>
      <c r="P80" s="80" t="s">
        <v>13</v>
      </c>
      <c r="Q80" s="80">
        <v>1</v>
      </c>
      <c r="R80" s="80">
        <v>1</v>
      </c>
      <c r="S80" s="81">
        <v>0</v>
      </c>
      <c r="T80" s="81">
        <v>4600</v>
      </c>
      <c r="U80" s="81">
        <v>0</v>
      </c>
      <c r="V80" s="82">
        <v>126632</v>
      </c>
      <c r="W80" s="80">
        <v>0</v>
      </c>
      <c r="X80" s="80">
        <v>5</v>
      </c>
      <c r="Y80" s="11" t="str">
        <f ca="1">IF(ISBLANK(BudgetsTable[[#This Row],[budg_seq_yr]]),"FY"&amp;fiscalyear,"FY"&amp;fiscalyear-1+BudgetsTable[[#This Row],[budg_seq_yr]])</f>
        <v>FY22</v>
      </c>
      <c r="Z80" s="81">
        <v>126632</v>
      </c>
      <c r="AA80" s="80" t="s">
        <v>222</v>
      </c>
      <c r="AB80" s="80" t="s">
        <v>405</v>
      </c>
      <c r="AC80" s="80" t="s">
        <v>411</v>
      </c>
    </row>
    <row r="81" spans="1:29" x14ac:dyDescent="0.4">
      <c r="A81" s="10" t="s">
        <v>1044</v>
      </c>
      <c r="B81" s="78" t="s">
        <v>96</v>
      </c>
      <c r="C81" s="78">
        <f>C80+(BudgetsTable[[#This Row],[lead]]&lt;&gt;K80)</f>
        <v>24</v>
      </c>
      <c r="D81" s="78">
        <f>D80*(BudgetsTable[[#This Row],[lead]]=K80)+(BudgetsTable[[#This Row],[prop_id]]&lt;&gt;A80)</f>
        <v>1</v>
      </c>
      <c r="E81" s="79">
        <v>42571.484722222223</v>
      </c>
      <c r="F81" s="80" t="s">
        <v>975</v>
      </c>
      <c r="G81" s="80" t="s">
        <v>222</v>
      </c>
      <c r="H81" s="80" t="s">
        <v>405</v>
      </c>
      <c r="I81" s="78" t="s">
        <v>422</v>
      </c>
      <c r="J81" s="78" t="s">
        <v>1047</v>
      </c>
      <c r="K81" s="80" t="s">
        <v>1044</v>
      </c>
      <c r="L81" s="7" t="str">
        <f>IF(BudgetsTable[[#This Row],[pi_last_name]]=" ","",HYPERLINK("https://www.ejacket.nsf.gov/ej/showProposal.do?Continue=Y&amp;ID="&amp;BudgetsTable[[#This Row],[prop_id]],BudgetsTable[[#This Row],[prop_id]]))</f>
        <v>1652063</v>
      </c>
      <c r="M81" s="15" t="str">
        <f>IF(BudgetsTable[[#This Row],[pi_last_name]]=" ","",HYPERLINK("https://www.ejacket.nsf.gov/ej/processReviewAnalysis.do?dispatch=add&amp;uniqId="&amp;BudgetsTable[[#This Row],[prop_id]]&amp;PO_id,"&gt;ra"))</f>
        <v>&gt;ra</v>
      </c>
      <c r="N81" s="80" t="s">
        <v>1045</v>
      </c>
      <c r="O81" s="7" t="str">
        <f>IF(BudgetsTable[[#This Row],[pi_last_name]]=" ","",HYPERLINK("mailto:"&amp;BudgetsTable[[#This Row],[pi_email]]&amp;"&amp;subject=Your NSF Proposal:  "&amp;BudgetsTable[[#This Row],[prop_id]],BudgetsTable[[#This Row],[pi_email]]))</f>
        <v>hu.nguyen@neu.edu</v>
      </c>
      <c r="P81" s="80" t="s">
        <v>1028</v>
      </c>
      <c r="Q81" s="80"/>
      <c r="R81" s="80"/>
      <c r="S81" s="81"/>
      <c r="T81" s="81"/>
      <c r="U81" s="81"/>
      <c r="V81" s="82"/>
      <c r="W81" s="80">
        <v>0</v>
      </c>
      <c r="X81" s="80"/>
      <c r="Y81" s="11" t="str">
        <f ca="1">IF(ISBLANK(BudgetsTable[[#This Row],[budg_seq_yr]]),"FY"&amp;fiscalyear,"FY"&amp;fiscalyear-1+BudgetsTable[[#This Row],[budg_seq_yr]])</f>
        <v>FY18</v>
      </c>
      <c r="Z81" s="81">
        <v>534704</v>
      </c>
      <c r="AA81" s="80" t="s">
        <v>222</v>
      </c>
      <c r="AB81" s="80" t="s">
        <v>405</v>
      </c>
      <c r="AC81" s="80" t="s">
        <v>411</v>
      </c>
    </row>
    <row r="82" spans="1:29" x14ac:dyDescent="0.4">
      <c r="A82" s="10" t="s">
        <v>1044</v>
      </c>
      <c r="B82" s="78" t="s">
        <v>96</v>
      </c>
      <c r="C82" s="78">
        <f>C81+(BudgetsTable[[#This Row],[lead]]&lt;&gt;K81)</f>
        <v>24</v>
      </c>
      <c r="D82" s="78">
        <f>D81*(BudgetsTable[[#This Row],[lead]]=K81)+(BudgetsTable[[#This Row],[prop_id]]&lt;&gt;A81)</f>
        <v>1</v>
      </c>
      <c r="E82" s="79">
        <v>42571.484722222223</v>
      </c>
      <c r="F82" s="80" t="s">
        <v>975</v>
      </c>
      <c r="G82" s="80" t="s">
        <v>222</v>
      </c>
      <c r="H82" s="80" t="s">
        <v>405</v>
      </c>
      <c r="I82" s="78" t="s">
        <v>422</v>
      </c>
      <c r="J82" s="78" t="s">
        <v>13</v>
      </c>
      <c r="K82" s="80" t="s">
        <v>1044</v>
      </c>
      <c r="L82" s="7" t="str">
        <f>IF(BudgetsTable[[#This Row],[pi_last_name]]=" ","",HYPERLINK("https://www.ejacket.nsf.gov/ej/showProposal.do?Continue=Y&amp;ID="&amp;BudgetsTable[[#This Row],[prop_id]],BudgetsTable[[#This Row],[prop_id]]))</f>
        <v/>
      </c>
      <c r="M82" s="15" t="str">
        <f>IF(BudgetsTable[[#This Row],[pi_last_name]]=" ","",HYPERLINK("https://www.ejacket.nsf.gov/ej/processReviewAnalysis.do?dispatch=add&amp;uniqId="&amp;BudgetsTable[[#This Row],[prop_id]]&amp;PO_id,"&gt;ra"))</f>
        <v/>
      </c>
      <c r="N82" s="80" t="s">
        <v>13</v>
      </c>
      <c r="O82" s="7" t="str">
        <f>IF(BudgetsTable[[#This Row],[pi_last_name]]=" ","",HYPERLINK("mailto:"&amp;BudgetsTable[[#This Row],[pi_email]]&amp;"&amp;subject=Your NSF Proposal:  "&amp;BudgetsTable[[#This Row],[prop_id]],BudgetsTable[[#This Row],[pi_email]]))</f>
        <v/>
      </c>
      <c r="P82" s="80" t="s">
        <v>13</v>
      </c>
      <c r="Q82" s="80">
        <v>1</v>
      </c>
      <c r="R82" s="80">
        <v>1</v>
      </c>
      <c r="S82" s="81">
        <v>0</v>
      </c>
      <c r="T82" s="81">
        <v>3000</v>
      </c>
      <c r="U82" s="81">
        <v>0</v>
      </c>
      <c r="V82" s="82">
        <v>100715</v>
      </c>
      <c r="W82" s="80">
        <v>0</v>
      </c>
      <c r="X82" s="80">
        <v>1</v>
      </c>
      <c r="Y82" s="11" t="str">
        <f ca="1">IF(ISBLANK(BudgetsTable[[#This Row],[budg_seq_yr]]),"FY"&amp;fiscalyear,"FY"&amp;fiscalyear-1+BudgetsTable[[#This Row],[budg_seq_yr]])</f>
        <v>FY18</v>
      </c>
      <c r="Z82" s="81">
        <v>100715</v>
      </c>
      <c r="AA82" s="80" t="s">
        <v>222</v>
      </c>
      <c r="AB82" s="80" t="s">
        <v>405</v>
      </c>
      <c r="AC82" s="80" t="s">
        <v>411</v>
      </c>
    </row>
    <row r="83" spans="1:29" x14ac:dyDescent="0.4">
      <c r="A83" s="10" t="s">
        <v>1044</v>
      </c>
      <c r="B83" s="78" t="s">
        <v>96</v>
      </c>
      <c r="C83" s="78">
        <f>C82+(BudgetsTable[[#This Row],[lead]]&lt;&gt;K82)</f>
        <v>24</v>
      </c>
      <c r="D83" s="78">
        <f>D82*(BudgetsTable[[#This Row],[lead]]=K82)+(BudgetsTable[[#This Row],[prop_id]]&lt;&gt;A82)</f>
        <v>1</v>
      </c>
      <c r="E83" s="79">
        <v>42571.484722222223</v>
      </c>
      <c r="F83" s="80" t="s">
        <v>975</v>
      </c>
      <c r="G83" s="80" t="s">
        <v>222</v>
      </c>
      <c r="H83" s="80" t="s">
        <v>405</v>
      </c>
      <c r="I83" s="78" t="s">
        <v>422</v>
      </c>
      <c r="J83" s="78" t="s">
        <v>13</v>
      </c>
      <c r="K83" s="80" t="s">
        <v>1044</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80" t="s">
        <v>13</v>
      </c>
      <c r="O83" s="7" t="str">
        <f>IF(BudgetsTable[[#This Row],[pi_last_name]]=" ","",HYPERLINK("mailto:"&amp;BudgetsTable[[#This Row],[pi_email]]&amp;"&amp;subject=Your NSF Proposal:  "&amp;BudgetsTable[[#This Row],[prop_id]],BudgetsTable[[#This Row],[pi_email]]))</f>
        <v/>
      </c>
      <c r="P83" s="80" t="s">
        <v>13</v>
      </c>
      <c r="Q83" s="80">
        <v>1</v>
      </c>
      <c r="R83" s="80">
        <v>1</v>
      </c>
      <c r="S83" s="81">
        <v>0</v>
      </c>
      <c r="T83" s="81">
        <v>3090</v>
      </c>
      <c r="U83" s="81">
        <v>0</v>
      </c>
      <c r="V83" s="82">
        <v>103735</v>
      </c>
      <c r="W83" s="80">
        <v>0</v>
      </c>
      <c r="X83" s="80">
        <v>2</v>
      </c>
      <c r="Y83" s="11" t="str">
        <f ca="1">IF(ISBLANK(BudgetsTable[[#This Row],[budg_seq_yr]]),"FY"&amp;fiscalyear,"FY"&amp;fiscalyear-1+BudgetsTable[[#This Row],[budg_seq_yr]])</f>
        <v>FY19</v>
      </c>
      <c r="Z83" s="81">
        <v>103735</v>
      </c>
      <c r="AA83" s="80" t="s">
        <v>222</v>
      </c>
      <c r="AB83" s="80" t="s">
        <v>405</v>
      </c>
      <c r="AC83" s="80" t="s">
        <v>411</v>
      </c>
    </row>
    <row r="84" spans="1:29" x14ac:dyDescent="0.4">
      <c r="A84" s="10" t="s">
        <v>1044</v>
      </c>
      <c r="B84" s="78" t="s">
        <v>96</v>
      </c>
      <c r="C84" s="78">
        <f>C83+(BudgetsTable[[#This Row],[lead]]&lt;&gt;K83)</f>
        <v>24</v>
      </c>
      <c r="D84" s="78">
        <f>D83*(BudgetsTable[[#This Row],[lead]]=K83)+(BudgetsTable[[#This Row],[prop_id]]&lt;&gt;A83)</f>
        <v>1</v>
      </c>
      <c r="E84" s="79">
        <v>42571.484722222223</v>
      </c>
      <c r="F84" s="80" t="s">
        <v>975</v>
      </c>
      <c r="G84" s="80" t="s">
        <v>222</v>
      </c>
      <c r="H84" s="80" t="s">
        <v>405</v>
      </c>
      <c r="I84" s="78" t="s">
        <v>422</v>
      </c>
      <c r="J84" s="78" t="s">
        <v>13</v>
      </c>
      <c r="K84" s="80" t="s">
        <v>1044</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80" t="s">
        <v>13</v>
      </c>
      <c r="O84" s="7" t="str">
        <f>IF(BudgetsTable[[#This Row],[pi_last_name]]=" ","",HYPERLINK("mailto:"&amp;BudgetsTable[[#This Row],[pi_email]]&amp;"&amp;subject=Your NSF Proposal:  "&amp;BudgetsTable[[#This Row],[prop_id]],BudgetsTable[[#This Row],[pi_email]]))</f>
        <v/>
      </c>
      <c r="P84" s="80" t="s">
        <v>13</v>
      </c>
      <c r="Q84" s="80">
        <v>1</v>
      </c>
      <c r="R84" s="80">
        <v>1</v>
      </c>
      <c r="S84" s="81">
        <v>0</v>
      </c>
      <c r="T84" s="81">
        <v>3183</v>
      </c>
      <c r="U84" s="81">
        <v>0</v>
      </c>
      <c r="V84" s="82">
        <v>106848</v>
      </c>
      <c r="W84" s="80">
        <v>0</v>
      </c>
      <c r="X84" s="80">
        <v>3</v>
      </c>
      <c r="Y84" s="11" t="str">
        <f ca="1">IF(ISBLANK(BudgetsTable[[#This Row],[budg_seq_yr]]),"FY"&amp;fiscalyear,"FY"&amp;fiscalyear-1+BudgetsTable[[#This Row],[budg_seq_yr]])</f>
        <v>FY20</v>
      </c>
      <c r="Z84" s="81">
        <v>106848</v>
      </c>
      <c r="AA84" s="80" t="s">
        <v>222</v>
      </c>
      <c r="AB84" s="80" t="s">
        <v>405</v>
      </c>
      <c r="AC84" s="80" t="s">
        <v>411</v>
      </c>
    </row>
    <row r="85" spans="1:29" x14ac:dyDescent="0.4">
      <c r="A85" s="10" t="s">
        <v>1044</v>
      </c>
      <c r="B85" s="78" t="s">
        <v>96</v>
      </c>
      <c r="C85" s="78">
        <f>C84+(BudgetsTable[[#This Row],[lead]]&lt;&gt;K84)</f>
        <v>24</v>
      </c>
      <c r="D85" s="78">
        <f>D84*(BudgetsTable[[#This Row],[lead]]=K84)+(BudgetsTable[[#This Row],[prop_id]]&lt;&gt;A84)</f>
        <v>1</v>
      </c>
      <c r="E85" s="79">
        <v>42571.484722222223</v>
      </c>
      <c r="F85" s="80" t="s">
        <v>975</v>
      </c>
      <c r="G85" s="80" t="s">
        <v>222</v>
      </c>
      <c r="H85" s="80" t="s">
        <v>405</v>
      </c>
      <c r="I85" s="78" t="s">
        <v>422</v>
      </c>
      <c r="J85" s="78" t="s">
        <v>13</v>
      </c>
      <c r="K85" s="80" t="s">
        <v>1044</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80" t="s">
        <v>13</v>
      </c>
      <c r="O85" s="7" t="str">
        <f>IF(BudgetsTable[[#This Row],[pi_last_name]]=" ","",HYPERLINK("mailto:"&amp;BudgetsTable[[#This Row],[pi_email]]&amp;"&amp;subject=Your NSF Proposal:  "&amp;BudgetsTable[[#This Row],[prop_id]],BudgetsTable[[#This Row],[pi_email]]))</f>
        <v/>
      </c>
      <c r="P85" s="80" t="s">
        <v>13</v>
      </c>
      <c r="Q85" s="80">
        <v>1</v>
      </c>
      <c r="R85" s="80">
        <v>1</v>
      </c>
      <c r="S85" s="81">
        <v>0</v>
      </c>
      <c r="T85" s="81">
        <v>3278</v>
      </c>
      <c r="U85" s="81">
        <v>0</v>
      </c>
      <c r="V85" s="82">
        <v>110052</v>
      </c>
      <c r="W85" s="80">
        <v>0</v>
      </c>
      <c r="X85" s="80">
        <v>4</v>
      </c>
      <c r="Y85" s="11" t="str">
        <f ca="1">IF(ISBLANK(BudgetsTable[[#This Row],[budg_seq_yr]]),"FY"&amp;fiscalyear,"FY"&amp;fiscalyear-1+BudgetsTable[[#This Row],[budg_seq_yr]])</f>
        <v>FY21</v>
      </c>
      <c r="Z85" s="81">
        <v>110052</v>
      </c>
      <c r="AA85" s="80" t="s">
        <v>222</v>
      </c>
      <c r="AB85" s="80" t="s">
        <v>405</v>
      </c>
      <c r="AC85" s="80" t="s">
        <v>411</v>
      </c>
    </row>
    <row r="86" spans="1:29" x14ac:dyDescent="0.4">
      <c r="A86" s="10" t="s">
        <v>1044</v>
      </c>
      <c r="B86" s="78" t="s">
        <v>96</v>
      </c>
      <c r="C86" s="78">
        <f>C85+(BudgetsTable[[#This Row],[lead]]&lt;&gt;K85)</f>
        <v>24</v>
      </c>
      <c r="D86" s="78">
        <f>D85*(BudgetsTable[[#This Row],[lead]]=K85)+(BudgetsTable[[#This Row],[prop_id]]&lt;&gt;A85)</f>
        <v>1</v>
      </c>
      <c r="E86" s="79">
        <v>42571.484722222223</v>
      </c>
      <c r="F86" s="80" t="s">
        <v>975</v>
      </c>
      <c r="G86" s="80" t="s">
        <v>222</v>
      </c>
      <c r="H86" s="80" t="s">
        <v>405</v>
      </c>
      <c r="I86" s="78" t="s">
        <v>422</v>
      </c>
      <c r="J86" s="78" t="s">
        <v>13</v>
      </c>
      <c r="K86" s="80" t="s">
        <v>1044</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80" t="s">
        <v>13</v>
      </c>
      <c r="O86" s="7" t="str">
        <f>IF(BudgetsTable[[#This Row],[pi_last_name]]=" ","",HYPERLINK("mailto:"&amp;BudgetsTable[[#This Row],[pi_email]]&amp;"&amp;subject=Your NSF Proposal:  "&amp;BudgetsTable[[#This Row],[prop_id]],BudgetsTable[[#This Row],[pi_email]]))</f>
        <v/>
      </c>
      <c r="P86" s="80" t="s">
        <v>13</v>
      </c>
      <c r="Q86" s="80">
        <v>1</v>
      </c>
      <c r="R86" s="80">
        <v>1</v>
      </c>
      <c r="S86" s="81">
        <v>0</v>
      </c>
      <c r="T86" s="81">
        <v>3377</v>
      </c>
      <c r="U86" s="81">
        <v>0</v>
      </c>
      <c r="V86" s="82">
        <v>113354</v>
      </c>
      <c r="W86" s="80">
        <v>0</v>
      </c>
      <c r="X86" s="80">
        <v>5</v>
      </c>
      <c r="Y86" s="11" t="str">
        <f ca="1">IF(ISBLANK(BudgetsTable[[#This Row],[budg_seq_yr]]),"FY"&amp;fiscalyear,"FY"&amp;fiscalyear-1+BudgetsTable[[#This Row],[budg_seq_yr]])</f>
        <v>FY22</v>
      </c>
      <c r="Z86" s="81">
        <v>113354</v>
      </c>
      <c r="AA86" s="80" t="s">
        <v>222</v>
      </c>
      <c r="AB86" s="80" t="s">
        <v>405</v>
      </c>
      <c r="AC86" s="80" t="s">
        <v>411</v>
      </c>
    </row>
    <row r="87" spans="1:29" x14ac:dyDescent="0.4">
      <c r="A87" s="10" t="s">
        <v>1049</v>
      </c>
      <c r="B87" s="78" t="s">
        <v>96</v>
      </c>
      <c r="C87" s="78">
        <f>C86+(BudgetsTable[[#This Row],[lead]]&lt;&gt;K86)</f>
        <v>25</v>
      </c>
      <c r="D87" s="78">
        <f>D86*(BudgetsTable[[#This Row],[lead]]=K86)+(BudgetsTable[[#This Row],[prop_id]]&lt;&gt;A86)</f>
        <v>1</v>
      </c>
      <c r="E87" s="79">
        <v>42571.563888888886</v>
      </c>
      <c r="F87" s="80" t="s">
        <v>975</v>
      </c>
      <c r="G87" s="80" t="s">
        <v>222</v>
      </c>
      <c r="H87" s="80" t="s">
        <v>405</v>
      </c>
      <c r="I87" s="78" t="s">
        <v>406</v>
      </c>
      <c r="J87" s="78" t="s">
        <v>1054</v>
      </c>
      <c r="K87" s="80" t="s">
        <v>1049</v>
      </c>
      <c r="L87" s="7" t="str">
        <f>IF(BudgetsTable[[#This Row],[pi_last_name]]=" ","",HYPERLINK("https://www.ejacket.nsf.gov/ej/showProposal.do?Continue=Y&amp;ID="&amp;BudgetsTable[[#This Row],[prop_id]],BudgetsTable[[#This Row],[prop_id]]))</f>
        <v>1652218</v>
      </c>
      <c r="M87" s="15" t="str">
        <f>IF(BudgetsTable[[#This Row],[pi_last_name]]=" ","",HYPERLINK("https://www.ejacket.nsf.gov/ej/processReviewAnalysis.do?dispatch=add&amp;uniqId="&amp;BudgetsTable[[#This Row],[prop_id]]&amp;PO_id,"&gt;ra"))</f>
        <v>&gt;ra</v>
      </c>
      <c r="N87" s="80" t="s">
        <v>1050</v>
      </c>
      <c r="O87" s="7" t="str">
        <f>IF(BudgetsTable[[#This Row],[pi_last_name]]=" ","",HYPERLINK("mailto:"&amp;BudgetsTable[[#This Row],[pi_email]]&amp;"&amp;subject=Your NSF Proposal:  "&amp;BudgetsTable[[#This Row],[prop_id]],BudgetsTable[[#This Row],[pi_email]]))</f>
        <v>donald@engr.uconn.edu</v>
      </c>
      <c r="P87" s="80" t="s">
        <v>1052</v>
      </c>
      <c r="Q87" s="80"/>
      <c r="R87" s="80"/>
      <c r="S87" s="81"/>
      <c r="T87" s="81"/>
      <c r="U87" s="81"/>
      <c r="V87" s="82"/>
      <c r="W87" s="80">
        <v>0</v>
      </c>
      <c r="X87" s="80"/>
      <c r="Y87" s="11" t="str">
        <f ca="1">IF(ISBLANK(BudgetsTable[[#This Row],[budg_seq_yr]]),"FY"&amp;fiscalyear,"FY"&amp;fiscalyear-1+BudgetsTable[[#This Row],[budg_seq_yr]])</f>
        <v>FY18</v>
      </c>
      <c r="Z87" s="81">
        <v>511429</v>
      </c>
      <c r="AA87" s="80" t="s">
        <v>222</v>
      </c>
      <c r="AB87" s="80" t="s">
        <v>405</v>
      </c>
      <c r="AC87" s="80" t="s">
        <v>419</v>
      </c>
    </row>
    <row r="88" spans="1:29" x14ac:dyDescent="0.4">
      <c r="A88" s="10" t="s">
        <v>1049</v>
      </c>
      <c r="B88" s="78" t="s">
        <v>96</v>
      </c>
      <c r="C88" s="78">
        <f>C87+(BudgetsTable[[#This Row],[lead]]&lt;&gt;K87)</f>
        <v>25</v>
      </c>
      <c r="D88" s="78">
        <f>D87*(BudgetsTable[[#This Row],[lead]]=K87)+(BudgetsTable[[#This Row],[prop_id]]&lt;&gt;A87)</f>
        <v>1</v>
      </c>
      <c r="E88" s="79">
        <v>42571.563888888886</v>
      </c>
      <c r="F88" s="80" t="s">
        <v>975</v>
      </c>
      <c r="G88" s="80" t="s">
        <v>222</v>
      </c>
      <c r="H88" s="80" t="s">
        <v>405</v>
      </c>
      <c r="I88" s="78" t="s">
        <v>406</v>
      </c>
      <c r="J88" s="78" t="s">
        <v>13</v>
      </c>
      <c r="K88" s="80" t="s">
        <v>1049</v>
      </c>
      <c r="L88" s="7" t="str">
        <f>IF(BudgetsTable[[#This Row],[pi_last_name]]=" ","",HYPERLINK("https://www.ejacket.nsf.gov/ej/showProposal.do?Continue=Y&amp;ID="&amp;BudgetsTable[[#This Row],[prop_id]],BudgetsTable[[#This Row],[prop_id]]))</f>
        <v/>
      </c>
      <c r="M88" s="15" t="str">
        <f>IF(BudgetsTable[[#This Row],[pi_last_name]]=" ","",HYPERLINK("https://www.ejacket.nsf.gov/ej/processReviewAnalysis.do?dispatch=add&amp;uniqId="&amp;BudgetsTable[[#This Row],[prop_id]]&amp;PO_id,"&gt;ra"))</f>
        <v/>
      </c>
      <c r="N88" s="80" t="s">
        <v>13</v>
      </c>
      <c r="O88" s="7" t="str">
        <f>IF(BudgetsTable[[#This Row],[pi_last_name]]=" ","",HYPERLINK("mailto:"&amp;BudgetsTable[[#This Row],[pi_email]]&amp;"&amp;subject=Your NSF Proposal:  "&amp;BudgetsTable[[#This Row],[prop_id]],BudgetsTable[[#This Row],[pi_email]]))</f>
        <v/>
      </c>
      <c r="P88" s="80" t="s">
        <v>13</v>
      </c>
      <c r="Q88" s="80">
        <v>1</v>
      </c>
      <c r="R88" s="80">
        <v>1</v>
      </c>
      <c r="S88" s="81">
        <v>0</v>
      </c>
      <c r="T88" s="81">
        <v>4000</v>
      </c>
      <c r="U88" s="81">
        <v>0</v>
      </c>
      <c r="V88" s="82">
        <v>110604</v>
      </c>
      <c r="W88" s="80">
        <v>0</v>
      </c>
      <c r="X88" s="80">
        <v>1</v>
      </c>
      <c r="Y88" s="11" t="str">
        <f ca="1">IF(ISBLANK(BudgetsTable[[#This Row],[budg_seq_yr]]),"FY"&amp;fiscalyear,"FY"&amp;fiscalyear-1+BudgetsTable[[#This Row],[budg_seq_yr]])</f>
        <v>FY18</v>
      </c>
      <c r="Z88" s="81">
        <v>110604</v>
      </c>
      <c r="AA88" s="80" t="s">
        <v>222</v>
      </c>
      <c r="AB88" s="80" t="s">
        <v>405</v>
      </c>
      <c r="AC88" s="80" t="s">
        <v>419</v>
      </c>
    </row>
    <row r="89" spans="1:29" x14ac:dyDescent="0.4">
      <c r="A89" s="10" t="s">
        <v>1049</v>
      </c>
      <c r="B89" s="78" t="s">
        <v>96</v>
      </c>
      <c r="C89" s="78">
        <f>C88+(BudgetsTable[[#This Row],[lead]]&lt;&gt;K88)</f>
        <v>25</v>
      </c>
      <c r="D89" s="78">
        <f>D88*(BudgetsTable[[#This Row],[lead]]=K88)+(BudgetsTable[[#This Row],[prop_id]]&lt;&gt;A88)</f>
        <v>1</v>
      </c>
      <c r="E89" s="79">
        <v>42571.563888888886</v>
      </c>
      <c r="F89" s="80" t="s">
        <v>975</v>
      </c>
      <c r="G89" s="80" t="s">
        <v>222</v>
      </c>
      <c r="H89" s="80" t="s">
        <v>405</v>
      </c>
      <c r="I89" s="78" t="s">
        <v>406</v>
      </c>
      <c r="J89" s="78" t="s">
        <v>13</v>
      </c>
      <c r="K89" s="80" t="s">
        <v>1049</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80" t="s">
        <v>13</v>
      </c>
      <c r="O89" s="7" t="str">
        <f>IF(BudgetsTable[[#This Row],[pi_last_name]]=" ","",HYPERLINK("mailto:"&amp;BudgetsTable[[#This Row],[pi_email]]&amp;"&amp;subject=Your NSF Proposal:  "&amp;BudgetsTable[[#This Row],[prop_id]],BudgetsTable[[#This Row],[pi_email]]))</f>
        <v/>
      </c>
      <c r="P89" s="80" t="s">
        <v>13</v>
      </c>
      <c r="Q89" s="80">
        <v>1</v>
      </c>
      <c r="R89" s="80">
        <v>1</v>
      </c>
      <c r="S89" s="81">
        <v>0</v>
      </c>
      <c r="T89" s="81">
        <v>4000</v>
      </c>
      <c r="U89" s="81">
        <v>0</v>
      </c>
      <c r="V89" s="82">
        <v>113028</v>
      </c>
      <c r="W89" s="80">
        <v>0</v>
      </c>
      <c r="X89" s="80">
        <v>2</v>
      </c>
      <c r="Y89" s="11" t="str">
        <f ca="1">IF(ISBLANK(BudgetsTable[[#This Row],[budg_seq_yr]]),"FY"&amp;fiscalyear,"FY"&amp;fiscalyear-1+BudgetsTable[[#This Row],[budg_seq_yr]])</f>
        <v>FY19</v>
      </c>
      <c r="Z89" s="81">
        <v>113028</v>
      </c>
      <c r="AA89" s="80" t="s">
        <v>222</v>
      </c>
      <c r="AB89" s="80" t="s">
        <v>405</v>
      </c>
      <c r="AC89" s="80" t="s">
        <v>419</v>
      </c>
    </row>
    <row r="90" spans="1:29" x14ac:dyDescent="0.4">
      <c r="A90" s="10" t="s">
        <v>1049</v>
      </c>
      <c r="B90" s="78" t="s">
        <v>96</v>
      </c>
      <c r="C90" s="78">
        <f>C89+(BudgetsTable[[#This Row],[lead]]&lt;&gt;K89)</f>
        <v>25</v>
      </c>
      <c r="D90" s="78">
        <f>D89*(BudgetsTable[[#This Row],[lead]]=K89)+(BudgetsTable[[#This Row],[prop_id]]&lt;&gt;A89)</f>
        <v>1</v>
      </c>
      <c r="E90" s="79">
        <v>42571.563888888886</v>
      </c>
      <c r="F90" s="80" t="s">
        <v>975</v>
      </c>
      <c r="G90" s="80" t="s">
        <v>222</v>
      </c>
      <c r="H90" s="80" t="s">
        <v>405</v>
      </c>
      <c r="I90" s="78" t="s">
        <v>406</v>
      </c>
      <c r="J90" s="78" t="s">
        <v>13</v>
      </c>
      <c r="K90" s="80" t="s">
        <v>1049</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80" t="s">
        <v>13</v>
      </c>
      <c r="O90" s="7" t="str">
        <f>IF(BudgetsTable[[#This Row],[pi_last_name]]=" ","",HYPERLINK("mailto:"&amp;BudgetsTable[[#This Row],[pi_email]]&amp;"&amp;subject=Your NSF Proposal:  "&amp;BudgetsTable[[#This Row],[prop_id]],BudgetsTable[[#This Row],[pi_email]]))</f>
        <v/>
      </c>
      <c r="P90" s="80" t="s">
        <v>13</v>
      </c>
      <c r="Q90" s="80">
        <v>1</v>
      </c>
      <c r="R90" s="80">
        <v>1</v>
      </c>
      <c r="S90" s="81">
        <v>0</v>
      </c>
      <c r="T90" s="81">
        <v>4000</v>
      </c>
      <c r="U90" s="81">
        <v>0</v>
      </c>
      <c r="V90" s="82">
        <v>118221</v>
      </c>
      <c r="W90" s="80">
        <v>0</v>
      </c>
      <c r="X90" s="80">
        <v>3</v>
      </c>
      <c r="Y90" s="11" t="str">
        <f ca="1">IF(ISBLANK(BudgetsTable[[#This Row],[budg_seq_yr]]),"FY"&amp;fiscalyear,"FY"&amp;fiscalyear-1+BudgetsTable[[#This Row],[budg_seq_yr]])</f>
        <v>FY20</v>
      </c>
      <c r="Z90" s="81">
        <v>118221</v>
      </c>
      <c r="AA90" s="80" t="s">
        <v>222</v>
      </c>
      <c r="AB90" s="80" t="s">
        <v>405</v>
      </c>
      <c r="AC90" s="80" t="s">
        <v>419</v>
      </c>
    </row>
    <row r="91" spans="1:29" x14ac:dyDescent="0.4">
      <c r="A91" s="10" t="s">
        <v>1049</v>
      </c>
      <c r="B91" s="78" t="s">
        <v>96</v>
      </c>
      <c r="C91" s="78">
        <f>C90+(BudgetsTable[[#This Row],[lead]]&lt;&gt;K90)</f>
        <v>25</v>
      </c>
      <c r="D91" s="78">
        <f>D90*(BudgetsTable[[#This Row],[lead]]=K90)+(BudgetsTable[[#This Row],[prop_id]]&lt;&gt;A90)</f>
        <v>1</v>
      </c>
      <c r="E91" s="79">
        <v>42571.563888888886</v>
      </c>
      <c r="F91" s="80" t="s">
        <v>975</v>
      </c>
      <c r="G91" s="80" t="s">
        <v>222</v>
      </c>
      <c r="H91" s="80" t="s">
        <v>405</v>
      </c>
      <c r="I91" s="78" t="s">
        <v>406</v>
      </c>
      <c r="J91" s="78" t="s">
        <v>13</v>
      </c>
      <c r="K91" s="80" t="s">
        <v>1049</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80" t="s">
        <v>13</v>
      </c>
      <c r="O91" s="7" t="str">
        <f>IF(BudgetsTable[[#This Row],[pi_last_name]]=" ","",HYPERLINK("mailto:"&amp;BudgetsTable[[#This Row],[pi_email]]&amp;"&amp;subject=Your NSF Proposal:  "&amp;BudgetsTable[[#This Row],[prop_id]],BudgetsTable[[#This Row],[pi_email]]))</f>
        <v/>
      </c>
      <c r="P91" s="80" t="s">
        <v>13</v>
      </c>
      <c r="Q91" s="80">
        <v>1</v>
      </c>
      <c r="R91" s="80">
        <v>1</v>
      </c>
      <c r="S91" s="81">
        <v>0</v>
      </c>
      <c r="T91" s="81">
        <v>4000</v>
      </c>
      <c r="U91" s="81">
        <v>0</v>
      </c>
      <c r="V91" s="82">
        <v>117257</v>
      </c>
      <c r="W91" s="80">
        <v>0</v>
      </c>
      <c r="X91" s="80">
        <v>4</v>
      </c>
      <c r="Y91" s="11" t="str">
        <f ca="1">IF(ISBLANK(BudgetsTable[[#This Row],[budg_seq_yr]]),"FY"&amp;fiscalyear,"FY"&amp;fiscalyear-1+BudgetsTable[[#This Row],[budg_seq_yr]])</f>
        <v>FY21</v>
      </c>
      <c r="Z91" s="81">
        <v>117257</v>
      </c>
      <c r="AA91" s="80" t="s">
        <v>222</v>
      </c>
      <c r="AB91" s="80" t="s">
        <v>405</v>
      </c>
      <c r="AC91" s="80" t="s">
        <v>419</v>
      </c>
    </row>
    <row r="92" spans="1:29" x14ac:dyDescent="0.4">
      <c r="A92" s="10" t="s">
        <v>1049</v>
      </c>
      <c r="B92" s="78" t="s">
        <v>96</v>
      </c>
      <c r="C92" s="78">
        <f>C91+(BudgetsTable[[#This Row],[lead]]&lt;&gt;K91)</f>
        <v>25</v>
      </c>
      <c r="D92" s="78">
        <f>D91*(BudgetsTable[[#This Row],[lead]]=K91)+(BudgetsTable[[#This Row],[prop_id]]&lt;&gt;A91)</f>
        <v>1</v>
      </c>
      <c r="E92" s="79">
        <v>42571.563888888886</v>
      </c>
      <c r="F92" s="80" t="s">
        <v>975</v>
      </c>
      <c r="G92" s="80" t="s">
        <v>222</v>
      </c>
      <c r="H92" s="80" t="s">
        <v>405</v>
      </c>
      <c r="I92" s="78" t="s">
        <v>406</v>
      </c>
      <c r="J92" s="78" t="s">
        <v>13</v>
      </c>
      <c r="K92" s="80" t="s">
        <v>1049</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80" t="s">
        <v>13</v>
      </c>
      <c r="O92" s="7" t="str">
        <f>IF(BudgetsTable[[#This Row],[pi_last_name]]=" ","",HYPERLINK("mailto:"&amp;BudgetsTable[[#This Row],[pi_email]]&amp;"&amp;subject=Your NSF Proposal:  "&amp;BudgetsTable[[#This Row],[prop_id]],BudgetsTable[[#This Row],[pi_email]]))</f>
        <v/>
      </c>
      <c r="P92" s="80" t="s">
        <v>13</v>
      </c>
      <c r="Q92" s="80">
        <v>1</v>
      </c>
      <c r="R92" s="80">
        <v>1</v>
      </c>
      <c r="S92" s="81">
        <v>0</v>
      </c>
      <c r="T92" s="81">
        <v>4000</v>
      </c>
      <c r="U92" s="81">
        <v>0</v>
      </c>
      <c r="V92" s="82">
        <v>52319</v>
      </c>
      <c r="W92" s="80">
        <v>0</v>
      </c>
      <c r="X92" s="80">
        <v>5</v>
      </c>
      <c r="Y92" s="11" t="str">
        <f ca="1">IF(ISBLANK(BudgetsTable[[#This Row],[budg_seq_yr]]),"FY"&amp;fiscalyear,"FY"&amp;fiscalyear-1+BudgetsTable[[#This Row],[budg_seq_yr]])</f>
        <v>FY22</v>
      </c>
      <c r="Z92" s="81">
        <v>52319</v>
      </c>
      <c r="AA92" s="80" t="s">
        <v>222</v>
      </c>
      <c r="AB92" s="80" t="s">
        <v>405</v>
      </c>
      <c r="AC92" s="80" t="s">
        <v>419</v>
      </c>
    </row>
    <row r="93" spans="1:29" x14ac:dyDescent="0.4">
      <c r="A93" s="10" t="s">
        <v>1057</v>
      </c>
      <c r="B93" s="78" t="s">
        <v>96</v>
      </c>
      <c r="C93" s="78">
        <f>C92+(BudgetsTable[[#This Row],[lead]]&lt;&gt;K92)</f>
        <v>26</v>
      </c>
      <c r="D93" s="78">
        <f>D92*(BudgetsTable[[#This Row],[lead]]=K92)+(BudgetsTable[[#This Row],[prop_id]]&lt;&gt;A92)</f>
        <v>1</v>
      </c>
      <c r="E93" s="79">
        <v>42571.569444444445</v>
      </c>
      <c r="F93" s="80" t="s">
        <v>975</v>
      </c>
      <c r="G93" s="80" t="s">
        <v>222</v>
      </c>
      <c r="H93" s="80" t="s">
        <v>405</v>
      </c>
      <c r="I93" s="78" t="s">
        <v>451</v>
      </c>
      <c r="J93" s="78" t="s">
        <v>1061</v>
      </c>
      <c r="K93" s="80" t="s">
        <v>1057</v>
      </c>
      <c r="L93" s="7" t="str">
        <f>IF(BudgetsTable[[#This Row],[pi_last_name]]=" ","",HYPERLINK("https://www.ejacket.nsf.gov/ej/showProposal.do?Continue=Y&amp;ID="&amp;BudgetsTable[[#This Row],[prop_id]],BudgetsTable[[#This Row],[prop_id]]))</f>
        <v>1652235</v>
      </c>
      <c r="M93" s="15" t="str">
        <f>IF(BudgetsTable[[#This Row],[pi_last_name]]=" ","",HYPERLINK("https://www.ejacket.nsf.gov/ej/processReviewAnalysis.do?dispatch=add&amp;uniqId="&amp;BudgetsTable[[#This Row],[prop_id]]&amp;PO_id,"&gt;ra"))</f>
        <v>&gt;ra</v>
      </c>
      <c r="N93" s="80" t="s">
        <v>1058</v>
      </c>
      <c r="O93" s="7" t="str">
        <f>IF(BudgetsTable[[#This Row],[pi_last_name]]=" ","",HYPERLINK("mailto:"&amp;BudgetsTable[[#This Row],[pi_email]]&amp;"&amp;subject=Your NSF Proposal:  "&amp;BudgetsTable[[#This Row],[prop_id]],BudgetsTable[[#This Row],[pi_email]]))</f>
        <v>anindya.de1@northwestern.edu</v>
      </c>
      <c r="P93" s="80" t="s">
        <v>1060</v>
      </c>
      <c r="Q93" s="80"/>
      <c r="R93" s="80"/>
      <c r="S93" s="81"/>
      <c r="T93" s="81"/>
      <c r="U93" s="81"/>
      <c r="V93" s="82"/>
      <c r="W93" s="80">
        <v>0</v>
      </c>
      <c r="X93" s="80"/>
      <c r="Y93" s="11" t="str">
        <f ca="1">IF(ISBLANK(BudgetsTable[[#This Row],[budg_seq_yr]]),"FY"&amp;fiscalyear,"FY"&amp;fiscalyear-1+BudgetsTable[[#This Row],[budg_seq_yr]])</f>
        <v>FY18</v>
      </c>
      <c r="Z93" s="81">
        <v>502206</v>
      </c>
      <c r="AA93" s="80" t="s">
        <v>222</v>
      </c>
      <c r="AB93" s="80" t="s">
        <v>405</v>
      </c>
      <c r="AC93" s="80" t="s">
        <v>1062</v>
      </c>
    </row>
    <row r="94" spans="1:29" x14ac:dyDescent="0.4">
      <c r="A94" s="10" t="s">
        <v>1057</v>
      </c>
      <c r="B94" s="78" t="s">
        <v>96</v>
      </c>
      <c r="C94" s="78">
        <f>C93+(BudgetsTable[[#This Row],[lead]]&lt;&gt;K93)</f>
        <v>26</v>
      </c>
      <c r="D94" s="78">
        <f>D93*(BudgetsTable[[#This Row],[lead]]=K93)+(BudgetsTable[[#This Row],[prop_id]]&lt;&gt;A93)</f>
        <v>1</v>
      </c>
      <c r="E94" s="79">
        <v>42571.569444444445</v>
      </c>
      <c r="F94" s="80" t="s">
        <v>975</v>
      </c>
      <c r="G94" s="80" t="s">
        <v>222</v>
      </c>
      <c r="H94" s="80" t="s">
        <v>405</v>
      </c>
      <c r="I94" s="78" t="s">
        <v>451</v>
      </c>
      <c r="J94" s="78" t="s">
        <v>13</v>
      </c>
      <c r="K94" s="80" t="s">
        <v>1057</v>
      </c>
      <c r="L94" s="7" t="str">
        <f>IF(BudgetsTable[[#This Row],[pi_last_name]]=" ","",HYPERLINK("https://www.ejacket.nsf.gov/ej/showProposal.do?Continue=Y&amp;ID="&amp;BudgetsTable[[#This Row],[prop_id]],BudgetsTable[[#This Row],[prop_id]]))</f>
        <v/>
      </c>
      <c r="M94" s="15" t="str">
        <f>IF(BudgetsTable[[#This Row],[pi_last_name]]=" ","",HYPERLINK("https://www.ejacket.nsf.gov/ej/processReviewAnalysis.do?dispatch=add&amp;uniqId="&amp;BudgetsTable[[#This Row],[prop_id]]&amp;PO_id,"&gt;ra"))</f>
        <v/>
      </c>
      <c r="N94" s="80" t="s">
        <v>13</v>
      </c>
      <c r="O94" s="7" t="str">
        <f>IF(BudgetsTable[[#This Row],[pi_last_name]]=" ","",HYPERLINK("mailto:"&amp;BudgetsTable[[#This Row],[pi_email]]&amp;"&amp;subject=Your NSF Proposal:  "&amp;BudgetsTable[[#This Row],[prop_id]],BudgetsTable[[#This Row],[pi_email]]))</f>
        <v/>
      </c>
      <c r="P94" s="80" t="s">
        <v>13</v>
      </c>
      <c r="Q94" s="80">
        <v>1</v>
      </c>
      <c r="R94" s="80">
        <v>1</v>
      </c>
      <c r="S94" s="81">
        <v>0</v>
      </c>
      <c r="T94" s="81">
        <v>0</v>
      </c>
      <c r="U94" s="81">
        <v>0</v>
      </c>
      <c r="V94" s="82">
        <v>59612</v>
      </c>
      <c r="W94" s="80">
        <v>0</v>
      </c>
      <c r="X94" s="80">
        <v>1</v>
      </c>
      <c r="Y94" s="11" t="str">
        <f ca="1">IF(ISBLANK(BudgetsTable[[#This Row],[budg_seq_yr]]),"FY"&amp;fiscalyear,"FY"&amp;fiscalyear-1+BudgetsTable[[#This Row],[budg_seq_yr]])</f>
        <v>FY18</v>
      </c>
      <c r="Z94" s="81">
        <v>59612</v>
      </c>
      <c r="AA94" s="80" t="s">
        <v>222</v>
      </c>
      <c r="AB94" s="80" t="s">
        <v>405</v>
      </c>
      <c r="AC94" s="80" t="s">
        <v>1062</v>
      </c>
    </row>
    <row r="95" spans="1:29" x14ac:dyDescent="0.4">
      <c r="A95" s="10" t="s">
        <v>1057</v>
      </c>
      <c r="B95" s="78" t="s">
        <v>96</v>
      </c>
      <c r="C95" s="78">
        <f>C94+(BudgetsTable[[#This Row],[lead]]&lt;&gt;K94)</f>
        <v>26</v>
      </c>
      <c r="D95" s="78">
        <f>D94*(BudgetsTable[[#This Row],[lead]]=K94)+(BudgetsTable[[#This Row],[prop_id]]&lt;&gt;A94)</f>
        <v>1</v>
      </c>
      <c r="E95" s="79">
        <v>42571.569444444445</v>
      </c>
      <c r="F95" s="80" t="s">
        <v>975</v>
      </c>
      <c r="G95" s="80" t="s">
        <v>222</v>
      </c>
      <c r="H95" s="80" t="s">
        <v>405</v>
      </c>
      <c r="I95" s="78" t="s">
        <v>451</v>
      </c>
      <c r="J95" s="78" t="s">
        <v>13</v>
      </c>
      <c r="K95" s="80" t="s">
        <v>1057</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80" t="s">
        <v>13</v>
      </c>
      <c r="O95" s="7" t="str">
        <f>IF(BudgetsTable[[#This Row],[pi_last_name]]=" ","",HYPERLINK("mailto:"&amp;BudgetsTable[[#This Row],[pi_email]]&amp;"&amp;subject=Your NSF Proposal:  "&amp;BudgetsTable[[#This Row],[prop_id]],BudgetsTable[[#This Row],[pi_email]]))</f>
        <v/>
      </c>
      <c r="P95" s="80" t="s">
        <v>13</v>
      </c>
      <c r="Q95" s="80">
        <v>1</v>
      </c>
      <c r="R95" s="80">
        <v>2</v>
      </c>
      <c r="S95" s="81">
        <v>0</v>
      </c>
      <c r="T95" s="81">
        <v>0</v>
      </c>
      <c r="U95" s="81">
        <v>0</v>
      </c>
      <c r="V95" s="82">
        <v>81305</v>
      </c>
      <c r="W95" s="80">
        <v>0</v>
      </c>
      <c r="X95" s="80">
        <v>2</v>
      </c>
      <c r="Y95" s="11" t="str">
        <f ca="1">IF(ISBLANK(BudgetsTable[[#This Row],[budg_seq_yr]]),"FY"&amp;fiscalyear,"FY"&amp;fiscalyear-1+BudgetsTable[[#This Row],[budg_seq_yr]])</f>
        <v>FY19</v>
      </c>
      <c r="Z95" s="81">
        <v>81305</v>
      </c>
      <c r="AA95" s="80" t="s">
        <v>222</v>
      </c>
      <c r="AB95" s="80" t="s">
        <v>405</v>
      </c>
      <c r="AC95" s="80" t="s">
        <v>1062</v>
      </c>
    </row>
    <row r="96" spans="1:29" x14ac:dyDescent="0.4">
      <c r="A96" s="10" t="s">
        <v>1057</v>
      </c>
      <c r="B96" s="78" t="s">
        <v>96</v>
      </c>
      <c r="C96" s="78">
        <f>C95+(BudgetsTable[[#This Row],[lead]]&lt;&gt;K95)</f>
        <v>26</v>
      </c>
      <c r="D96" s="78">
        <f>D95*(BudgetsTable[[#This Row],[lead]]=K95)+(BudgetsTable[[#This Row],[prop_id]]&lt;&gt;A95)</f>
        <v>1</v>
      </c>
      <c r="E96" s="79">
        <v>42571.569444444445</v>
      </c>
      <c r="F96" s="80" t="s">
        <v>975</v>
      </c>
      <c r="G96" s="80" t="s">
        <v>222</v>
      </c>
      <c r="H96" s="80" t="s">
        <v>405</v>
      </c>
      <c r="I96" s="78" t="s">
        <v>451</v>
      </c>
      <c r="J96" s="78" t="s">
        <v>13</v>
      </c>
      <c r="K96" s="80" t="s">
        <v>1057</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80" t="s">
        <v>13</v>
      </c>
      <c r="O96" s="7" t="str">
        <f>IF(BudgetsTable[[#This Row],[pi_last_name]]=" ","",HYPERLINK("mailto:"&amp;BudgetsTable[[#This Row],[pi_email]]&amp;"&amp;subject=Your NSF Proposal:  "&amp;BudgetsTable[[#This Row],[prop_id]],BudgetsTable[[#This Row],[pi_email]]))</f>
        <v/>
      </c>
      <c r="P96" s="80" t="s">
        <v>13</v>
      </c>
      <c r="Q96" s="80">
        <v>1</v>
      </c>
      <c r="R96" s="80">
        <v>2</v>
      </c>
      <c r="S96" s="81">
        <v>0</v>
      </c>
      <c r="T96" s="81">
        <v>0</v>
      </c>
      <c r="U96" s="81">
        <v>0</v>
      </c>
      <c r="V96" s="82">
        <v>101598</v>
      </c>
      <c r="W96" s="80">
        <v>0</v>
      </c>
      <c r="X96" s="80">
        <v>3</v>
      </c>
      <c r="Y96" s="11" t="str">
        <f ca="1">IF(ISBLANK(BudgetsTable[[#This Row],[budg_seq_yr]]),"FY"&amp;fiscalyear,"FY"&amp;fiscalyear-1+BudgetsTable[[#This Row],[budg_seq_yr]])</f>
        <v>FY20</v>
      </c>
      <c r="Z96" s="81">
        <v>101598</v>
      </c>
      <c r="AA96" s="80" t="s">
        <v>222</v>
      </c>
      <c r="AB96" s="80" t="s">
        <v>405</v>
      </c>
      <c r="AC96" s="80" t="s">
        <v>1062</v>
      </c>
    </row>
    <row r="97" spans="1:29" x14ac:dyDescent="0.4">
      <c r="A97" s="10" t="s">
        <v>1057</v>
      </c>
      <c r="B97" s="78" t="s">
        <v>96</v>
      </c>
      <c r="C97" s="78">
        <f>C96+(BudgetsTable[[#This Row],[lead]]&lt;&gt;K96)</f>
        <v>26</v>
      </c>
      <c r="D97" s="78">
        <f>D96*(BudgetsTable[[#This Row],[lead]]=K96)+(BudgetsTable[[#This Row],[prop_id]]&lt;&gt;A96)</f>
        <v>1</v>
      </c>
      <c r="E97" s="79">
        <v>42571.569444444445</v>
      </c>
      <c r="F97" s="80" t="s">
        <v>975</v>
      </c>
      <c r="G97" s="80" t="s">
        <v>222</v>
      </c>
      <c r="H97" s="80" t="s">
        <v>405</v>
      </c>
      <c r="I97" s="78" t="s">
        <v>451</v>
      </c>
      <c r="J97" s="78" t="s">
        <v>13</v>
      </c>
      <c r="K97" s="80" t="s">
        <v>1057</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80" t="s">
        <v>13</v>
      </c>
      <c r="O97" s="7" t="str">
        <f>IF(BudgetsTable[[#This Row],[pi_last_name]]=" ","",HYPERLINK("mailto:"&amp;BudgetsTable[[#This Row],[pi_email]]&amp;"&amp;subject=Your NSF Proposal:  "&amp;BudgetsTable[[#This Row],[prop_id]],BudgetsTable[[#This Row],[pi_email]]))</f>
        <v/>
      </c>
      <c r="P97" s="80" t="s">
        <v>13</v>
      </c>
      <c r="Q97" s="80">
        <v>1</v>
      </c>
      <c r="R97" s="80">
        <v>2</v>
      </c>
      <c r="S97" s="81">
        <v>0</v>
      </c>
      <c r="T97" s="81">
        <v>0</v>
      </c>
      <c r="U97" s="81">
        <v>0</v>
      </c>
      <c r="V97" s="82">
        <v>127720</v>
      </c>
      <c r="W97" s="80">
        <v>0</v>
      </c>
      <c r="X97" s="80">
        <v>4</v>
      </c>
      <c r="Y97" s="11" t="str">
        <f ca="1">IF(ISBLANK(BudgetsTable[[#This Row],[budg_seq_yr]]),"FY"&amp;fiscalyear,"FY"&amp;fiscalyear-1+BudgetsTable[[#This Row],[budg_seq_yr]])</f>
        <v>FY21</v>
      </c>
      <c r="Z97" s="81">
        <v>127720</v>
      </c>
      <c r="AA97" s="80" t="s">
        <v>222</v>
      </c>
      <c r="AB97" s="80" t="s">
        <v>405</v>
      </c>
      <c r="AC97" s="80" t="s">
        <v>1062</v>
      </c>
    </row>
    <row r="98" spans="1:29" x14ac:dyDescent="0.4">
      <c r="A98" s="10" t="s">
        <v>1057</v>
      </c>
      <c r="B98" s="78" t="s">
        <v>96</v>
      </c>
      <c r="C98" s="78">
        <f>C97+(BudgetsTable[[#This Row],[lead]]&lt;&gt;K97)</f>
        <v>26</v>
      </c>
      <c r="D98" s="78">
        <f>D97*(BudgetsTable[[#This Row],[lead]]=K97)+(BudgetsTable[[#This Row],[prop_id]]&lt;&gt;A97)</f>
        <v>1</v>
      </c>
      <c r="E98" s="79">
        <v>42571.569444444445</v>
      </c>
      <c r="F98" s="80" t="s">
        <v>975</v>
      </c>
      <c r="G98" s="80" t="s">
        <v>222</v>
      </c>
      <c r="H98" s="80" t="s">
        <v>405</v>
      </c>
      <c r="I98" s="78" t="s">
        <v>451</v>
      </c>
      <c r="J98" s="78" t="s">
        <v>13</v>
      </c>
      <c r="K98" s="80" t="s">
        <v>1057</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80" t="s">
        <v>13</v>
      </c>
      <c r="O98" s="7" t="str">
        <f>IF(BudgetsTable[[#This Row],[pi_last_name]]=" ","",HYPERLINK("mailto:"&amp;BudgetsTable[[#This Row],[pi_email]]&amp;"&amp;subject=Your NSF Proposal:  "&amp;BudgetsTable[[#This Row],[prop_id]],BudgetsTable[[#This Row],[pi_email]]))</f>
        <v/>
      </c>
      <c r="P98" s="80" t="s">
        <v>13</v>
      </c>
      <c r="Q98" s="80">
        <v>1</v>
      </c>
      <c r="R98" s="80">
        <v>2</v>
      </c>
      <c r="S98" s="81">
        <v>0</v>
      </c>
      <c r="T98" s="81">
        <v>0</v>
      </c>
      <c r="U98" s="81">
        <v>0</v>
      </c>
      <c r="V98" s="82">
        <v>131971</v>
      </c>
      <c r="W98" s="80">
        <v>0</v>
      </c>
      <c r="X98" s="80">
        <v>5</v>
      </c>
      <c r="Y98" s="11" t="str">
        <f ca="1">IF(ISBLANK(BudgetsTable[[#This Row],[budg_seq_yr]]),"FY"&amp;fiscalyear,"FY"&amp;fiscalyear-1+BudgetsTable[[#This Row],[budg_seq_yr]])</f>
        <v>FY22</v>
      </c>
      <c r="Z98" s="81">
        <v>131971</v>
      </c>
      <c r="AA98" s="80" t="s">
        <v>222</v>
      </c>
      <c r="AB98" s="80" t="s">
        <v>405</v>
      </c>
      <c r="AC98" s="80" t="s">
        <v>1062</v>
      </c>
    </row>
    <row r="99" spans="1:29" x14ac:dyDescent="0.4">
      <c r="A99" s="10" t="s">
        <v>1065</v>
      </c>
      <c r="B99" s="78" t="s">
        <v>96</v>
      </c>
      <c r="C99" s="78">
        <f>C98+(BudgetsTable[[#This Row],[lead]]&lt;&gt;K98)</f>
        <v>27</v>
      </c>
      <c r="D99" s="78">
        <f>D98*(BudgetsTable[[#This Row],[lead]]=K98)+(BudgetsTable[[#This Row],[prop_id]]&lt;&gt;A98)</f>
        <v>1</v>
      </c>
      <c r="E99" s="79">
        <v>42571.574305555558</v>
      </c>
      <c r="F99" s="80" t="s">
        <v>975</v>
      </c>
      <c r="G99" s="80" t="s">
        <v>222</v>
      </c>
      <c r="H99" s="80" t="s">
        <v>405</v>
      </c>
      <c r="I99" s="78" t="s">
        <v>451</v>
      </c>
      <c r="J99" s="78" t="s">
        <v>492</v>
      </c>
      <c r="K99" s="80" t="s">
        <v>1065</v>
      </c>
      <c r="L99" s="7" t="str">
        <f>IF(BudgetsTable[[#This Row],[pi_last_name]]=" ","",HYPERLINK("https://www.ejacket.nsf.gov/ej/showProposal.do?Continue=Y&amp;ID="&amp;BudgetsTable[[#This Row],[prop_id]],BudgetsTable[[#This Row],[prop_id]]))</f>
        <v>1652250</v>
      </c>
      <c r="M99" s="15" t="str">
        <f>IF(BudgetsTable[[#This Row],[pi_last_name]]=" ","",HYPERLINK("https://www.ejacket.nsf.gov/ej/processReviewAnalysis.do?dispatch=add&amp;uniqId="&amp;BudgetsTable[[#This Row],[prop_id]]&amp;PO_id,"&gt;ra"))</f>
        <v>&gt;ra</v>
      </c>
      <c r="N99" s="80" t="s">
        <v>488</v>
      </c>
      <c r="O99" s="7" t="str">
        <f>IF(BudgetsTable[[#This Row],[pi_last_name]]=" ","",HYPERLINK("mailto:"&amp;BudgetsTable[[#This Row],[pi_email]]&amp;"&amp;subject=Your NSF Proposal:  "&amp;BudgetsTable[[#This Row],[prop_id]],BudgetsTable[[#This Row],[pi_email]]))</f>
        <v>debmalya.panigrahi@gmail.com</v>
      </c>
      <c r="P99" s="80" t="s">
        <v>490</v>
      </c>
      <c r="Q99" s="80"/>
      <c r="R99" s="80"/>
      <c r="S99" s="81"/>
      <c r="T99" s="81"/>
      <c r="U99" s="81"/>
      <c r="V99" s="82"/>
      <c r="W99" s="80">
        <v>0</v>
      </c>
      <c r="X99" s="80"/>
      <c r="Y99" s="11" t="str">
        <f ca="1">IF(ISBLANK(BudgetsTable[[#This Row],[budg_seq_yr]]),"FY"&amp;fiscalyear,"FY"&amp;fiscalyear-1+BudgetsTable[[#This Row],[budg_seq_yr]])</f>
        <v>FY18</v>
      </c>
      <c r="Z99" s="81">
        <v>529408</v>
      </c>
      <c r="AA99" s="80" t="s">
        <v>222</v>
      </c>
      <c r="AB99" s="80" t="s">
        <v>405</v>
      </c>
      <c r="AC99" s="80" t="s">
        <v>411</v>
      </c>
    </row>
    <row r="100" spans="1:29" x14ac:dyDescent="0.4">
      <c r="A100" s="10" t="s">
        <v>1065</v>
      </c>
      <c r="B100" s="78" t="s">
        <v>96</v>
      </c>
      <c r="C100" s="78">
        <f>C99+(BudgetsTable[[#This Row],[lead]]&lt;&gt;K99)</f>
        <v>27</v>
      </c>
      <c r="D100" s="78">
        <f>D99*(BudgetsTable[[#This Row],[lead]]=K99)+(BudgetsTable[[#This Row],[prop_id]]&lt;&gt;A99)</f>
        <v>1</v>
      </c>
      <c r="E100" s="79">
        <v>42571.574305555558</v>
      </c>
      <c r="F100" s="80" t="s">
        <v>975</v>
      </c>
      <c r="G100" s="80" t="s">
        <v>222</v>
      </c>
      <c r="H100" s="80" t="s">
        <v>405</v>
      </c>
      <c r="I100" s="78" t="s">
        <v>451</v>
      </c>
      <c r="J100" s="78" t="s">
        <v>13</v>
      </c>
      <c r="K100" s="80" t="s">
        <v>1065</v>
      </c>
      <c r="L100" s="7" t="str">
        <f>IF(BudgetsTable[[#This Row],[pi_last_name]]=" ","",HYPERLINK("https://www.ejacket.nsf.gov/ej/showProposal.do?Continue=Y&amp;ID="&amp;BudgetsTable[[#This Row],[prop_id]],BudgetsTable[[#This Row],[prop_id]]))</f>
        <v/>
      </c>
      <c r="M100" s="15" t="str">
        <f>IF(BudgetsTable[[#This Row],[pi_last_name]]=" ","",HYPERLINK("https://www.ejacket.nsf.gov/ej/processReviewAnalysis.do?dispatch=add&amp;uniqId="&amp;BudgetsTable[[#This Row],[prop_id]]&amp;PO_id,"&gt;ra"))</f>
        <v/>
      </c>
      <c r="N100" s="80" t="s">
        <v>13</v>
      </c>
      <c r="O100" s="7" t="str">
        <f>IF(BudgetsTable[[#This Row],[pi_last_name]]=" ","",HYPERLINK("mailto:"&amp;BudgetsTable[[#This Row],[pi_email]]&amp;"&amp;subject=Your NSF Proposal:  "&amp;BudgetsTable[[#This Row],[prop_id]],BudgetsTable[[#This Row],[pi_email]]))</f>
        <v/>
      </c>
      <c r="P100" s="80" t="s">
        <v>13</v>
      </c>
      <c r="Q100" s="80">
        <v>1</v>
      </c>
      <c r="R100" s="80">
        <v>1</v>
      </c>
      <c r="S100" s="81">
        <v>0</v>
      </c>
      <c r="T100" s="81">
        <v>2500</v>
      </c>
      <c r="U100" s="81">
        <v>16000</v>
      </c>
      <c r="V100" s="82">
        <v>98317</v>
      </c>
      <c r="W100" s="80">
        <v>0</v>
      </c>
      <c r="X100" s="80">
        <v>1</v>
      </c>
      <c r="Y100" s="11" t="str">
        <f ca="1">IF(ISBLANK(BudgetsTable[[#This Row],[budg_seq_yr]]),"FY"&amp;fiscalyear,"FY"&amp;fiscalyear-1+BudgetsTable[[#This Row],[budg_seq_yr]])</f>
        <v>FY18</v>
      </c>
      <c r="Z100" s="81">
        <v>98317</v>
      </c>
      <c r="AA100" s="80" t="s">
        <v>222</v>
      </c>
      <c r="AB100" s="80" t="s">
        <v>405</v>
      </c>
      <c r="AC100" s="80" t="s">
        <v>411</v>
      </c>
    </row>
    <row r="101" spans="1:29" x14ac:dyDescent="0.4">
      <c r="A101" s="10" t="s">
        <v>1065</v>
      </c>
      <c r="B101" s="78" t="s">
        <v>96</v>
      </c>
      <c r="C101" s="78">
        <f>C100+(BudgetsTable[[#This Row],[lead]]&lt;&gt;K100)</f>
        <v>27</v>
      </c>
      <c r="D101" s="78">
        <f>D100*(BudgetsTable[[#This Row],[lead]]=K100)+(BudgetsTable[[#This Row],[prop_id]]&lt;&gt;A100)</f>
        <v>1</v>
      </c>
      <c r="E101" s="79">
        <v>42571.574305555558</v>
      </c>
      <c r="F101" s="80" t="s">
        <v>975</v>
      </c>
      <c r="G101" s="80" t="s">
        <v>222</v>
      </c>
      <c r="H101" s="80" t="s">
        <v>405</v>
      </c>
      <c r="I101" s="78" t="s">
        <v>451</v>
      </c>
      <c r="J101" s="78" t="s">
        <v>13</v>
      </c>
      <c r="K101" s="80" t="s">
        <v>1065</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80" t="s">
        <v>13</v>
      </c>
      <c r="O101" s="7" t="str">
        <f>IF(BudgetsTable[[#This Row],[pi_last_name]]=" ","",HYPERLINK("mailto:"&amp;BudgetsTable[[#This Row],[pi_email]]&amp;"&amp;subject=Your NSF Proposal:  "&amp;BudgetsTable[[#This Row],[prop_id]],BudgetsTable[[#This Row],[pi_email]]))</f>
        <v/>
      </c>
      <c r="P101" s="80" t="s">
        <v>13</v>
      </c>
      <c r="Q101" s="80">
        <v>1</v>
      </c>
      <c r="R101" s="80">
        <v>1</v>
      </c>
      <c r="S101" s="81">
        <v>0</v>
      </c>
      <c r="T101" s="81">
        <v>2575</v>
      </c>
      <c r="U101" s="81">
        <v>0</v>
      </c>
      <c r="V101" s="82">
        <v>84473</v>
      </c>
      <c r="W101" s="80">
        <v>0</v>
      </c>
      <c r="X101" s="80">
        <v>2</v>
      </c>
      <c r="Y101" s="11" t="str">
        <f ca="1">IF(ISBLANK(BudgetsTable[[#This Row],[budg_seq_yr]]),"FY"&amp;fiscalyear,"FY"&amp;fiscalyear-1+BudgetsTable[[#This Row],[budg_seq_yr]])</f>
        <v>FY19</v>
      </c>
      <c r="Z101" s="81">
        <v>84473</v>
      </c>
      <c r="AA101" s="80" t="s">
        <v>222</v>
      </c>
      <c r="AB101" s="80" t="s">
        <v>405</v>
      </c>
      <c r="AC101" s="80" t="s">
        <v>411</v>
      </c>
    </row>
    <row r="102" spans="1:29" x14ac:dyDescent="0.4">
      <c r="A102" s="10" t="s">
        <v>1065</v>
      </c>
      <c r="B102" s="78" t="s">
        <v>96</v>
      </c>
      <c r="C102" s="78">
        <f>C101+(BudgetsTable[[#This Row],[lead]]&lt;&gt;K101)</f>
        <v>27</v>
      </c>
      <c r="D102" s="78">
        <f>D101*(BudgetsTable[[#This Row],[lead]]=K101)+(BudgetsTable[[#This Row],[prop_id]]&lt;&gt;A101)</f>
        <v>1</v>
      </c>
      <c r="E102" s="79">
        <v>42571.574305555558</v>
      </c>
      <c r="F102" s="80" t="s">
        <v>975</v>
      </c>
      <c r="G102" s="80" t="s">
        <v>222</v>
      </c>
      <c r="H102" s="80" t="s">
        <v>405</v>
      </c>
      <c r="I102" s="78" t="s">
        <v>451</v>
      </c>
      <c r="J102" s="78" t="s">
        <v>13</v>
      </c>
      <c r="K102" s="80" t="s">
        <v>1065</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80" t="s">
        <v>13</v>
      </c>
      <c r="O102" s="7" t="str">
        <f>IF(BudgetsTable[[#This Row],[pi_last_name]]=" ","",HYPERLINK("mailto:"&amp;BudgetsTable[[#This Row],[pi_email]]&amp;"&amp;subject=Your NSF Proposal:  "&amp;BudgetsTable[[#This Row],[prop_id]],BudgetsTable[[#This Row],[pi_email]]))</f>
        <v/>
      </c>
      <c r="P102" s="80" t="s">
        <v>13</v>
      </c>
      <c r="Q102" s="80">
        <v>1</v>
      </c>
      <c r="R102" s="80">
        <v>2</v>
      </c>
      <c r="S102" s="81">
        <v>0</v>
      </c>
      <c r="T102" s="81">
        <v>2652</v>
      </c>
      <c r="U102" s="81">
        <v>0</v>
      </c>
      <c r="V102" s="82">
        <v>111965</v>
      </c>
      <c r="W102" s="80">
        <v>0</v>
      </c>
      <c r="X102" s="80">
        <v>3</v>
      </c>
      <c r="Y102" s="11" t="str">
        <f ca="1">IF(ISBLANK(BudgetsTable[[#This Row],[budg_seq_yr]]),"FY"&amp;fiscalyear,"FY"&amp;fiscalyear-1+BudgetsTable[[#This Row],[budg_seq_yr]])</f>
        <v>FY20</v>
      </c>
      <c r="Z102" s="81">
        <v>111965</v>
      </c>
      <c r="AA102" s="80" t="s">
        <v>222</v>
      </c>
      <c r="AB102" s="80" t="s">
        <v>405</v>
      </c>
      <c r="AC102" s="80" t="s">
        <v>411</v>
      </c>
    </row>
    <row r="103" spans="1:29" x14ac:dyDescent="0.4">
      <c r="A103" s="10" t="s">
        <v>1065</v>
      </c>
      <c r="B103" s="78" t="s">
        <v>96</v>
      </c>
      <c r="C103" s="78">
        <f>C102+(BudgetsTable[[#This Row],[lead]]&lt;&gt;K102)</f>
        <v>27</v>
      </c>
      <c r="D103" s="78">
        <f>D102*(BudgetsTable[[#This Row],[lead]]=K102)+(BudgetsTable[[#This Row],[prop_id]]&lt;&gt;A102)</f>
        <v>1</v>
      </c>
      <c r="E103" s="79">
        <v>42571.574305555558</v>
      </c>
      <c r="F103" s="80" t="s">
        <v>975</v>
      </c>
      <c r="G103" s="80" t="s">
        <v>222</v>
      </c>
      <c r="H103" s="80" t="s">
        <v>405</v>
      </c>
      <c r="I103" s="78" t="s">
        <v>451</v>
      </c>
      <c r="J103" s="78" t="s">
        <v>13</v>
      </c>
      <c r="K103" s="80" t="s">
        <v>1065</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80" t="s">
        <v>13</v>
      </c>
      <c r="O103" s="7" t="str">
        <f>IF(BudgetsTable[[#This Row],[pi_last_name]]=" ","",HYPERLINK("mailto:"&amp;BudgetsTable[[#This Row],[pi_email]]&amp;"&amp;subject=Your NSF Proposal:  "&amp;BudgetsTable[[#This Row],[prop_id]],BudgetsTable[[#This Row],[pi_email]]))</f>
        <v/>
      </c>
      <c r="P103" s="80" t="s">
        <v>13</v>
      </c>
      <c r="Q103" s="80">
        <v>1</v>
      </c>
      <c r="R103" s="80">
        <v>2</v>
      </c>
      <c r="S103" s="81">
        <v>0</v>
      </c>
      <c r="T103" s="81">
        <v>2732</v>
      </c>
      <c r="U103" s="81">
        <v>0</v>
      </c>
      <c r="V103" s="82">
        <v>115503</v>
      </c>
      <c r="W103" s="80">
        <v>0</v>
      </c>
      <c r="X103" s="80">
        <v>4</v>
      </c>
      <c r="Y103" s="11" t="str">
        <f ca="1">IF(ISBLANK(BudgetsTable[[#This Row],[budg_seq_yr]]),"FY"&amp;fiscalyear,"FY"&amp;fiscalyear-1+BudgetsTable[[#This Row],[budg_seq_yr]])</f>
        <v>FY21</v>
      </c>
      <c r="Z103" s="81">
        <v>115503</v>
      </c>
      <c r="AA103" s="80" t="s">
        <v>222</v>
      </c>
      <c r="AB103" s="80" t="s">
        <v>405</v>
      </c>
      <c r="AC103" s="80" t="s">
        <v>411</v>
      </c>
    </row>
    <row r="104" spans="1:29" x14ac:dyDescent="0.4">
      <c r="A104" s="10" t="s">
        <v>1065</v>
      </c>
      <c r="B104" s="78" t="s">
        <v>96</v>
      </c>
      <c r="C104" s="78">
        <f>C103+(BudgetsTable[[#This Row],[lead]]&lt;&gt;K103)</f>
        <v>27</v>
      </c>
      <c r="D104" s="78">
        <f>D103*(BudgetsTable[[#This Row],[lead]]=K103)+(BudgetsTable[[#This Row],[prop_id]]&lt;&gt;A103)</f>
        <v>1</v>
      </c>
      <c r="E104" s="79">
        <v>42571.574305555558</v>
      </c>
      <c r="F104" s="80" t="s">
        <v>975</v>
      </c>
      <c r="G104" s="80" t="s">
        <v>222</v>
      </c>
      <c r="H104" s="80" t="s">
        <v>405</v>
      </c>
      <c r="I104" s="78" t="s">
        <v>451</v>
      </c>
      <c r="J104" s="78" t="s">
        <v>13</v>
      </c>
      <c r="K104" s="80" t="s">
        <v>1065</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80" t="s">
        <v>13</v>
      </c>
      <c r="O104" s="7" t="str">
        <f>IF(BudgetsTable[[#This Row],[pi_last_name]]=" ","",HYPERLINK("mailto:"&amp;BudgetsTable[[#This Row],[pi_email]]&amp;"&amp;subject=Your NSF Proposal:  "&amp;BudgetsTable[[#This Row],[prop_id]],BudgetsTable[[#This Row],[pi_email]]))</f>
        <v/>
      </c>
      <c r="P104" s="80" t="s">
        <v>13</v>
      </c>
      <c r="Q104" s="80">
        <v>1</v>
      </c>
      <c r="R104" s="80">
        <v>2</v>
      </c>
      <c r="S104" s="81">
        <v>0</v>
      </c>
      <c r="T104" s="81">
        <v>2814</v>
      </c>
      <c r="U104" s="81">
        <v>0</v>
      </c>
      <c r="V104" s="82">
        <v>119150</v>
      </c>
      <c r="W104" s="80">
        <v>0</v>
      </c>
      <c r="X104" s="80">
        <v>5</v>
      </c>
      <c r="Y104" s="11" t="str">
        <f ca="1">IF(ISBLANK(BudgetsTable[[#This Row],[budg_seq_yr]]),"FY"&amp;fiscalyear,"FY"&amp;fiscalyear-1+BudgetsTable[[#This Row],[budg_seq_yr]])</f>
        <v>FY22</v>
      </c>
      <c r="Z104" s="81">
        <v>119150</v>
      </c>
      <c r="AA104" s="80" t="s">
        <v>222</v>
      </c>
      <c r="AB104" s="80" t="s">
        <v>405</v>
      </c>
      <c r="AC104" s="80" t="s">
        <v>411</v>
      </c>
    </row>
    <row r="105" spans="1:29" x14ac:dyDescent="0.4">
      <c r="A105" s="10" t="s">
        <v>1066</v>
      </c>
      <c r="B105" s="78" t="s">
        <v>96</v>
      </c>
      <c r="C105" s="78">
        <f>C104+(BudgetsTable[[#This Row],[lead]]&lt;&gt;K104)</f>
        <v>28</v>
      </c>
      <c r="D105" s="78">
        <f>D104*(BudgetsTable[[#This Row],[lead]]=K104)+(BudgetsTable[[#This Row],[prop_id]]&lt;&gt;A104)</f>
        <v>1</v>
      </c>
      <c r="E105" s="79">
        <v>42571.576388888891</v>
      </c>
      <c r="F105" s="80" t="s">
        <v>975</v>
      </c>
      <c r="G105" s="80" t="s">
        <v>222</v>
      </c>
      <c r="H105" s="80" t="s">
        <v>405</v>
      </c>
      <c r="I105" s="78" t="s">
        <v>422</v>
      </c>
      <c r="J105" s="78" t="s">
        <v>1069</v>
      </c>
      <c r="K105" s="80" t="s">
        <v>1066</v>
      </c>
      <c r="L105" s="7" t="str">
        <f>IF(BudgetsTable[[#This Row],[pi_last_name]]=" ","",HYPERLINK("https://www.ejacket.nsf.gov/ej/showProposal.do?Continue=Y&amp;ID="&amp;BudgetsTable[[#This Row],[prop_id]],BudgetsTable[[#This Row],[prop_id]]))</f>
        <v>1652257</v>
      </c>
      <c r="M105" s="15" t="str">
        <f>IF(BudgetsTable[[#This Row],[pi_last_name]]=" ","",HYPERLINK("https://www.ejacket.nsf.gov/ej/processReviewAnalysis.do?dispatch=add&amp;uniqId="&amp;BudgetsTable[[#This Row],[prop_id]]&amp;PO_id,"&gt;ra"))</f>
        <v>&gt;ra</v>
      </c>
      <c r="N105" s="80" t="s">
        <v>1067</v>
      </c>
      <c r="O105" s="7" t="str">
        <f>IF(BudgetsTable[[#This Row],[pi_last_name]]=" ","",HYPERLINK("mailto:"&amp;BudgetsTable[[#This Row],[pi_email]]&amp;"&amp;subject=Your NSF Proposal:  "&amp;BudgetsTable[[#This Row],[prop_id]],BudgetsTable[[#This Row],[pi_email]]))</f>
        <v>vova@cs.jhu.edu</v>
      </c>
      <c r="P105" s="80" t="s">
        <v>495</v>
      </c>
      <c r="Q105" s="80"/>
      <c r="R105" s="80"/>
      <c r="S105" s="81"/>
      <c r="T105" s="81"/>
      <c r="U105" s="81"/>
      <c r="V105" s="82"/>
      <c r="W105" s="80">
        <v>2</v>
      </c>
      <c r="X105" s="80"/>
      <c r="Y105" s="11" t="str">
        <f ca="1">IF(ISBLANK(BudgetsTable[[#This Row],[budg_seq_yr]]),"FY"&amp;fiscalyear,"FY"&amp;fiscalyear-1+BudgetsTable[[#This Row],[budg_seq_yr]])</f>
        <v>FY18</v>
      </c>
      <c r="Z105" s="81">
        <v>500000</v>
      </c>
      <c r="AA105" s="80" t="s">
        <v>222</v>
      </c>
      <c r="AB105" s="80" t="s">
        <v>405</v>
      </c>
      <c r="AC105" s="80" t="s">
        <v>411</v>
      </c>
    </row>
    <row r="106" spans="1:29" x14ac:dyDescent="0.4">
      <c r="A106" s="10" t="s">
        <v>1066</v>
      </c>
      <c r="B106" s="78" t="s">
        <v>96</v>
      </c>
      <c r="C106" s="78">
        <f>C105+(BudgetsTable[[#This Row],[lead]]&lt;&gt;K105)</f>
        <v>28</v>
      </c>
      <c r="D106" s="78">
        <f>D105*(BudgetsTable[[#This Row],[lead]]=K105)+(BudgetsTable[[#This Row],[prop_id]]&lt;&gt;A105)</f>
        <v>1</v>
      </c>
      <c r="E106" s="79">
        <v>42571.576388888891</v>
      </c>
      <c r="F106" s="80" t="s">
        <v>975</v>
      </c>
      <c r="G106" s="80" t="s">
        <v>222</v>
      </c>
      <c r="H106" s="80" t="s">
        <v>405</v>
      </c>
      <c r="I106" s="78" t="s">
        <v>422</v>
      </c>
      <c r="J106" s="78" t="s">
        <v>13</v>
      </c>
      <c r="K106" s="80" t="s">
        <v>1066</v>
      </c>
      <c r="L106" s="7" t="str">
        <f>IF(BudgetsTable[[#This Row],[pi_last_name]]=" ","",HYPERLINK("https://www.ejacket.nsf.gov/ej/showProposal.do?Continue=Y&amp;ID="&amp;BudgetsTable[[#This Row],[prop_id]],BudgetsTable[[#This Row],[prop_id]]))</f>
        <v/>
      </c>
      <c r="M106" s="15" t="str">
        <f>IF(BudgetsTable[[#This Row],[pi_last_name]]=" ","",HYPERLINK("https://www.ejacket.nsf.gov/ej/processReviewAnalysis.do?dispatch=add&amp;uniqId="&amp;BudgetsTable[[#This Row],[prop_id]]&amp;PO_id,"&gt;ra"))</f>
        <v/>
      </c>
      <c r="N106" s="80" t="s">
        <v>13</v>
      </c>
      <c r="O106" s="7" t="str">
        <f>IF(BudgetsTable[[#This Row],[pi_last_name]]=" ","",HYPERLINK("mailto:"&amp;BudgetsTable[[#This Row],[pi_email]]&amp;"&amp;subject=Your NSF Proposal:  "&amp;BudgetsTable[[#This Row],[prop_id]],BudgetsTable[[#This Row],[pi_email]]))</f>
        <v/>
      </c>
      <c r="P106" s="80" t="s">
        <v>13</v>
      </c>
      <c r="Q106" s="80">
        <v>1</v>
      </c>
      <c r="R106" s="80">
        <v>0</v>
      </c>
      <c r="S106" s="81">
        <v>0</v>
      </c>
      <c r="T106" s="81">
        <v>3450</v>
      </c>
      <c r="U106" s="81">
        <v>1875</v>
      </c>
      <c r="V106" s="82">
        <v>106359</v>
      </c>
      <c r="W106" s="80">
        <v>2</v>
      </c>
      <c r="X106" s="80">
        <v>1</v>
      </c>
      <c r="Y106" s="11" t="str">
        <f ca="1">IF(ISBLANK(BudgetsTable[[#This Row],[budg_seq_yr]]),"FY"&amp;fiscalyear,"FY"&amp;fiscalyear-1+BudgetsTable[[#This Row],[budg_seq_yr]])</f>
        <v>FY18</v>
      </c>
      <c r="Z106" s="81">
        <v>106359</v>
      </c>
      <c r="AA106" s="80" t="s">
        <v>222</v>
      </c>
      <c r="AB106" s="80" t="s">
        <v>405</v>
      </c>
      <c r="AC106" s="80" t="s">
        <v>411</v>
      </c>
    </row>
    <row r="107" spans="1:29" x14ac:dyDescent="0.4">
      <c r="A107" s="10" t="s">
        <v>1066</v>
      </c>
      <c r="B107" s="78" t="s">
        <v>96</v>
      </c>
      <c r="C107" s="78">
        <f>C106+(BudgetsTable[[#This Row],[lead]]&lt;&gt;K106)</f>
        <v>28</v>
      </c>
      <c r="D107" s="78">
        <f>D106*(BudgetsTable[[#This Row],[lead]]=K106)+(BudgetsTable[[#This Row],[prop_id]]&lt;&gt;A106)</f>
        <v>1</v>
      </c>
      <c r="E107" s="79">
        <v>42571.576388888891</v>
      </c>
      <c r="F107" s="80" t="s">
        <v>975</v>
      </c>
      <c r="G107" s="80" t="s">
        <v>222</v>
      </c>
      <c r="H107" s="80" t="s">
        <v>405</v>
      </c>
      <c r="I107" s="78" t="s">
        <v>422</v>
      </c>
      <c r="J107" s="78" t="s">
        <v>13</v>
      </c>
      <c r="K107" s="80" t="s">
        <v>1066</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80" t="s">
        <v>13</v>
      </c>
      <c r="O107" s="7" t="str">
        <f>IF(BudgetsTable[[#This Row],[pi_last_name]]=" ","",HYPERLINK("mailto:"&amp;BudgetsTable[[#This Row],[pi_email]]&amp;"&amp;subject=Your NSF Proposal:  "&amp;BudgetsTable[[#This Row],[prop_id]],BudgetsTable[[#This Row],[pi_email]]))</f>
        <v/>
      </c>
      <c r="P107" s="80" t="s">
        <v>13</v>
      </c>
      <c r="Q107" s="80">
        <v>1</v>
      </c>
      <c r="R107" s="80">
        <v>0</v>
      </c>
      <c r="S107" s="81">
        <v>0</v>
      </c>
      <c r="T107" s="81">
        <v>3588</v>
      </c>
      <c r="U107" s="81">
        <v>1932</v>
      </c>
      <c r="V107" s="82">
        <v>106836</v>
      </c>
      <c r="W107" s="80">
        <v>2</v>
      </c>
      <c r="X107" s="80">
        <v>2</v>
      </c>
      <c r="Y107" s="11" t="str">
        <f ca="1">IF(ISBLANK(BudgetsTable[[#This Row],[budg_seq_yr]]),"FY"&amp;fiscalyear,"FY"&amp;fiscalyear-1+BudgetsTable[[#This Row],[budg_seq_yr]])</f>
        <v>FY19</v>
      </c>
      <c r="Z107" s="81">
        <v>106836</v>
      </c>
      <c r="AA107" s="80" t="s">
        <v>222</v>
      </c>
      <c r="AB107" s="80" t="s">
        <v>405</v>
      </c>
      <c r="AC107" s="80" t="s">
        <v>411</v>
      </c>
    </row>
    <row r="108" spans="1:29" x14ac:dyDescent="0.4">
      <c r="A108" s="10" t="s">
        <v>1066</v>
      </c>
      <c r="B108" s="78" t="s">
        <v>96</v>
      </c>
      <c r="C108" s="78">
        <f>C107+(BudgetsTable[[#This Row],[lead]]&lt;&gt;K107)</f>
        <v>28</v>
      </c>
      <c r="D108" s="78">
        <f>D107*(BudgetsTable[[#This Row],[lead]]=K107)+(BudgetsTable[[#This Row],[prop_id]]&lt;&gt;A107)</f>
        <v>1</v>
      </c>
      <c r="E108" s="79">
        <v>42571.576388888891</v>
      </c>
      <c r="F108" s="80" t="s">
        <v>975</v>
      </c>
      <c r="G108" s="80" t="s">
        <v>222</v>
      </c>
      <c r="H108" s="80" t="s">
        <v>405</v>
      </c>
      <c r="I108" s="78" t="s">
        <v>422</v>
      </c>
      <c r="J108" s="78" t="s">
        <v>13</v>
      </c>
      <c r="K108" s="80" t="s">
        <v>1066</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80" t="s">
        <v>13</v>
      </c>
      <c r="O108" s="7" t="str">
        <f>IF(BudgetsTable[[#This Row],[pi_last_name]]=" ","",HYPERLINK("mailto:"&amp;BudgetsTable[[#This Row],[pi_email]]&amp;"&amp;subject=Your NSF Proposal:  "&amp;BudgetsTable[[#This Row],[prop_id]],BudgetsTable[[#This Row],[pi_email]]))</f>
        <v/>
      </c>
      <c r="P108" s="80" t="s">
        <v>13</v>
      </c>
      <c r="Q108" s="80">
        <v>1</v>
      </c>
      <c r="R108" s="80">
        <v>0</v>
      </c>
      <c r="S108" s="81">
        <v>0</v>
      </c>
      <c r="T108" s="81">
        <v>3732</v>
      </c>
      <c r="U108" s="81">
        <v>1989</v>
      </c>
      <c r="V108" s="82">
        <v>109771</v>
      </c>
      <c r="W108" s="80">
        <v>2</v>
      </c>
      <c r="X108" s="80">
        <v>3</v>
      </c>
      <c r="Y108" s="11" t="str">
        <f ca="1">IF(ISBLANK(BudgetsTable[[#This Row],[budg_seq_yr]]),"FY"&amp;fiscalyear,"FY"&amp;fiscalyear-1+BudgetsTable[[#This Row],[budg_seq_yr]])</f>
        <v>FY20</v>
      </c>
      <c r="Z108" s="81">
        <v>109771</v>
      </c>
      <c r="AA108" s="80" t="s">
        <v>222</v>
      </c>
      <c r="AB108" s="80" t="s">
        <v>405</v>
      </c>
      <c r="AC108" s="80" t="s">
        <v>411</v>
      </c>
    </row>
    <row r="109" spans="1:29" x14ac:dyDescent="0.4">
      <c r="A109" s="10" t="s">
        <v>1066</v>
      </c>
      <c r="B109" s="78" t="s">
        <v>96</v>
      </c>
      <c r="C109" s="78">
        <f>C108+(BudgetsTable[[#This Row],[lead]]&lt;&gt;K108)</f>
        <v>28</v>
      </c>
      <c r="D109" s="78">
        <f>D108*(BudgetsTable[[#This Row],[lead]]=K108)+(BudgetsTable[[#This Row],[prop_id]]&lt;&gt;A108)</f>
        <v>1</v>
      </c>
      <c r="E109" s="79">
        <v>42571.576388888891</v>
      </c>
      <c r="F109" s="80" t="s">
        <v>975</v>
      </c>
      <c r="G109" s="80" t="s">
        <v>222</v>
      </c>
      <c r="H109" s="80" t="s">
        <v>405</v>
      </c>
      <c r="I109" s="78" t="s">
        <v>422</v>
      </c>
      <c r="J109" s="78" t="s">
        <v>13</v>
      </c>
      <c r="K109" s="80" t="s">
        <v>1066</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80" t="s">
        <v>13</v>
      </c>
      <c r="O109" s="7" t="str">
        <f>IF(BudgetsTable[[#This Row],[pi_last_name]]=" ","",HYPERLINK("mailto:"&amp;BudgetsTable[[#This Row],[pi_email]]&amp;"&amp;subject=Your NSF Proposal:  "&amp;BudgetsTable[[#This Row],[prop_id]],BudgetsTable[[#This Row],[pi_email]]))</f>
        <v/>
      </c>
      <c r="P109" s="80" t="s">
        <v>13</v>
      </c>
      <c r="Q109" s="80">
        <v>1</v>
      </c>
      <c r="R109" s="80">
        <v>0</v>
      </c>
      <c r="S109" s="81">
        <v>0</v>
      </c>
      <c r="T109" s="81">
        <v>3881</v>
      </c>
      <c r="U109" s="81">
        <v>2049</v>
      </c>
      <c r="V109" s="82">
        <v>112792</v>
      </c>
      <c r="W109" s="80">
        <v>2</v>
      </c>
      <c r="X109" s="80">
        <v>4</v>
      </c>
      <c r="Y109" s="11" t="str">
        <f ca="1">IF(ISBLANK(BudgetsTable[[#This Row],[budg_seq_yr]]),"FY"&amp;fiscalyear,"FY"&amp;fiscalyear-1+BudgetsTable[[#This Row],[budg_seq_yr]])</f>
        <v>FY21</v>
      </c>
      <c r="Z109" s="81">
        <v>112792</v>
      </c>
      <c r="AA109" s="80" t="s">
        <v>222</v>
      </c>
      <c r="AB109" s="80" t="s">
        <v>405</v>
      </c>
      <c r="AC109" s="80" t="s">
        <v>411</v>
      </c>
    </row>
    <row r="110" spans="1:29" x14ac:dyDescent="0.4">
      <c r="A110" s="10" t="s">
        <v>1066</v>
      </c>
      <c r="B110" s="78" t="s">
        <v>96</v>
      </c>
      <c r="C110" s="78">
        <f>C109+(BudgetsTable[[#This Row],[lead]]&lt;&gt;K109)</f>
        <v>28</v>
      </c>
      <c r="D110" s="78">
        <f>D109*(BudgetsTable[[#This Row],[lead]]=K109)+(BudgetsTable[[#This Row],[prop_id]]&lt;&gt;A109)</f>
        <v>1</v>
      </c>
      <c r="E110" s="79">
        <v>42571.576388888891</v>
      </c>
      <c r="F110" s="80" t="s">
        <v>975</v>
      </c>
      <c r="G110" s="80" t="s">
        <v>222</v>
      </c>
      <c r="H110" s="80" t="s">
        <v>405</v>
      </c>
      <c r="I110" s="78" t="s">
        <v>422</v>
      </c>
      <c r="J110" s="78" t="s">
        <v>13</v>
      </c>
      <c r="K110" s="80" t="s">
        <v>1066</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80" t="s">
        <v>13</v>
      </c>
      <c r="O110" s="7" t="str">
        <f>IF(BudgetsTable[[#This Row],[pi_last_name]]=" ","",HYPERLINK("mailto:"&amp;BudgetsTable[[#This Row],[pi_email]]&amp;"&amp;subject=Your NSF Proposal:  "&amp;BudgetsTable[[#This Row],[prop_id]],BudgetsTable[[#This Row],[pi_email]]))</f>
        <v/>
      </c>
      <c r="P110" s="80" t="s">
        <v>13</v>
      </c>
      <c r="Q110" s="80">
        <v>1</v>
      </c>
      <c r="R110" s="80">
        <v>0</v>
      </c>
      <c r="S110" s="81">
        <v>0</v>
      </c>
      <c r="T110" s="81">
        <v>3686</v>
      </c>
      <c r="U110" s="81">
        <v>2110</v>
      </c>
      <c r="V110" s="82">
        <v>64242</v>
      </c>
      <c r="W110" s="80">
        <v>2</v>
      </c>
      <c r="X110" s="80">
        <v>5</v>
      </c>
      <c r="Y110" s="11" t="str">
        <f ca="1">IF(ISBLANK(BudgetsTable[[#This Row],[budg_seq_yr]]),"FY"&amp;fiscalyear,"FY"&amp;fiscalyear-1+BudgetsTable[[#This Row],[budg_seq_yr]])</f>
        <v>FY22</v>
      </c>
      <c r="Z110" s="81">
        <v>64242</v>
      </c>
      <c r="AA110" s="80" t="s">
        <v>222</v>
      </c>
      <c r="AB110" s="80" t="s">
        <v>405</v>
      </c>
      <c r="AC110" s="80" t="s">
        <v>411</v>
      </c>
    </row>
    <row r="111" spans="1:29" x14ac:dyDescent="0.4">
      <c r="A111" s="10" t="s">
        <v>1072</v>
      </c>
      <c r="B111" s="78" t="s">
        <v>96</v>
      </c>
      <c r="C111" s="78">
        <f>C110+(BudgetsTable[[#This Row],[lead]]&lt;&gt;K110)</f>
        <v>29</v>
      </c>
      <c r="D111" s="78">
        <f>D110*(BudgetsTable[[#This Row],[lead]]=K110)+(BudgetsTable[[#This Row],[prop_id]]&lt;&gt;A110)</f>
        <v>1</v>
      </c>
      <c r="E111" s="79">
        <v>42571.592361111114</v>
      </c>
      <c r="F111" s="80" t="s">
        <v>975</v>
      </c>
      <c r="G111" s="80" t="s">
        <v>222</v>
      </c>
      <c r="H111" s="80" t="s">
        <v>405</v>
      </c>
      <c r="I111" s="78" t="s">
        <v>422</v>
      </c>
      <c r="J111" s="78" t="s">
        <v>1076</v>
      </c>
      <c r="K111" s="80" t="s">
        <v>1072</v>
      </c>
      <c r="L111" s="7" t="str">
        <f>IF(BudgetsTable[[#This Row],[pi_last_name]]=" ","",HYPERLINK("https://www.ejacket.nsf.gov/ej/showProposal.do?Continue=Y&amp;ID="&amp;BudgetsTable[[#This Row],[prop_id]],BudgetsTable[[#This Row],[prop_id]]))</f>
        <v>1652303</v>
      </c>
      <c r="M111" s="15" t="str">
        <f>IF(BudgetsTable[[#This Row],[pi_last_name]]=" ","",HYPERLINK("https://www.ejacket.nsf.gov/ej/processReviewAnalysis.do?dispatch=add&amp;uniqId="&amp;BudgetsTable[[#This Row],[prop_id]]&amp;PO_id,"&gt;ra"))</f>
        <v>&gt;ra</v>
      </c>
      <c r="N111" s="80" t="s">
        <v>1073</v>
      </c>
      <c r="O111" s="7" t="str">
        <f>IF(BudgetsTable[[#This Row],[pi_last_name]]=" ","",HYPERLINK("mailto:"&amp;BudgetsTable[[#This Row],[pi_email]]&amp;"&amp;subject=Your NSF Proposal:  "&amp;BudgetsTable[[#This Row],[prop_id]],BudgetsTable[[#This Row],[pi_email]]))</f>
        <v>barna@cs.umass.edu</v>
      </c>
      <c r="P111" s="80" t="s">
        <v>1075</v>
      </c>
      <c r="Q111" s="80"/>
      <c r="R111" s="80"/>
      <c r="S111" s="81"/>
      <c r="T111" s="81"/>
      <c r="U111" s="81"/>
      <c r="V111" s="82"/>
      <c r="W111" s="80">
        <v>1</v>
      </c>
      <c r="X111" s="80"/>
      <c r="Y111" s="11" t="str">
        <f ca="1">IF(ISBLANK(BudgetsTable[[#This Row],[budg_seq_yr]]),"FY"&amp;fiscalyear,"FY"&amp;fiscalyear-1+BudgetsTable[[#This Row],[budg_seq_yr]])</f>
        <v>FY18</v>
      </c>
      <c r="Z111" s="81">
        <v>549986</v>
      </c>
      <c r="AA111" s="80" t="s">
        <v>222</v>
      </c>
      <c r="AB111" s="80" t="s">
        <v>405</v>
      </c>
      <c r="AC111" s="80" t="s">
        <v>411</v>
      </c>
    </row>
    <row r="112" spans="1:29" x14ac:dyDescent="0.4">
      <c r="A112" s="10" t="s">
        <v>1072</v>
      </c>
      <c r="B112" s="78" t="s">
        <v>96</v>
      </c>
      <c r="C112" s="78">
        <f>C111+(BudgetsTable[[#This Row],[lead]]&lt;&gt;K111)</f>
        <v>29</v>
      </c>
      <c r="D112" s="78">
        <f>D111*(BudgetsTable[[#This Row],[lead]]=K111)+(BudgetsTable[[#This Row],[prop_id]]&lt;&gt;A111)</f>
        <v>1</v>
      </c>
      <c r="E112" s="79">
        <v>42571.592361111114</v>
      </c>
      <c r="F112" s="80" t="s">
        <v>975</v>
      </c>
      <c r="G112" s="80" t="s">
        <v>222</v>
      </c>
      <c r="H112" s="80" t="s">
        <v>405</v>
      </c>
      <c r="I112" s="78" t="s">
        <v>422</v>
      </c>
      <c r="J112" s="78" t="s">
        <v>13</v>
      </c>
      <c r="K112" s="80" t="s">
        <v>1072</v>
      </c>
      <c r="L112" s="7" t="str">
        <f>IF(BudgetsTable[[#This Row],[pi_last_name]]=" ","",HYPERLINK("https://www.ejacket.nsf.gov/ej/showProposal.do?Continue=Y&amp;ID="&amp;BudgetsTable[[#This Row],[prop_id]],BudgetsTable[[#This Row],[prop_id]]))</f>
        <v/>
      </c>
      <c r="M112" s="15" t="str">
        <f>IF(BudgetsTable[[#This Row],[pi_last_name]]=" ","",HYPERLINK("https://www.ejacket.nsf.gov/ej/processReviewAnalysis.do?dispatch=add&amp;uniqId="&amp;BudgetsTable[[#This Row],[prop_id]]&amp;PO_id,"&gt;ra"))</f>
        <v/>
      </c>
      <c r="N112" s="80" t="s">
        <v>13</v>
      </c>
      <c r="O112" s="7" t="str">
        <f>IF(BudgetsTable[[#This Row],[pi_last_name]]=" ","",HYPERLINK("mailto:"&amp;BudgetsTable[[#This Row],[pi_email]]&amp;"&amp;subject=Your NSF Proposal:  "&amp;BudgetsTable[[#This Row],[prop_id]],BudgetsTable[[#This Row],[pi_email]]))</f>
        <v/>
      </c>
      <c r="P112" s="80" t="s">
        <v>13</v>
      </c>
      <c r="Q112" s="80">
        <v>1</v>
      </c>
      <c r="R112" s="80">
        <v>1</v>
      </c>
      <c r="S112" s="81">
        <v>0</v>
      </c>
      <c r="T112" s="81">
        <v>3500</v>
      </c>
      <c r="U112" s="81">
        <v>0</v>
      </c>
      <c r="V112" s="82">
        <v>101990</v>
      </c>
      <c r="W112" s="80">
        <v>1</v>
      </c>
      <c r="X112" s="80">
        <v>1</v>
      </c>
      <c r="Y112" s="11" t="str">
        <f ca="1">IF(ISBLANK(BudgetsTable[[#This Row],[budg_seq_yr]]),"FY"&amp;fiscalyear,"FY"&amp;fiscalyear-1+BudgetsTable[[#This Row],[budg_seq_yr]])</f>
        <v>FY18</v>
      </c>
      <c r="Z112" s="81">
        <v>101990</v>
      </c>
      <c r="AA112" s="80" t="s">
        <v>222</v>
      </c>
      <c r="AB112" s="80" t="s">
        <v>405</v>
      </c>
      <c r="AC112" s="80" t="s">
        <v>411</v>
      </c>
    </row>
    <row r="113" spans="1:29" x14ac:dyDescent="0.4">
      <c r="A113" s="10" t="s">
        <v>1072</v>
      </c>
      <c r="B113" s="78" t="s">
        <v>96</v>
      </c>
      <c r="C113" s="78">
        <f>C112+(BudgetsTable[[#This Row],[lead]]&lt;&gt;K112)</f>
        <v>29</v>
      </c>
      <c r="D113" s="78">
        <f>D112*(BudgetsTable[[#This Row],[lead]]=K112)+(BudgetsTable[[#This Row],[prop_id]]&lt;&gt;A112)</f>
        <v>1</v>
      </c>
      <c r="E113" s="79">
        <v>42571.592361111114</v>
      </c>
      <c r="F113" s="80" t="s">
        <v>975</v>
      </c>
      <c r="G113" s="80" t="s">
        <v>222</v>
      </c>
      <c r="H113" s="80" t="s">
        <v>405</v>
      </c>
      <c r="I113" s="78" t="s">
        <v>422</v>
      </c>
      <c r="J113" s="78" t="s">
        <v>13</v>
      </c>
      <c r="K113" s="80" t="s">
        <v>1072</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80" t="s">
        <v>13</v>
      </c>
      <c r="O113" s="7" t="str">
        <f>IF(BudgetsTable[[#This Row],[pi_last_name]]=" ","",HYPERLINK("mailto:"&amp;BudgetsTable[[#This Row],[pi_email]]&amp;"&amp;subject=Your NSF Proposal:  "&amp;BudgetsTable[[#This Row],[prop_id]],BudgetsTable[[#This Row],[pi_email]]))</f>
        <v/>
      </c>
      <c r="P113" s="80" t="s">
        <v>13</v>
      </c>
      <c r="Q113" s="80">
        <v>1</v>
      </c>
      <c r="R113" s="80">
        <v>1</v>
      </c>
      <c r="S113" s="81">
        <v>0</v>
      </c>
      <c r="T113" s="81">
        <v>3500</v>
      </c>
      <c r="U113" s="81">
        <v>0</v>
      </c>
      <c r="V113" s="82">
        <v>105346</v>
      </c>
      <c r="W113" s="80">
        <v>1</v>
      </c>
      <c r="X113" s="80">
        <v>2</v>
      </c>
      <c r="Y113" s="11" t="str">
        <f ca="1">IF(ISBLANK(BudgetsTable[[#This Row],[budg_seq_yr]]),"FY"&amp;fiscalyear,"FY"&amp;fiscalyear-1+BudgetsTable[[#This Row],[budg_seq_yr]])</f>
        <v>FY19</v>
      </c>
      <c r="Z113" s="81">
        <v>105346</v>
      </c>
      <c r="AA113" s="80" t="s">
        <v>222</v>
      </c>
      <c r="AB113" s="80" t="s">
        <v>405</v>
      </c>
      <c r="AC113" s="80" t="s">
        <v>411</v>
      </c>
    </row>
    <row r="114" spans="1:29" x14ac:dyDescent="0.4">
      <c r="A114" s="10" t="s">
        <v>1072</v>
      </c>
      <c r="B114" s="78" t="s">
        <v>96</v>
      </c>
      <c r="C114" s="78">
        <f>C113+(BudgetsTable[[#This Row],[lead]]&lt;&gt;K113)</f>
        <v>29</v>
      </c>
      <c r="D114" s="78">
        <f>D113*(BudgetsTable[[#This Row],[lead]]=K113)+(BudgetsTable[[#This Row],[prop_id]]&lt;&gt;A113)</f>
        <v>1</v>
      </c>
      <c r="E114" s="79">
        <v>42571.592361111114</v>
      </c>
      <c r="F114" s="80" t="s">
        <v>975</v>
      </c>
      <c r="G114" s="80" t="s">
        <v>222</v>
      </c>
      <c r="H114" s="80" t="s">
        <v>405</v>
      </c>
      <c r="I114" s="78" t="s">
        <v>422</v>
      </c>
      <c r="J114" s="78" t="s">
        <v>13</v>
      </c>
      <c r="K114" s="80" t="s">
        <v>1072</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80" t="s">
        <v>13</v>
      </c>
      <c r="O114" s="7" t="str">
        <f>IF(BudgetsTable[[#This Row],[pi_last_name]]=" ","",HYPERLINK("mailto:"&amp;BudgetsTable[[#This Row],[pi_email]]&amp;"&amp;subject=Your NSF Proposal:  "&amp;BudgetsTable[[#This Row],[prop_id]],BudgetsTable[[#This Row],[pi_email]]))</f>
        <v/>
      </c>
      <c r="P114" s="80" t="s">
        <v>13</v>
      </c>
      <c r="Q114" s="80">
        <v>1</v>
      </c>
      <c r="R114" s="80">
        <v>1</v>
      </c>
      <c r="S114" s="81">
        <v>0</v>
      </c>
      <c r="T114" s="81">
        <v>3500</v>
      </c>
      <c r="U114" s="81">
        <v>0</v>
      </c>
      <c r="V114" s="82">
        <v>110514</v>
      </c>
      <c r="W114" s="80">
        <v>1</v>
      </c>
      <c r="X114" s="80">
        <v>3</v>
      </c>
      <c r="Y114" s="11" t="str">
        <f ca="1">IF(ISBLANK(BudgetsTable[[#This Row],[budg_seq_yr]]),"FY"&amp;fiscalyear,"FY"&amp;fiscalyear-1+BudgetsTable[[#This Row],[budg_seq_yr]])</f>
        <v>FY20</v>
      </c>
      <c r="Z114" s="81">
        <v>110514</v>
      </c>
      <c r="AA114" s="80" t="s">
        <v>222</v>
      </c>
      <c r="AB114" s="80" t="s">
        <v>405</v>
      </c>
      <c r="AC114" s="80" t="s">
        <v>411</v>
      </c>
    </row>
    <row r="115" spans="1:29" x14ac:dyDescent="0.4">
      <c r="A115" s="10" t="s">
        <v>1072</v>
      </c>
      <c r="B115" s="78" t="s">
        <v>96</v>
      </c>
      <c r="C115" s="78">
        <f>C114+(BudgetsTable[[#This Row],[lead]]&lt;&gt;K114)</f>
        <v>29</v>
      </c>
      <c r="D115" s="78">
        <f>D114*(BudgetsTable[[#This Row],[lead]]=K114)+(BudgetsTable[[#This Row],[prop_id]]&lt;&gt;A114)</f>
        <v>1</v>
      </c>
      <c r="E115" s="79">
        <v>42571.592361111114</v>
      </c>
      <c r="F115" s="80" t="s">
        <v>975</v>
      </c>
      <c r="G115" s="80" t="s">
        <v>222</v>
      </c>
      <c r="H115" s="80" t="s">
        <v>405</v>
      </c>
      <c r="I115" s="78" t="s">
        <v>422</v>
      </c>
      <c r="J115" s="78" t="s">
        <v>13</v>
      </c>
      <c r="K115" s="80" t="s">
        <v>1072</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80" t="s">
        <v>13</v>
      </c>
      <c r="O115" s="7" t="str">
        <f>IF(BudgetsTable[[#This Row],[pi_last_name]]=" ","",HYPERLINK("mailto:"&amp;BudgetsTable[[#This Row],[pi_email]]&amp;"&amp;subject=Your NSF Proposal:  "&amp;BudgetsTable[[#This Row],[prop_id]],BudgetsTable[[#This Row],[pi_email]]))</f>
        <v/>
      </c>
      <c r="P115" s="80" t="s">
        <v>13</v>
      </c>
      <c r="Q115" s="80">
        <v>1</v>
      </c>
      <c r="R115" s="80">
        <v>1</v>
      </c>
      <c r="S115" s="81">
        <v>0</v>
      </c>
      <c r="T115" s="81">
        <v>3500</v>
      </c>
      <c r="U115" s="81">
        <v>0</v>
      </c>
      <c r="V115" s="82">
        <v>114184</v>
      </c>
      <c r="W115" s="80">
        <v>1</v>
      </c>
      <c r="X115" s="80">
        <v>4</v>
      </c>
      <c r="Y115" s="11" t="str">
        <f ca="1">IF(ISBLANK(BudgetsTable[[#This Row],[budg_seq_yr]]),"FY"&amp;fiscalyear,"FY"&amp;fiscalyear-1+BudgetsTable[[#This Row],[budg_seq_yr]])</f>
        <v>FY21</v>
      </c>
      <c r="Z115" s="81">
        <v>114184</v>
      </c>
      <c r="AA115" s="80" t="s">
        <v>222</v>
      </c>
      <c r="AB115" s="80" t="s">
        <v>405</v>
      </c>
      <c r="AC115" s="80" t="s">
        <v>411</v>
      </c>
    </row>
    <row r="116" spans="1:29" x14ac:dyDescent="0.4">
      <c r="A116" s="10" t="s">
        <v>1072</v>
      </c>
      <c r="B116" s="78" t="s">
        <v>96</v>
      </c>
      <c r="C116" s="78">
        <f>C115+(BudgetsTable[[#This Row],[lead]]&lt;&gt;K115)</f>
        <v>29</v>
      </c>
      <c r="D116" s="78">
        <f>D115*(BudgetsTable[[#This Row],[lead]]=K115)+(BudgetsTable[[#This Row],[prop_id]]&lt;&gt;A115)</f>
        <v>1</v>
      </c>
      <c r="E116" s="79">
        <v>42571.592361111114</v>
      </c>
      <c r="F116" s="80" t="s">
        <v>975</v>
      </c>
      <c r="G116" s="80" t="s">
        <v>222</v>
      </c>
      <c r="H116" s="80" t="s">
        <v>405</v>
      </c>
      <c r="I116" s="78" t="s">
        <v>422</v>
      </c>
      <c r="J116" s="78" t="s">
        <v>13</v>
      </c>
      <c r="K116" s="80" t="s">
        <v>1072</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80" t="s">
        <v>13</v>
      </c>
      <c r="O116" s="7" t="str">
        <f>IF(BudgetsTable[[#This Row],[pi_last_name]]=" ","",HYPERLINK("mailto:"&amp;BudgetsTable[[#This Row],[pi_email]]&amp;"&amp;subject=Your NSF Proposal:  "&amp;BudgetsTable[[#This Row],[prop_id]],BudgetsTable[[#This Row],[pi_email]]))</f>
        <v/>
      </c>
      <c r="P116" s="80" t="s">
        <v>13</v>
      </c>
      <c r="Q116" s="80">
        <v>1</v>
      </c>
      <c r="R116" s="80">
        <v>1</v>
      </c>
      <c r="S116" s="81">
        <v>0</v>
      </c>
      <c r="T116" s="81">
        <v>3500</v>
      </c>
      <c r="U116" s="81">
        <v>0</v>
      </c>
      <c r="V116" s="82">
        <v>117952</v>
      </c>
      <c r="W116" s="80">
        <v>1</v>
      </c>
      <c r="X116" s="80">
        <v>5</v>
      </c>
      <c r="Y116" s="11" t="str">
        <f ca="1">IF(ISBLANK(BudgetsTable[[#This Row],[budg_seq_yr]]),"FY"&amp;fiscalyear,"FY"&amp;fiscalyear-1+BudgetsTable[[#This Row],[budg_seq_yr]])</f>
        <v>FY22</v>
      </c>
      <c r="Z116" s="81">
        <v>117952</v>
      </c>
      <c r="AA116" s="80" t="s">
        <v>222</v>
      </c>
      <c r="AB116" s="80" t="s">
        <v>405</v>
      </c>
      <c r="AC116" s="80" t="s">
        <v>411</v>
      </c>
    </row>
    <row r="117" spans="1:29" x14ac:dyDescent="0.4">
      <c r="A117" s="10" t="s">
        <v>1079</v>
      </c>
      <c r="B117" s="78" t="s">
        <v>96</v>
      </c>
      <c r="C117" s="78">
        <f>C116+(BudgetsTable[[#This Row],[lead]]&lt;&gt;K116)</f>
        <v>30</v>
      </c>
      <c r="D117" s="78">
        <f>D116*(BudgetsTable[[#This Row],[lead]]=K116)+(BudgetsTable[[#This Row],[prop_id]]&lt;&gt;A116)</f>
        <v>1</v>
      </c>
      <c r="E117" s="79">
        <v>42571.602777777778</v>
      </c>
      <c r="F117" s="80" t="s">
        <v>975</v>
      </c>
      <c r="G117" s="80" t="s">
        <v>222</v>
      </c>
      <c r="H117" s="80" t="s">
        <v>405</v>
      </c>
      <c r="I117" s="78" t="s">
        <v>422</v>
      </c>
      <c r="J117" s="78" t="s">
        <v>1083</v>
      </c>
      <c r="K117" s="80" t="s">
        <v>1079</v>
      </c>
      <c r="L117" s="7" t="str">
        <f>IF(BudgetsTable[[#This Row],[pi_last_name]]=" ","",HYPERLINK("https://www.ejacket.nsf.gov/ej/showProposal.do?Continue=Y&amp;ID="&amp;BudgetsTable[[#This Row],[prop_id]],BudgetsTable[[#This Row],[prop_id]]))</f>
        <v>1652346</v>
      </c>
      <c r="M117" s="15" t="str">
        <f>IF(BudgetsTable[[#This Row],[pi_last_name]]=" ","",HYPERLINK("https://www.ejacket.nsf.gov/ej/processReviewAnalysis.do?dispatch=add&amp;uniqId="&amp;BudgetsTable[[#This Row],[prop_id]]&amp;PO_id,"&gt;ra"))</f>
        <v>&gt;ra</v>
      </c>
      <c r="N117" s="80" t="s">
        <v>1080</v>
      </c>
      <c r="O117" s="7" t="str">
        <f>IF(BudgetsTable[[#This Row],[pi_last_name]]=" ","",HYPERLINK("mailto:"&amp;BudgetsTable[[#This Row],[pi_email]]&amp;"&amp;subject=Your NSF Proposal:  "&amp;BudgetsTable[[#This Row],[prop_id]],BudgetsTable[[#This Row],[pi_email]]))</f>
        <v>sesh@ucsc.edu</v>
      </c>
      <c r="P117" s="80" t="s">
        <v>1082</v>
      </c>
      <c r="Q117" s="80"/>
      <c r="R117" s="80"/>
      <c r="S117" s="81"/>
      <c r="T117" s="81"/>
      <c r="U117" s="81"/>
      <c r="V117" s="82"/>
      <c r="W117" s="80">
        <v>0</v>
      </c>
      <c r="X117" s="80"/>
      <c r="Y117" s="11" t="str">
        <f ca="1">IF(ISBLANK(BudgetsTable[[#This Row],[budg_seq_yr]]),"FY"&amp;fiscalyear,"FY"&amp;fiscalyear-1+BudgetsTable[[#This Row],[budg_seq_yr]])</f>
        <v>FY18</v>
      </c>
      <c r="Z117" s="81">
        <v>483059</v>
      </c>
      <c r="AA117" s="80" t="s">
        <v>222</v>
      </c>
      <c r="AB117" s="80" t="s">
        <v>405</v>
      </c>
      <c r="AC117" s="80" t="s">
        <v>411</v>
      </c>
    </row>
    <row r="118" spans="1:29" x14ac:dyDescent="0.4">
      <c r="A118" s="10" t="s">
        <v>1079</v>
      </c>
      <c r="B118" s="78" t="s">
        <v>96</v>
      </c>
      <c r="C118" s="78">
        <f>C117+(BudgetsTable[[#This Row],[lead]]&lt;&gt;K117)</f>
        <v>30</v>
      </c>
      <c r="D118" s="78">
        <f>D117*(BudgetsTable[[#This Row],[lead]]=K117)+(BudgetsTable[[#This Row],[prop_id]]&lt;&gt;A117)</f>
        <v>1</v>
      </c>
      <c r="E118" s="79">
        <v>42571.602777777778</v>
      </c>
      <c r="F118" s="80" t="s">
        <v>975</v>
      </c>
      <c r="G118" s="80" t="s">
        <v>222</v>
      </c>
      <c r="H118" s="80" t="s">
        <v>405</v>
      </c>
      <c r="I118" s="78" t="s">
        <v>422</v>
      </c>
      <c r="J118" s="78" t="s">
        <v>13</v>
      </c>
      <c r="K118" s="80" t="s">
        <v>1079</v>
      </c>
      <c r="L118" s="7" t="str">
        <f>IF(BudgetsTable[[#This Row],[pi_last_name]]=" ","",HYPERLINK("https://www.ejacket.nsf.gov/ej/showProposal.do?Continue=Y&amp;ID="&amp;BudgetsTable[[#This Row],[prop_id]],BudgetsTable[[#This Row],[prop_id]]))</f>
        <v/>
      </c>
      <c r="M118" s="15" t="str">
        <f>IF(BudgetsTable[[#This Row],[pi_last_name]]=" ","",HYPERLINK("https://www.ejacket.nsf.gov/ej/processReviewAnalysis.do?dispatch=add&amp;uniqId="&amp;BudgetsTable[[#This Row],[prop_id]]&amp;PO_id,"&gt;ra"))</f>
        <v/>
      </c>
      <c r="N118" s="80" t="s">
        <v>13</v>
      </c>
      <c r="O118" s="7" t="str">
        <f>IF(BudgetsTable[[#This Row],[pi_last_name]]=" ","",HYPERLINK("mailto:"&amp;BudgetsTable[[#This Row],[pi_email]]&amp;"&amp;subject=Your NSF Proposal:  "&amp;BudgetsTable[[#This Row],[prop_id]],BudgetsTable[[#This Row],[pi_email]]))</f>
        <v/>
      </c>
      <c r="P118" s="80" t="s">
        <v>13</v>
      </c>
      <c r="Q118" s="80">
        <v>1</v>
      </c>
      <c r="R118" s="80">
        <v>1</v>
      </c>
      <c r="S118" s="81">
        <v>0</v>
      </c>
      <c r="T118" s="81">
        <v>0</v>
      </c>
      <c r="U118" s="81">
        <v>0</v>
      </c>
      <c r="V118" s="82">
        <v>80728</v>
      </c>
      <c r="W118" s="80">
        <v>0</v>
      </c>
      <c r="X118" s="80">
        <v>1</v>
      </c>
      <c r="Y118" s="11" t="str">
        <f ca="1">IF(ISBLANK(BudgetsTable[[#This Row],[budg_seq_yr]]),"FY"&amp;fiscalyear,"FY"&amp;fiscalyear-1+BudgetsTable[[#This Row],[budg_seq_yr]])</f>
        <v>FY18</v>
      </c>
      <c r="Z118" s="81">
        <v>80728</v>
      </c>
      <c r="AA118" s="80" t="s">
        <v>222</v>
      </c>
      <c r="AB118" s="80" t="s">
        <v>405</v>
      </c>
      <c r="AC118" s="80" t="s">
        <v>411</v>
      </c>
    </row>
    <row r="119" spans="1:29" x14ac:dyDescent="0.4">
      <c r="A119" s="10" t="s">
        <v>1079</v>
      </c>
      <c r="B119" s="78" t="s">
        <v>96</v>
      </c>
      <c r="C119" s="78">
        <f>C118+(BudgetsTable[[#This Row],[lead]]&lt;&gt;K118)</f>
        <v>30</v>
      </c>
      <c r="D119" s="78">
        <f>D118*(BudgetsTable[[#This Row],[lead]]=K118)+(BudgetsTable[[#This Row],[prop_id]]&lt;&gt;A118)</f>
        <v>1</v>
      </c>
      <c r="E119" s="79">
        <v>42571.602777777778</v>
      </c>
      <c r="F119" s="80" t="s">
        <v>975</v>
      </c>
      <c r="G119" s="80" t="s">
        <v>222</v>
      </c>
      <c r="H119" s="80" t="s">
        <v>405</v>
      </c>
      <c r="I119" s="78" t="s">
        <v>422</v>
      </c>
      <c r="J119" s="78" t="s">
        <v>13</v>
      </c>
      <c r="K119" s="80" t="s">
        <v>1079</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80" t="s">
        <v>13</v>
      </c>
      <c r="O119" s="7" t="str">
        <f>IF(BudgetsTable[[#This Row],[pi_last_name]]=" ","",HYPERLINK("mailto:"&amp;BudgetsTable[[#This Row],[pi_email]]&amp;"&amp;subject=Your NSF Proposal:  "&amp;BudgetsTable[[#This Row],[prop_id]],BudgetsTable[[#This Row],[pi_email]]))</f>
        <v/>
      </c>
      <c r="P119" s="80" t="s">
        <v>13</v>
      </c>
      <c r="Q119" s="80">
        <v>1</v>
      </c>
      <c r="R119" s="80">
        <v>1</v>
      </c>
      <c r="S119" s="81">
        <v>0</v>
      </c>
      <c r="T119" s="81">
        <v>0</v>
      </c>
      <c r="U119" s="81">
        <v>0</v>
      </c>
      <c r="V119" s="82">
        <v>82415</v>
      </c>
      <c r="W119" s="80">
        <v>0</v>
      </c>
      <c r="X119" s="80">
        <v>2</v>
      </c>
      <c r="Y119" s="11" t="str">
        <f ca="1">IF(ISBLANK(BudgetsTable[[#This Row],[budg_seq_yr]]),"FY"&amp;fiscalyear,"FY"&amp;fiscalyear-1+BudgetsTable[[#This Row],[budg_seq_yr]])</f>
        <v>FY19</v>
      </c>
      <c r="Z119" s="81">
        <v>82415</v>
      </c>
      <c r="AA119" s="80" t="s">
        <v>222</v>
      </c>
      <c r="AB119" s="80" t="s">
        <v>405</v>
      </c>
      <c r="AC119" s="80" t="s">
        <v>411</v>
      </c>
    </row>
    <row r="120" spans="1:29" x14ac:dyDescent="0.4">
      <c r="A120" s="10" t="s">
        <v>1079</v>
      </c>
      <c r="B120" s="78" t="s">
        <v>96</v>
      </c>
      <c r="C120" s="78">
        <f>C119+(BudgetsTable[[#This Row],[lead]]&lt;&gt;K119)</f>
        <v>30</v>
      </c>
      <c r="D120" s="78">
        <f>D119*(BudgetsTable[[#This Row],[lead]]=K119)+(BudgetsTable[[#This Row],[prop_id]]&lt;&gt;A119)</f>
        <v>1</v>
      </c>
      <c r="E120" s="79">
        <v>42571.602777777778</v>
      </c>
      <c r="F120" s="80" t="s">
        <v>975</v>
      </c>
      <c r="G120" s="80" t="s">
        <v>222</v>
      </c>
      <c r="H120" s="80" t="s">
        <v>405</v>
      </c>
      <c r="I120" s="78" t="s">
        <v>422</v>
      </c>
      <c r="J120" s="78" t="s">
        <v>13</v>
      </c>
      <c r="K120" s="80" t="s">
        <v>1079</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80" t="s">
        <v>13</v>
      </c>
      <c r="O120" s="7" t="str">
        <f>IF(BudgetsTable[[#This Row],[pi_last_name]]=" ","",HYPERLINK("mailto:"&amp;BudgetsTable[[#This Row],[pi_email]]&amp;"&amp;subject=Your NSF Proposal:  "&amp;BudgetsTable[[#This Row],[prop_id]],BudgetsTable[[#This Row],[pi_email]]))</f>
        <v/>
      </c>
      <c r="P120" s="80" t="s">
        <v>13</v>
      </c>
      <c r="Q120" s="80">
        <v>1</v>
      </c>
      <c r="R120" s="80">
        <v>1</v>
      </c>
      <c r="S120" s="81">
        <v>0</v>
      </c>
      <c r="T120" s="81">
        <v>0</v>
      </c>
      <c r="U120" s="81">
        <v>0</v>
      </c>
      <c r="V120" s="82">
        <v>140131</v>
      </c>
      <c r="W120" s="80">
        <v>0</v>
      </c>
      <c r="X120" s="80">
        <v>3</v>
      </c>
      <c r="Y120" s="11" t="str">
        <f ca="1">IF(ISBLANK(BudgetsTable[[#This Row],[budg_seq_yr]]),"FY"&amp;fiscalyear,"FY"&amp;fiscalyear-1+BudgetsTable[[#This Row],[budg_seq_yr]])</f>
        <v>FY20</v>
      </c>
      <c r="Z120" s="81">
        <v>140131</v>
      </c>
      <c r="AA120" s="80" t="s">
        <v>222</v>
      </c>
      <c r="AB120" s="80" t="s">
        <v>405</v>
      </c>
      <c r="AC120" s="80" t="s">
        <v>411</v>
      </c>
    </row>
    <row r="121" spans="1:29" x14ac:dyDescent="0.4">
      <c r="A121" s="10" t="s">
        <v>1079</v>
      </c>
      <c r="B121" s="78" t="s">
        <v>96</v>
      </c>
      <c r="C121" s="78">
        <f>C120+(BudgetsTable[[#This Row],[lead]]&lt;&gt;K120)</f>
        <v>30</v>
      </c>
      <c r="D121" s="78">
        <f>D120*(BudgetsTable[[#This Row],[lead]]=K120)+(BudgetsTable[[#This Row],[prop_id]]&lt;&gt;A120)</f>
        <v>1</v>
      </c>
      <c r="E121" s="79">
        <v>42571.602777777778</v>
      </c>
      <c r="F121" s="80" t="s">
        <v>975</v>
      </c>
      <c r="G121" s="80" t="s">
        <v>222</v>
      </c>
      <c r="H121" s="80" t="s">
        <v>405</v>
      </c>
      <c r="I121" s="78" t="s">
        <v>422</v>
      </c>
      <c r="J121" s="78" t="s">
        <v>13</v>
      </c>
      <c r="K121" s="80" t="s">
        <v>1079</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80" t="s">
        <v>13</v>
      </c>
      <c r="O121" s="7" t="str">
        <f>IF(BudgetsTable[[#This Row],[pi_last_name]]=" ","",HYPERLINK("mailto:"&amp;BudgetsTable[[#This Row],[pi_email]]&amp;"&amp;subject=Your NSF Proposal:  "&amp;BudgetsTable[[#This Row],[prop_id]],BudgetsTable[[#This Row],[pi_email]]))</f>
        <v/>
      </c>
      <c r="P121" s="80" t="s">
        <v>13</v>
      </c>
      <c r="Q121" s="80">
        <v>1</v>
      </c>
      <c r="R121" s="80">
        <v>1</v>
      </c>
      <c r="S121" s="81">
        <v>0</v>
      </c>
      <c r="T121" s="81">
        <v>0</v>
      </c>
      <c r="U121" s="81">
        <v>0</v>
      </c>
      <c r="V121" s="82">
        <v>89489</v>
      </c>
      <c r="W121" s="80">
        <v>0</v>
      </c>
      <c r="X121" s="80">
        <v>4</v>
      </c>
      <c r="Y121" s="11" t="str">
        <f ca="1">IF(ISBLANK(BudgetsTable[[#This Row],[budg_seq_yr]]),"FY"&amp;fiscalyear,"FY"&amp;fiscalyear-1+BudgetsTable[[#This Row],[budg_seq_yr]])</f>
        <v>FY21</v>
      </c>
      <c r="Z121" s="81">
        <v>89489</v>
      </c>
      <c r="AA121" s="80" t="s">
        <v>222</v>
      </c>
      <c r="AB121" s="80" t="s">
        <v>405</v>
      </c>
      <c r="AC121" s="80" t="s">
        <v>411</v>
      </c>
    </row>
    <row r="122" spans="1:29" x14ac:dyDescent="0.4">
      <c r="A122" s="10" t="s">
        <v>1079</v>
      </c>
      <c r="B122" s="78" t="s">
        <v>96</v>
      </c>
      <c r="C122" s="78">
        <f>C121+(BudgetsTable[[#This Row],[lead]]&lt;&gt;K121)</f>
        <v>30</v>
      </c>
      <c r="D122" s="78">
        <f>D121*(BudgetsTable[[#This Row],[lead]]=K121)+(BudgetsTable[[#This Row],[prop_id]]&lt;&gt;A121)</f>
        <v>1</v>
      </c>
      <c r="E122" s="79">
        <v>42571.602777777778</v>
      </c>
      <c r="F122" s="80" t="s">
        <v>975</v>
      </c>
      <c r="G122" s="80" t="s">
        <v>222</v>
      </c>
      <c r="H122" s="80" t="s">
        <v>405</v>
      </c>
      <c r="I122" s="78" t="s">
        <v>422</v>
      </c>
      <c r="J122" s="78" t="s">
        <v>13</v>
      </c>
      <c r="K122" s="80" t="s">
        <v>1079</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80" t="s">
        <v>13</v>
      </c>
      <c r="O122" s="7" t="str">
        <f>IF(BudgetsTable[[#This Row],[pi_last_name]]=" ","",HYPERLINK("mailto:"&amp;BudgetsTable[[#This Row],[pi_email]]&amp;"&amp;subject=Your NSF Proposal:  "&amp;BudgetsTable[[#This Row],[prop_id]],BudgetsTable[[#This Row],[pi_email]]))</f>
        <v/>
      </c>
      <c r="P122" s="80" t="s">
        <v>13</v>
      </c>
      <c r="Q122" s="80">
        <v>1</v>
      </c>
      <c r="R122" s="80">
        <v>1</v>
      </c>
      <c r="S122" s="81">
        <v>0</v>
      </c>
      <c r="T122" s="81">
        <v>0</v>
      </c>
      <c r="U122" s="81">
        <v>0</v>
      </c>
      <c r="V122" s="82">
        <v>90296</v>
      </c>
      <c r="W122" s="80">
        <v>0</v>
      </c>
      <c r="X122" s="80">
        <v>5</v>
      </c>
      <c r="Y122" s="11" t="str">
        <f ca="1">IF(ISBLANK(BudgetsTable[[#This Row],[budg_seq_yr]]),"FY"&amp;fiscalyear,"FY"&amp;fiscalyear-1+BudgetsTable[[#This Row],[budg_seq_yr]])</f>
        <v>FY22</v>
      </c>
      <c r="Z122" s="81">
        <v>90296</v>
      </c>
      <c r="AA122" s="80" t="s">
        <v>222</v>
      </c>
      <c r="AB122" s="80" t="s">
        <v>405</v>
      </c>
      <c r="AC122" s="80" t="s">
        <v>411</v>
      </c>
    </row>
    <row r="123" spans="1:29" x14ac:dyDescent="0.4">
      <c r="A123" s="10" t="s">
        <v>1085</v>
      </c>
      <c r="B123" s="78" t="s">
        <v>96</v>
      </c>
      <c r="C123" s="78">
        <f>C122+(BudgetsTable[[#This Row],[lead]]&lt;&gt;K122)</f>
        <v>31</v>
      </c>
      <c r="D123" s="78">
        <f>D122*(BudgetsTable[[#This Row],[lead]]=K122)+(BudgetsTable[[#This Row],[prop_id]]&lt;&gt;A122)</f>
        <v>1</v>
      </c>
      <c r="E123" s="79">
        <v>42571.640972222223</v>
      </c>
      <c r="F123" s="80" t="s">
        <v>975</v>
      </c>
      <c r="G123" s="80" t="s">
        <v>222</v>
      </c>
      <c r="H123" s="80" t="s">
        <v>405</v>
      </c>
      <c r="I123" s="78" t="s">
        <v>451</v>
      </c>
      <c r="J123" s="78" t="s">
        <v>1088</v>
      </c>
      <c r="K123" s="80" t="s">
        <v>1085</v>
      </c>
      <c r="L123" s="7" t="str">
        <f>IF(BudgetsTable[[#This Row],[pi_last_name]]=" ","",HYPERLINK("https://www.ejacket.nsf.gov/ej/showProposal.do?Continue=Y&amp;ID="&amp;BudgetsTable[[#This Row],[prop_id]],BudgetsTable[[#This Row],[prop_id]]))</f>
        <v>1652491</v>
      </c>
      <c r="M123" s="15" t="str">
        <f>IF(BudgetsTable[[#This Row],[pi_last_name]]=" ","",HYPERLINK("https://www.ejacket.nsf.gov/ej/processReviewAnalysis.do?dispatch=add&amp;uniqId="&amp;BudgetsTable[[#This Row],[prop_id]]&amp;PO_id,"&gt;ra"))</f>
        <v>&gt;ra</v>
      </c>
      <c r="N123" s="80" t="s">
        <v>1086</v>
      </c>
      <c r="O123" s="7" t="str">
        <f>IF(BudgetsTable[[#This Row],[pi_last_name]]=" ","",HYPERLINK("mailto:"&amp;BudgetsTable[[#This Row],[pi_email]]&amp;"&amp;subject=Your NSF Proposal:  "&amp;BudgetsTable[[#This Row],[prop_id]],BudgetsTable[[#This Row],[pi_email]]))</f>
        <v>aravindv@northwestern.edu</v>
      </c>
      <c r="P123" s="80" t="s">
        <v>1060</v>
      </c>
      <c r="Q123" s="80"/>
      <c r="R123" s="80"/>
      <c r="S123" s="81"/>
      <c r="T123" s="81"/>
      <c r="U123" s="81"/>
      <c r="V123" s="82"/>
      <c r="W123" s="80">
        <v>0</v>
      </c>
      <c r="X123" s="80"/>
      <c r="Y123" s="11" t="str">
        <f ca="1">IF(ISBLANK(BudgetsTable[[#This Row],[budg_seq_yr]]),"FY"&amp;fiscalyear,"FY"&amp;fiscalyear-1+BudgetsTable[[#This Row],[budg_seq_yr]])</f>
        <v>FY18</v>
      </c>
      <c r="Z123" s="81">
        <v>505251</v>
      </c>
      <c r="AA123" s="80" t="s">
        <v>222</v>
      </c>
      <c r="AB123" s="80" t="s">
        <v>405</v>
      </c>
      <c r="AC123" s="80" t="s">
        <v>411</v>
      </c>
    </row>
    <row r="124" spans="1:29" x14ac:dyDescent="0.4">
      <c r="A124" s="10" t="s">
        <v>1085</v>
      </c>
      <c r="B124" s="78" t="s">
        <v>96</v>
      </c>
      <c r="C124" s="78">
        <f>C123+(BudgetsTable[[#This Row],[lead]]&lt;&gt;K123)</f>
        <v>31</v>
      </c>
      <c r="D124" s="78">
        <f>D123*(BudgetsTable[[#This Row],[lead]]=K123)+(BudgetsTable[[#This Row],[prop_id]]&lt;&gt;A123)</f>
        <v>1</v>
      </c>
      <c r="E124" s="79">
        <v>42571.640972222223</v>
      </c>
      <c r="F124" s="80" t="s">
        <v>975</v>
      </c>
      <c r="G124" s="80" t="s">
        <v>222</v>
      </c>
      <c r="H124" s="80" t="s">
        <v>405</v>
      </c>
      <c r="I124" s="78" t="s">
        <v>451</v>
      </c>
      <c r="J124" s="78" t="s">
        <v>13</v>
      </c>
      <c r="K124" s="80" t="s">
        <v>1085</v>
      </c>
      <c r="L124" s="7" t="str">
        <f>IF(BudgetsTable[[#This Row],[pi_last_name]]=" ","",HYPERLINK("https://www.ejacket.nsf.gov/ej/showProposal.do?Continue=Y&amp;ID="&amp;BudgetsTable[[#This Row],[prop_id]],BudgetsTable[[#This Row],[prop_id]]))</f>
        <v/>
      </c>
      <c r="M124" s="15" t="str">
        <f>IF(BudgetsTable[[#This Row],[pi_last_name]]=" ","",HYPERLINK("https://www.ejacket.nsf.gov/ej/processReviewAnalysis.do?dispatch=add&amp;uniqId="&amp;BudgetsTable[[#This Row],[prop_id]]&amp;PO_id,"&gt;ra"))</f>
        <v/>
      </c>
      <c r="N124" s="80" t="s">
        <v>13</v>
      </c>
      <c r="O124" s="7" t="str">
        <f>IF(BudgetsTable[[#This Row],[pi_last_name]]=" ","",HYPERLINK("mailto:"&amp;BudgetsTable[[#This Row],[pi_email]]&amp;"&amp;subject=Your NSF Proposal:  "&amp;BudgetsTable[[#This Row],[prop_id]],BudgetsTable[[#This Row],[pi_email]]))</f>
        <v/>
      </c>
      <c r="P124" s="80" t="s">
        <v>13</v>
      </c>
      <c r="Q124" s="80">
        <v>1</v>
      </c>
      <c r="R124" s="80">
        <v>0.5</v>
      </c>
      <c r="S124" s="81">
        <v>0</v>
      </c>
      <c r="T124" s="81">
        <v>2000</v>
      </c>
      <c r="U124" s="81">
        <v>2500</v>
      </c>
      <c r="V124" s="82">
        <v>55436</v>
      </c>
      <c r="W124" s="80">
        <v>0</v>
      </c>
      <c r="X124" s="80">
        <v>1</v>
      </c>
      <c r="Y124" s="11" t="str">
        <f ca="1">IF(ISBLANK(BudgetsTable[[#This Row],[budg_seq_yr]]),"FY"&amp;fiscalyear,"FY"&amp;fiscalyear-1+BudgetsTable[[#This Row],[budg_seq_yr]])</f>
        <v>FY18</v>
      </c>
      <c r="Z124" s="81">
        <v>55436</v>
      </c>
      <c r="AA124" s="80" t="s">
        <v>222</v>
      </c>
      <c r="AB124" s="80" t="s">
        <v>405</v>
      </c>
      <c r="AC124" s="80" t="s">
        <v>411</v>
      </c>
    </row>
    <row r="125" spans="1:29" x14ac:dyDescent="0.4">
      <c r="A125" s="10" t="s">
        <v>1085</v>
      </c>
      <c r="B125" s="78" t="s">
        <v>96</v>
      </c>
      <c r="C125" s="78">
        <f>C124+(BudgetsTable[[#This Row],[lead]]&lt;&gt;K124)</f>
        <v>31</v>
      </c>
      <c r="D125" s="78">
        <f>D124*(BudgetsTable[[#This Row],[lead]]=K124)+(BudgetsTable[[#This Row],[prop_id]]&lt;&gt;A124)</f>
        <v>1</v>
      </c>
      <c r="E125" s="79">
        <v>42571.640972222223</v>
      </c>
      <c r="F125" s="80" t="s">
        <v>975</v>
      </c>
      <c r="G125" s="80" t="s">
        <v>222</v>
      </c>
      <c r="H125" s="80" t="s">
        <v>405</v>
      </c>
      <c r="I125" s="78" t="s">
        <v>451</v>
      </c>
      <c r="J125" s="78" t="s">
        <v>13</v>
      </c>
      <c r="K125" s="80" t="s">
        <v>1085</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80" t="s">
        <v>13</v>
      </c>
      <c r="O125" s="7" t="str">
        <f>IF(BudgetsTable[[#This Row],[pi_last_name]]=" ","",HYPERLINK("mailto:"&amp;BudgetsTable[[#This Row],[pi_email]]&amp;"&amp;subject=Your NSF Proposal:  "&amp;BudgetsTable[[#This Row],[prop_id]],BudgetsTable[[#This Row],[pi_email]]))</f>
        <v/>
      </c>
      <c r="P125" s="80" t="s">
        <v>13</v>
      </c>
      <c r="Q125" s="80">
        <v>1</v>
      </c>
      <c r="R125" s="80">
        <v>1</v>
      </c>
      <c r="S125" s="81">
        <v>0</v>
      </c>
      <c r="T125" s="81">
        <v>2000</v>
      </c>
      <c r="U125" s="81">
        <v>0</v>
      </c>
      <c r="V125" s="82">
        <v>100269</v>
      </c>
      <c r="W125" s="80">
        <v>0</v>
      </c>
      <c r="X125" s="80">
        <v>2</v>
      </c>
      <c r="Y125" s="11" t="str">
        <f ca="1">IF(ISBLANK(BudgetsTable[[#This Row],[budg_seq_yr]]),"FY"&amp;fiscalyear,"FY"&amp;fiscalyear-1+BudgetsTable[[#This Row],[budg_seq_yr]])</f>
        <v>FY19</v>
      </c>
      <c r="Z125" s="81">
        <v>100269</v>
      </c>
      <c r="AA125" s="80" t="s">
        <v>222</v>
      </c>
      <c r="AB125" s="80" t="s">
        <v>405</v>
      </c>
      <c r="AC125" s="80" t="s">
        <v>411</v>
      </c>
    </row>
    <row r="126" spans="1:29" x14ac:dyDescent="0.4">
      <c r="A126" s="10" t="s">
        <v>1085</v>
      </c>
      <c r="B126" s="78" t="s">
        <v>96</v>
      </c>
      <c r="C126" s="78">
        <f>C125+(BudgetsTable[[#This Row],[lead]]&lt;&gt;K125)</f>
        <v>31</v>
      </c>
      <c r="D126" s="78">
        <f>D125*(BudgetsTable[[#This Row],[lead]]=K125)+(BudgetsTable[[#This Row],[prop_id]]&lt;&gt;A125)</f>
        <v>1</v>
      </c>
      <c r="E126" s="79">
        <v>42571.640972222223</v>
      </c>
      <c r="F126" s="80" t="s">
        <v>975</v>
      </c>
      <c r="G126" s="80" t="s">
        <v>222</v>
      </c>
      <c r="H126" s="80" t="s">
        <v>405</v>
      </c>
      <c r="I126" s="78" t="s">
        <v>451</v>
      </c>
      <c r="J126" s="78" t="s">
        <v>13</v>
      </c>
      <c r="K126" s="80" t="s">
        <v>1085</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80" t="s">
        <v>13</v>
      </c>
      <c r="O126" s="7" t="str">
        <f>IF(BudgetsTable[[#This Row],[pi_last_name]]=" ","",HYPERLINK("mailto:"&amp;BudgetsTable[[#This Row],[pi_email]]&amp;"&amp;subject=Your NSF Proposal:  "&amp;BudgetsTable[[#This Row],[prop_id]],BudgetsTable[[#This Row],[pi_email]]))</f>
        <v/>
      </c>
      <c r="P126" s="80" t="s">
        <v>13</v>
      </c>
      <c r="Q126" s="80">
        <v>1</v>
      </c>
      <c r="R126" s="80">
        <v>1</v>
      </c>
      <c r="S126" s="81">
        <v>0</v>
      </c>
      <c r="T126" s="81">
        <v>2000</v>
      </c>
      <c r="U126" s="81">
        <v>2500</v>
      </c>
      <c r="V126" s="82">
        <v>106032</v>
      </c>
      <c r="W126" s="80">
        <v>0</v>
      </c>
      <c r="X126" s="80">
        <v>3</v>
      </c>
      <c r="Y126" s="11" t="str">
        <f ca="1">IF(ISBLANK(BudgetsTable[[#This Row],[budg_seq_yr]]),"FY"&amp;fiscalyear,"FY"&amp;fiscalyear-1+BudgetsTable[[#This Row],[budg_seq_yr]])</f>
        <v>FY20</v>
      </c>
      <c r="Z126" s="81">
        <v>106032</v>
      </c>
      <c r="AA126" s="80" t="s">
        <v>222</v>
      </c>
      <c r="AB126" s="80" t="s">
        <v>405</v>
      </c>
      <c r="AC126" s="80" t="s">
        <v>411</v>
      </c>
    </row>
    <row r="127" spans="1:29" x14ac:dyDescent="0.4">
      <c r="A127" s="10" t="s">
        <v>1085</v>
      </c>
      <c r="B127" s="78" t="s">
        <v>96</v>
      </c>
      <c r="C127" s="78">
        <f>C126+(BudgetsTable[[#This Row],[lead]]&lt;&gt;K126)</f>
        <v>31</v>
      </c>
      <c r="D127" s="78">
        <f>D126*(BudgetsTable[[#This Row],[lead]]=K126)+(BudgetsTable[[#This Row],[prop_id]]&lt;&gt;A126)</f>
        <v>1</v>
      </c>
      <c r="E127" s="79">
        <v>42571.640972222223</v>
      </c>
      <c r="F127" s="80" t="s">
        <v>975</v>
      </c>
      <c r="G127" s="80" t="s">
        <v>222</v>
      </c>
      <c r="H127" s="80" t="s">
        <v>405</v>
      </c>
      <c r="I127" s="78" t="s">
        <v>451</v>
      </c>
      <c r="J127" s="78" t="s">
        <v>13</v>
      </c>
      <c r="K127" s="80" t="s">
        <v>1085</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80" t="s">
        <v>13</v>
      </c>
      <c r="O127" s="7" t="str">
        <f>IF(BudgetsTable[[#This Row],[pi_last_name]]=" ","",HYPERLINK("mailto:"&amp;BudgetsTable[[#This Row],[pi_email]]&amp;"&amp;subject=Your NSF Proposal:  "&amp;BudgetsTable[[#This Row],[prop_id]],BudgetsTable[[#This Row],[pi_email]]))</f>
        <v/>
      </c>
      <c r="P127" s="80" t="s">
        <v>13</v>
      </c>
      <c r="Q127" s="80">
        <v>1</v>
      </c>
      <c r="R127" s="80">
        <v>1</v>
      </c>
      <c r="S127" s="81">
        <v>0</v>
      </c>
      <c r="T127" s="81">
        <v>2000</v>
      </c>
      <c r="U127" s="81">
        <v>0</v>
      </c>
      <c r="V127" s="82">
        <v>106795</v>
      </c>
      <c r="W127" s="80">
        <v>0</v>
      </c>
      <c r="X127" s="80">
        <v>4</v>
      </c>
      <c r="Y127" s="11" t="str">
        <f ca="1">IF(ISBLANK(BudgetsTable[[#This Row],[budg_seq_yr]]),"FY"&amp;fiscalyear,"FY"&amp;fiscalyear-1+BudgetsTable[[#This Row],[budg_seq_yr]])</f>
        <v>FY21</v>
      </c>
      <c r="Z127" s="81">
        <v>106795</v>
      </c>
      <c r="AA127" s="80" t="s">
        <v>222</v>
      </c>
      <c r="AB127" s="80" t="s">
        <v>405</v>
      </c>
      <c r="AC127" s="80" t="s">
        <v>411</v>
      </c>
    </row>
    <row r="128" spans="1:29" x14ac:dyDescent="0.4">
      <c r="A128" s="10" t="s">
        <v>1085</v>
      </c>
      <c r="B128" s="78" t="s">
        <v>96</v>
      </c>
      <c r="C128" s="78">
        <f>C127+(BudgetsTable[[#This Row],[lead]]&lt;&gt;K127)</f>
        <v>31</v>
      </c>
      <c r="D128" s="78">
        <f>D127*(BudgetsTable[[#This Row],[lead]]=K127)+(BudgetsTable[[#This Row],[prop_id]]&lt;&gt;A127)</f>
        <v>1</v>
      </c>
      <c r="E128" s="79">
        <v>42571.640972222223</v>
      </c>
      <c r="F128" s="80" t="s">
        <v>975</v>
      </c>
      <c r="G128" s="80" t="s">
        <v>222</v>
      </c>
      <c r="H128" s="80" t="s">
        <v>405</v>
      </c>
      <c r="I128" s="78" t="s">
        <v>451</v>
      </c>
      <c r="J128" s="78" t="s">
        <v>13</v>
      </c>
      <c r="K128" s="80" t="s">
        <v>1085</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80" t="s">
        <v>13</v>
      </c>
      <c r="O128" s="7" t="str">
        <f>IF(BudgetsTable[[#This Row],[pi_last_name]]=" ","",HYPERLINK("mailto:"&amp;BudgetsTable[[#This Row],[pi_email]]&amp;"&amp;subject=Your NSF Proposal:  "&amp;BudgetsTable[[#This Row],[prop_id]],BudgetsTable[[#This Row],[pi_email]]))</f>
        <v/>
      </c>
      <c r="P128" s="80" t="s">
        <v>13</v>
      </c>
      <c r="Q128" s="80">
        <v>1</v>
      </c>
      <c r="R128" s="80">
        <v>2</v>
      </c>
      <c r="S128" s="81">
        <v>0</v>
      </c>
      <c r="T128" s="81">
        <v>2000</v>
      </c>
      <c r="U128" s="81">
        <v>0</v>
      </c>
      <c r="V128" s="82">
        <v>136719</v>
      </c>
      <c r="W128" s="80">
        <v>0</v>
      </c>
      <c r="X128" s="80">
        <v>5</v>
      </c>
      <c r="Y128" s="11" t="str">
        <f ca="1">IF(ISBLANK(BudgetsTable[[#This Row],[budg_seq_yr]]),"FY"&amp;fiscalyear,"FY"&amp;fiscalyear-1+BudgetsTable[[#This Row],[budg_seq_yr]])</f>
        <v>FY22</v>
      </c>
      <c r="Z128" s="81">
        <v>136719</v>
      </c>
      <c r="AA128" s="80" t="s">
        <v>222</v>
      </c>
      <c r="AB128" s="80" t="s">
        <v>405</v>
      </c>
      <c r="AC128" s="80" t="s">
        <v>411</v>
      </c>
    </row>
    <row r="129" spans="1:29" x14ac:dyDescent="0.4">
      <c r="A129" s="10" t="s">
        <v>1090</v>
      </c>
      <c r="B129" s="78" t="s">
        <v>96</v>
      </c>
      <c r="C129" s="78">
        <f>C128+(BudgetsTable[[#This Row],[lead]]&lt;&gt;K128)</f>
        <v>32</v>
      </c>
      <c r="D129" s="78">
        <f>D128*(BudgetsTable[[#This Row],[lead]]=K128)+(BudgetsTable[[#This Row],[prop_id]]&lt;&gt;A128)</f>
        <v>1</v>
      </c>
      <c r="E129" s="79">
        <v>42571.675000000003</v>
      </c>
      <c r="F129" s="80" t="s">
        <v>975</v>
      </c>
      <c r="G129" s="80" t="s">
        <v>222</v>
      </c>
      <c r="H129" s="80" t="s">
        <v>405</v>
      </c>
      <c r="I129" s="78" t="s">
        <v>406</v>
      </c>
      <c r="J129" s="78" t="s">
        <v>1094</v>
      </c>
      <c r="K129" s="80" t="s">
        <v>1090</v>
      </c>
      <c r="L129" s="7" t="str">
        <f>IF(BudgetsTable[[#This Row],[pi_last_name]]=" ","",HYPERLINK("https://www.ejacket.nsf.gov/ej/showProposal.do?Continue=Y&amp;ID="&amp;BudgetsTable[[#This Row],[prop_id]],BudgetsTable[[#This Row],[prop_id]]))</f>
        <v>1652640</v>
      </c>
      <c r="M129" s="15" t="str">
        <f>IF(BudgetsTable[[#This Row],[pi_last_name]]=" ","",HYPERLINK("https://www.ejacket.nsf.gov/ej/processReviewAnalysis.do?dispatch=add&amp;uniqId="&amp;BudgetsTable[[#This Row],[prop_id]]&amp;PO_id,"&gt;ra"))</f>
        <v>&gt;ra</v>
      </c>
      <c r="N129" s="80" t="s">
        <v>1091</v>
      </c>
      <c r="O129" s="7" t="str">
        <f>IF(BudgetsTable[[#This Row],[pi_last_name]]=" ","",HYPERLINK("mailto:"&amp;BudgetsTable[[#This Row],[pi_email]]&amp;"&amp;subject=Your NSF Proposal:  "&amp;BudgetsTable[[#This Row],[prop_id]],BudgetsTable[[#This Row],[pi_email]]))</f>
        <v>wzeng@cs.fiu.edu</v>
      </c>
      <c r="P129" s="80" t="s">
        <v>1093</v>
      </c>
      <c r="Q129" s="80"/>
      <c r="R129" s="80"/>
      <c r="S129" s="81"/>
      <c r="T129" s="81"/>
      <c r="U129" s="81"/>
      <c r="V129" s="82"/>
      <c r="W129" s="80">
        <v>0</v>
      </c>
      <c r="X129" s="80"/>
      <c r="Y129" s="11" t="str">
        <f ca="1">IF(ISBLANK(BudgetsTable[[#This Row],[budg_seq_yr]]),"FY"&amp;fiscalyear,"FY"&amp;fiscalyear-1+BudgetsTable[[#This Row],[budg_seq_yr]])</f>
        <v>FY18</v>
      </c>
      <c r="Z129" s="81">
        <v>439758</v>
      </c>
      <c r="AA129" s="80" t="s">
        <v>222</v>
      </c>
      <c r="AB129" s="80" t="s">
        <v>405</v>
      </c>
      <c r="AC129" s="80" t="s">
        <v>419</v>
      </c>
    </row>
    <row r="130" spans="1:29" x14ac:dyDescent="0.4">
      <c r="A130" s="10" t="s">
        <v>1090</v>
      </c>
      <c r="B130" s="78" t="s">
        <v>96</v>
      </c>
      <c r="C130" s="78">
        <f>C129+(BudgetsTable[[#This Row],[lead]]&lt;&gt;K129)</f>
        <v>32</v>
      </c>
      <c r="D130" s="78">
        <f>D129*(BudgetsTable[[#This Row],[lead]]=K129)+(BudgetsTable[[#This Row],[prop_id]]&lt;&gt;A129)</f>
        <v>1</v>
      </c>
      <c r="E130" s="79">
        <v>42571.675000000003</v>
      </c>
      <c r="F130" s="80" t="s">
        <v>975</v>
      </c>
      <c r="G130" s="80" t="s">
        <v>222</v>
      </c>
      <c r="H130" s="80" t="s">
        <v>405</v>
      </c>
      <c r="I130" s="78" t="s">
        <v>406</v>
      </c>
      <c r="J130" s="78" t="s">
        <v>13</v>
      </c>
      <c r="K130" s="80" t="s">
        <v>1090</v>
      </c>
      <c r="L130" s="7" t="str">
        <f>IF(BudgetsTable[[#This Row],[pi_last_name]]=" ","",HYPERLINK("https://www.ejacket.nsf.gov/ej/showProposal.do?Continue=Y&amp;ID="&amp;BudgetsTable[[#This Row],[prop_id]],BudgetsTable[[#This Row],[prop_id]]))</f>
        <v/>
      </c>
      <c r="M130" s="15" t="str">
        <f>IF(BudgetsTable[[#This Row],[pi_last_name]]=" ","",HYPERLINK("https://www.ejacket.nsf.gov/ej/processReviewAnalysis.do?dispatch=add&amp;uniqId="&amp;BudgetsTable[[#This Row],[prop_id]]&amp;PO_id,"&gt;ra"))</f>
        <v/>
      </c>
      <c r="N130" s="80" t="s">
        <v>13</v>
      </c>
      <c r="O130" s="7" t="str">
        <f>IF(BudgetsTable[[#This Row],[pi_last_name]]=" ","",HYPERLINK("mailto:"&amp;BudgetsTable[[#This Row],[pi_email]]&amp;"&amp;subject=Your NSF Proposal:  "&amp;BudgetsTable[[#This Row],[prop_id]],BudgetsTable[[#This Row],[pi_email]]))</f>
        <v/>
      </c>
      <c r="P130" s="80" t="s">
        <v>13</v>
      </c>
      <c r="Q130" s="80">
        <v>1</v>
      </c>
      <c r="R130" s="80">
        <v>1</v>
      </c>
      <c r="S130" s="81">
        <v>0</v>
      </c>
      <c r="T130" s="81">
        <v>4000</v>
      </c>
      <c r="U130" s="81">
        <v>0</v>
      </c>
      <c r="V130" s="82">
        <v>83121</v>
      </c>
      <c r="W130" s="80">
        <v>0</v>
      </c>
      <c r="X130" s="80">
        <v>1</v>
      </c>
      <c r="Y130" s="11" t="str">
        <f ca="1">IF(ISBLANK(BudgetsTable[[#This Row],[budg_seq_yr]]),"FY"&amp;fiscalyear,"FY"&amp;fiscalyear-1+BudgetsTable[[#This Row],[budg_seq_yr]])</f>
        <v>FY18</v>
      </c>
      <c r="Z130" s="81">
        <v>83121</v>
      </c>
      <c r="AA130" s="80" t="s">
        <v>222</v>
      </c>
      <c r="AB130" s="80" t="s">
        <v>405</v>
      </c>
      <c r="AC130" s="80" t="s">
        <v>419</v>
      </c>
    </row>
    <row r="131" spans="1:29" x14ac:dyDescent="0.4">
      <c r="A131" s="10" t="s">
        <v>1090</v>
      </c>
      <c r="B131" s="78" t="s">
        <v>96</v>
      </c>
      <c r="C131" s="78">
        <f>C130+(BudgetsTable[[#This Row],[lead]]&lt;&gt;K130)</f>
        <v>32</v>
      </c>
      <c r="D131" s="78">
        <f>D130*(BudgetsTable[[#This Row],[lead]]=K130)+(BudgetsTable[[#This Row],[prop_id]]&lt;&gt;A130)</f>
        <v>1</v>
      </c>
      <c r="E131" s="79">
        <v>42571.675000000003</v>
      </c>
      <c r="F131" s="80" t="s">
        <v>975</v>
      </c>
      <c r="G131" s="80" t="s">
        <v>222</v>
      </c>
      <c r="H131" s="80" t="s">
        <v>405</v>
      </c>
      <c r="I131" s="78" t="s">
        <v>406</v>
      </c>
      <c r="J131" s="78" t="s">
        <v>13</v>
      </c>
      <c r="K131" s="80" t="s">
        <v>1090</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80" t="s">
        <v>13</v>
      </c>
      <c r="O131" s="7" t="str">
        <f>IF(BudgetsTable[[#This Row],[pi_last_name]]=" ","",HYPERLINK("mailto:"&amp;BudgetsTable[[#This Row],[pi_email]]&amp;"&amp;subject=Your NSF Proposal:  "&amp;BudgetsTable[[#This Row],[prop_id]],BudgetsTable[[#This Row],[pi_email]]))</f>
        <v/>
      </c>
      <c r="P131" s="80" t="s">
        <v>13</v>
      </c>
      <c r="Q131" s="80">
        <v>1</v>
      </c>
      <c r="R131" s="80">
        <v>1</v>
      </c>
      <c r="S131" s="81">
        <v>0</v>
      </c>
      <c r="T131" s="81">
        <v>4000</v>
      </c>
      <c r="U131" s="81">
        <v>0</v>
      </c>
      <c r="V131" s="82">
        <v>85455</v>
      </c>
      <c r="W131" s="80">
        <v>0</v>
      </c>
      <c r="X131" s="80">
        <v>2</v>
      </c>
      <c r="Y131" s="11" t="str">
        <f ca="1">IF(ISBLANK(BudgetsTable[[#This Row],[budg_seq_yr]]),"FY"&amp;fiscalyear,"FY"&amp;fiscalyear-1+BudgetsTable[[#This Row],[budg_seq_yr]])</f>
        <v>FY19</v>
      </c>
      <c r="Z131" s="81">
        <v>85455</v>
      </c>
      <c r="AA131" s="80" t="s">
        <v>222</v>
      </c>
      <c r="AB131" s="80" t="s">
        <v>405</v>
      </c>
      <c r="AC131" s="80" t="s">
        <v>419</v>
      </c>
    </row>
    <row r="132" spans="1:29" x14ac:dyDescent="0.4">
      <c r="A132" s="10" t="s">
        <v>1090</v>
      </c>
      <c r="B132" s="78" t="s">
        <v>96</v>
      </c>
      <c r="C132" s="78">
        <f>C131+(BudgetsTable[[#This Row],[lead]]&lt;&gt;K131)</f>
        <v>32</v>
      </c>
      <c r="D132" s="78">
        <f>D131*(BudgetsTable[[#This Row],[lead]]=K131)+(BudgetsTable[[#This Row],[prop_id]]&lt;&gt;A131)</f>
        <v>1</v>
      </c>
      <c r="E132" s="79">
        <v>42571.675000000003</v>
      </c>
      <c r="F132" s="80" t="s">
        <v>975</v>
      </c>
      <c r="G132" s="80" t="s">
        <v>222</v>
      </c>
      <c r="H132" s="80" t="s">
        <v>405</v>
      </c>
      <c r="I132" s="78" t="s">
        <v>406</v>
      </c>
      <c r="J132" s="78" t="s">
        <v>13</v>
      </c>
      <c r="K132" s="80" t="s">
        <v>1090</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80" t="s">
        <v>13</v>
      </c>
      <c r="O132" s="7" t="str">
        <f>IF(BudgetsTable[[#This Row],[pi_last_name]]=" ","",HYPERLINK("mailto:"&amp;BudgetsTable[[#This Row],[pi_email]]&amp;"&amp;subject=Your NSF Proposal:  "&amp;BudgetsTable[[#This Row],[prop_id]],BudgetsTable[[#This Row],[pi_email]]))</f>
        <v/>
      </c>
      <c r="P132" s="80" t="s">
        <v>13</v>
      </c>
      <c r="Q132" s="80">
        <v>1</v>
      </c>
      <c r="R132" s="80">
        <v>1</v>
      </c>
      <c r="S132" s="81">
        <v>0</v>
      </c>
      <c r="T132" s="81">
        <v>4000</v>
      </c>
      <c r="U132" s="81">
        <v>0</v>
      </c>
      <c r="V132" s="82">
        <v>87868</v>
      </c>
      <c r="W132" s="80">
        <v>0</v>
      </c>
      <c r="X132" s="80">
        <v>3</v>
      </c>
      <c r="Y132" s="11" t="str">
        <f ca="1">IF(ISBLANK(BudgetsTable[[#This Row],[budg_seq_yr]]),"FY"&amp;fiscalyear,"FY"&amp;fiscalyear-1+BudgetsTable[[#This Row],[budg_seq_yr]])</f>
        <v>FY20</v>
      </c>
      <c r="Z132" s="81">
        <v>87868</v>
      </c>
      <c r="AA132" s="80" t="s">
        <v>222</v>
      </c>
      <c r="AB132" s="80" t="s">
        <v>405</v>
      </c>
      <c r="AC132" s="80" t="s">
        <v>419</v>
      </c>
    </row>
    <row r="133" spans="1:29" x14ac:dyDescent="0.4">
      <c r="A133" s="10" t="s">
        <v>1090</v>
      </c>
      <c r="B133" s="78" t="s">
        <v>96</v>
      </c>
      <c r="C133" s="78">
        <f>C132+(BudgetsTable[[#This Row],[lead]]&lt;&gt;K132)</f>
        <v>32</v>
      </c>
      <c r="D133" s="78">
        <f>D132*(BudgetsTable[[#This Row],[lead]]=K132)+(BudgetsTable[[#This Row],[prop_id]]&lt;&gt;A132)</f>
        <v>1</v>
      </c>
      <c r="E133" s="79">
        <v>42571.675000000003</v>
      </c>
      <c r="F133" s="80" t="s">
        <v>975</v>
      </c>
      <c r="G133" s="80" t="s">
        <v>222</v>
      </c>
      <c r="H133" s="80" t="s">
        <v>405</v>
      </c>
      <c r="I133" s="78" t="s">
        <v>406</v>
      </c>
      <c r="J133" s="78" t="s">
        <v>13</v>
      </c>
      <c r="K133" s="80" t="s">
        <v>1090</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80" t="s">
        <v>13</v>
      </c>
      <c r="O133" s="7" t="str">
        <f>IF(BudgetsTable[[#This Row],[pi_last_name]]=" ","",HYPERLINK("mailto:"&amp;BudgetsTable[[#This Row],[pi_email]]&amp;"&amp;subject=Your NSF Proposal:  "&amp;BudgetsTable[[#This Row],[prop_id]],BudgetsTable[[#This Row],[pi_email]]))</f>
        <v/>
      </c>
      <c r="P133" s="80" t="s">
        <v>13</v>
      </c>
      <c r="Q133" s="80">
        <v>1</v>
      </c>
      <c r="R133" s="80">
        <v>1</v>
      </c>
      <c r="S133" s="81">
        <v>0</v>
      </c>
      <c r="T133" s="81">
        <v>4000</v>
      </c>
      <c r="U133" s="81">
        <v>0</v>
      </c>
      <c r="V133" s="82">
        <v>90366</v>
      </c>
      <c r="W133" s="80">
        <v>0</v>
      </c>
      <c r="X133" s="80">
        <v>4</v>
      </c>
      <c r="Y133" s="11" t="str">
        <f ca="1">IF(ISBLANK(BudgetsTable[[#This Row],[budg_seq_yr]]),"FY"&amp;fiscalyear,"FY"&amp;fiscalyear-1+BudgetsTable[[#This Row],[budg_seq_yr]])</f>
        <v>FY21</v>
      </c>
      <c r="Z133" s="81">
        <v>90366</v>
      </c>
      <c r="AA133" s="80" t="s">
        <v>222</v>
      </c>
      <c r="AB133" s="80" t="s">
        <v>405</v>
      </c>
      <c r="AC133" s="80" t="s">
        <v>419</v>
      </c>
    </row>
    <row r="134" spans="1:29" x14ac:dyDescent="0.4">
      <c r="A134" s="10" t="s">
        <v>1090</v>
      </c>
      <c r="B134" s="78" t="s">
        <v>96</v>
      </c>
      <c r="C134" s="78">
        <f>C133+(BudgetsTable[[#This Row],[lead]]&lt;&gt;K133)</f>
        <v>32</v>
      </c>
      <c r="D134" s="78">
        <f>D133*(BudgetsTable[[#This Row],[lead]]=K133)+(BudgetsTable[[#This Row],[prop_id]]&lt;&gt;A133)</f>
        <v>1</v>
      </c>
      <c r="E134" s="79">
        <v>42571.675000000003</v>
      </c>
      <c r="F134" s="80" t="s">
        <v>975</v>
      </c>
      <c r="G134" s="80" t="s">
        <v>222</v>
      </c>
      <c r="H134" s="80" t="s">
        <v>405</v>
      </c>
      <c r="I134" s="78" t="s">
        <v>406</v>
      </c>
      <c r="J134" s="78" t="s">
        <v>13</v>
      </c>
      <c r="K134" s="80" t="s">
        <v>1090</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80" t="s">
        <v>13</v>
      </c>
      <c r="O134" s="7" t="str">
        <f>IF(BudgetsTable[[#This Row],[pi_last_name]]=" ","",HYPERLINK("mailto:"&amp;BudgetsTable[[#This Row],[pi_email]]&amp;"&amp;subject=Your NSF Proposal:  "&amp;BudgetsTable[[#This Row],[prop_id]],BudgetsTable[[#This Row],[pi_email]]))</f>
        <v/>
      </c>
      <c r="P134" s="80" t="s">
        <v>13</v>
      </c>
      <c r="Q134" s="80">
        <v>1</v>
      </c>
      <c r="R134" s="80">
        <v>1</v>
      </c>
      <c r="S134" s="81">
        <v>0</v>
      </c>
      <c r="T134" s="81">
        <v>4000</v>
      </c>
      <c r="U134" s="81">
        <v>0</v>
      </c>
      <c r="V134" s="82">
        <v>92948</v>
      </c>
      <c r="W134" s="80">
        <v>0</v>
      </c>
      <c r="X134" s="80">
        <v>5</v>
      </c>
      <c r="Y134" s="11" t="str">
        <f ca="1">IF(ISBLANK(BudgetsTable[[#This Row],[budg_seq_yr]]),"FY"&amp;fiscalyear,"FY"&amp;fiscalyear-1+BudgetsTable[[#This Row],[budg_seq_yr]])</f>
        <v>FY22</v>
      </c>
      <c r="Z134" s="81">
        <v>92948</v>
      </c>
      <c r="AA134" s="80" t="s">
        <v>222</v>
      </c>
      <c r="AB134" s="80" t="s">
        <v>405</v>
      </c>
      <c r="AC134" s="80" t="s">
        <v>419</v>
      </c>
    </row>
    <row r="135" spans="1:29" x14ac:dyDescent="0.4">
      <c r="A135" s="10" t="s">
        <v>1097</v>
      </c>
      <c r="B135" s="78" t="s">
        <v>96</v>
      </c>
      <c r="C135" s="78">
        <f>C134+(BudgetsTable[[#This Row],[lead]]&lt;&gt;K134)</f>
        <v>33</v>
      </c>
      <c r="D135" s="78">
        <f>D134*(BudgetsTable[[#This Row],[lead]]=K134)+(BudgetsTable[[#This Row],[prop_id]]&lt;&gt;A134)</f>
        <v>1</v>
      </c>
      <c r="E135" s="79">
        <v>42571.6875</v>
      </c>
      <c r="F135" s="80" t="s">
        <v>975</v>
      </c>
      <c r="G135" s="80" t="s">
        <v>222</v>
      </c>
      <c r="H135" s="80" t="s">
        <v>405</v>
      </c>
      <c r="I135" s="78" t="s">
        <v>406</v>
      </c>
      <c r="J135" s="78" t="s">
        <v>526</v>
      </c>
      <c r="K135" s="80" t="s">
        <v>1097</v>
      </c>
      <c r="L135" s="7" t="str">
        <f>IF(BudgetsTable[[#This Row],[pi_last_name]]=" ","",HYPERLINK("https://www.ejacket.nsf.gov/ej/showProposal.do?Continue=Y&amp;ID="&amp;BudgetsTable[[#This Row],[prop_id]],BudgetsTable[[#This Row],[prop_id]]))</f>
        <v>1652695</v>
      </c>
      <c r="M135" s="15" t="str">
        <f>IF(BudgetsTable[[#This Row],[pi_last_name]]=" ","",HYPERLINK("https://www.ejacket.nsf.gov/ej/processReviewAnalysis.do?dispatch=add&amp;uniqId="&amp;BudgetsTable[[#This Row],[prop_id]]&amp;PO_id,"&gt;ra"))</f>
        <v>&gt;ra</v>
      </c>
      <c r="N135" s="80" t="s">
        <v>523</v>
      </c>
      <c r="O135" s="7" t="str">
        <f>IF(BudgetsTable[[#This Row],[pi_last_name]]=" ","",HYPERLINK("mailto:"&amp;BudgetsTable[[#This Row],[pi_email]]&amp;"&amp;subject=Your NSF Proposal:  "&amp;BudgetsTable[[#This Row],[prop_id]],BudgetsTable[[#This Row],[pi_email]]))</f>
        <v>evouga@cs.utexas.edu</v>
      </c>
      <c r="P135" s="80" t="s">
        <v>525</v>
      </c>
      <c r="Q135" s="80"/>
      <c r="R135" s="80"/>
      <c r="S135" s="81"/>
      <c r="T135" s="81"/>
      <c r="U135" s="81"/>
      <c r="V135" s="82"/>
      <c r="W135" s="80">
        <v>0</v>
      </c>
      <c r="X135" s="80"/>
      <c r="Y135" s="11" t="str">
        <f ca="1">IF(ISBLANK(BudgetsTable[[#This Row],[budg_seq_yr]]),"FY"&amp;fiscalyear,"FY"&amp;fiscalyear-1+BudgetsTable[[#This Row],[budg_seq_yr]])</f>
        <v>FY18</v>
      </c>
      <c r="Z135" s="81">
        <v>501317</v>
      </c>
      <c r="AA135" s="80" t="s">
        <v>222</v>
      </c>
      <c r="AB135" s="80" t="s">
        <v>405</v>
      </c>
      <c r="AC135" s="80" t="s">
        <v>419</v>
      </c>
    </row>
    <row r="136" spans="1:29" x14ac:dyDescent="0.4">
      <c r="A136" s="10" t="s">
        <v>1097</v>
      </c>
      <c r="B136" s="78" t="s">
        <v>96</v>
      </c>
      <c r="C136" s="78">
        <f>C135+(BudgetsTable[[#This Row],[lead]]&lt;&gt;K135)</f>
        <v>33</v>
      </c>
      <c r="D136" s="78">
        <f>D135*(BudgetsTable[[#This Row],[lead]]=K135)+(BudgetsTable[[#This Row],[prop_id]]&lt;&gt;A135)</f>
        <v>1</v>
      </c>
      <c r="E136" s="79">
        <v>42571.6875</v>
      </c>
      <c r="F136" s="80" t="s">
        <v>975</v>
      </c>
      <c r="G136" s="80" t="s">
        <v>222</v>
      </c>
      <c r="H136" s="80" t="s">
        <v>405</v>
      </c>
      <c r="I136" s="78" t="s">
        <v>406</v>
      </c>
      <c r="J136" s="78" t="s">
        <v>13</v>
      </c>
      <c r="K136" s="80" t="s">
        <v>1097</v>
      </c>
      <c r="L136" s="7" t="str">
        <f>IF(BudgetsTable[[#This Row],[pi_last_name]]=" ","",HYPERLINK("https://www.ejacket.nsf.gov/ej/showProposal.do?Continue=Y&amp;ID="&amp;BudgetsTable[[#This Row],[prop_id]],BudgetsTable[[#This Row],[prop_id]]))</f>
        <v/>
      </c>
      <c r="M136" s="15" t="str">
        <f>IF(BudgetsTable[[#This Row],[pi_last_name]]=" ","",HYPERLINK("https://www.ejacket.nsf.gov/ej/processReviewAnalysis.do?dispatch=add&amp;uniqId="&amp;BudgetsTable[[#This Row],[prop_id]]&amp;PO_id,"&gt;ra"))</f>
        <v/>
      </c>
      <c r="N136" s="80" t="s">
        <v>13</v>
      </c>
      <c r="O136" s="7" t="str">
        <f>IF(BudgetsTable[[#This Row],[pi_last_name]]=" ","",HYPERLINK("mailto:"&amp;BudgetsTable[[#This Row],[pi_email]]&amp;"&amp;subject=Your NSF Proposal:  "&amp;BudgetsTable[[#This Row],[prop_id]],BudgetsTable[[#This Row],[pi_email]]))</f>
        <v/>
      </c>
      <c r="P136" s="80" t="s">
        <v>13</v>
      </c>
      <c r="Q136" s="80">
        <v>1</v>
      </c>
      <c r="R136" s="80">
        <v>0.4</v>
      </c>
      <c r="S136" s="81">
        <v>0</v>
      </c>
      <c r="T136" s="81">
        <v>2000</v>
      </c>
      <c r="U136" s="81">
        <v>0</v>
      </c>
      <c r="V136" s="82">
        <v>129452</v>
      </c>
      <c r="W136" s="80">
        <v>0</v>
      </c>
      <c r="X136" s="80">
        <v>1</v>
      </c>
      <c r="Y136" s="11" t="str">
        <f ca="1">IF(ISBLANK(BudgetsTable[[#This Row],[budg_seq_yr]]),"FY"&amp;fiscalyear,"FY"&amp;fiscalyear-1+BudgetsTable[[#This Row],[budg_seq_yr]])</f>
        <v>FY18</v>
      </c>
      <c r="Z136" s="81">
        <v>129452</v>
      </c>
      <c r="AA136" s="80" t="s">
        <v>222</v>
      </c>
      <c r="AB136" s="80" t="s">
        <v>405</v>
      </c>
      <c r="AC136" s="80" t="s">
        <v>419</v>
      </c>
    </row>
    <row r="137" spans="1:29" x14ac:dyDescent="0.4">
      <c r="A137" s="10" t="s">
        <v>1097</v>
      </c>
      <c r="B137" s="78" t="s">
        <v>96</v>
      </c>
      <c r="C137" s="78">
        <f>C136+(BudgetsTable[[#This Row],[lead]]&lt;&gt;K136)</f>
        <v>33</v>
      </c>
      <c r="D137" s="78">
        <f>D136*(BudgetsTable[[#This Row],[lead]]=K136)+(BudgetsTable[[#This Row],[prop_id]]&lt;&gt;A136)</f>
        <v>1</v>
      </c>
      <c r="E137" s="79">
        <v>42571.6875</v>
      </c>
      <c r="F137" s="80" t="s">
        <v>975</v>
      </c>
      <c r="G137" s="80" t="s">
        <v>222</v>
      </c>
      <c r="H137" s="80" t="s">
        <v>405</v>
      </c>
      <c r="I137" s="78" t="s">
        <v>406</v>
      </c>
      <c r="J137" s="78" t="s">
        <v>13</v>
      </c>
      <c r="K137" s="80" t="s">
        <v>1097</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80" t="s">
        <v>13</v>
      </c>
      <c r="O137" s="7" t="str">
        <f>IF(BudgetsTable[[#This Row],[pi_last_name]]=" ","",HYPERLINK("mailto:"&amp;BudgetsTable[[#This Row],[pi_email]]&amp;"&amp;subject=Your NSF Proposal:  "&amp;BudgetsTable[[#This Row],[prop_id]],BudgetsTable[[#This Row],[pi_email]]))</f>
        <v/>
      </c>
      <c r="P137" s="80" t="s">
        <v>13</v>
      </c>
      <c r="Q137" s="80">
        <v>1</v>
      </c>
      <c r="R137" s="80">
        <v>0.4</v>
      </c>
      <c r="S137" s="81">
        <v>0</v>
      </c>
      <c r="T137" s="81">
        <v>2000</v>
      </c>
      <c r="U137" s="81">
        <v>0</v>
      </c>
      <c r="V137" s="82">
        <v>125053</v>
      </c>
      <c r="W137" s="80">
        <v>0</v>
      </c>
      <c r="X137" s="80">
        <v>2</v>
      </c>
      <c r="Y137" s="11" t="str">
        <f ca="1">IF(ISBLANK(BudgetsTable[[#This Row],[budg_seq_yr]]),"FY"&amp;fiscalyear,"FY"&amp;fiscalyear-1+BudgetsTable[[#This Row],[budg_seq_yr]])</f>
        <v>FY19</v>
      </c>
      <c r="Z137" s="81">
        <v>125053</v>
      </c>
      <c r="AA137" s="80" t="s">
        <v>222</v>
      </c>
      <c r="AB137" s="80" t="s">
        <v>405</v>
      </c>
      <c r="AC137" s="80" t="s">
        <v>419</v>
      </c>
    </row>
    <row r="138" spans="1:29" x14ac:dyDescent="0.4">
      <c r="A138" s="10" t="s">
        <v>1097</v>
      </c>
      <c r="B138" s="78" t="s">
        <v>96</v>
      </c>
      <c r="C138" s="78">
        <f>C137+(BudgetsTable[[#This Row],[lead]]&lt;&gt;K137)</f>
        <v>33</v>
      </c>
      <c r="D138" s="78">
        <f>D137*(BudgetsTable[[#This Row],[lead]]=K137)+(BudgetsTable[[#This Row],[prop_id]]&lt;&gt;A137)</f>
        <v>1</v>
      </c>
      <c r="E138" s="79">
        <v>42571.6875</v>
      </c>
      <c r="F138" s="80" t="s">
        <v>975</v>
      </c>
      <c r="G138" s="80" t="s">
        <v>222</v>
      </c>
      <c r="H138" s="80" t="s">
        <v>405</v>
      </c>
      <c r="I138" s="78" t="s">
        <v>406</v>
      </c>
      <c r="J138" s="78" t="s">
        <v>13</v>
      </c>
      <c r="K138" s="80" t="s">
        <v>1097</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80" t="s">
        <v>13</v>
      </c>
      <c r="O138" s="7" t="str">
        <f>IF(BudgetsTable[[#This Row],[pi_last_name]]=" ","",HYPERLINK("mailto:"&amp;BudgetsTable[[#This Row],[pi_email]]&amp;"&amp;subject=Your NSF Proposal:  "&amp;BudgetsTable[[#This Row],[prop_id]],BudgetsTable[[#This Row],[pi_email]]))</f>
        <v/>
      </c>
      <c r="P138" s="80" t="s">
        <v>13</v>
      </c>
      <c r="Q138" s="80">
        <v>1</v>
      </c>
      <c r="R138" s="80">
        <v>0.4</v>
      </c>
      <c r="S138" s="81">
        <v>0</v>
      </c>
      <c r="T138" s="81">
        <v>2000</v>
      </c>
      <c r="U138" s="81">
        <v>0</v>
      </c>
      <c r="V138" s="82">
        <v>112619</v>
      </c>
      <c r="W138" s="80">
        <v>0</v>
      </c>
      <c r="X138" s="80">
        <v>3</v>
      </c>
      <c r="Y138" s="11" t="str">
        <f ca="1">IF(ISBLANK(BudgetsTable[[#This Row],[budg_seq_yr]]),"FY"&amp;fiscalyear,"FY"&amp;fiscalyear-1+BudgetsTable[[#This Row],[budg_seq_yr]])</f>
        <v>FY20</v>
      </c>
      <c r="Z138" s="81">
        <v>112619</v>
      </c>
      <c r="AA138" s="80" t="s">
        <v>222</v>
      </c>
      <c r="AB138" s="80" t="s">
        <v>405</v>
      </c>
      <c r="AC138" s="80" t="s">
        <v>419</v>
      </c>
    </row>
    <row r="139" spans="1:29" x14ac:dyDescent="0.4">
      <c r="A139" s="10" t="s">
        <v>1097</v>
      </c>
      <c r="B139" s="78" t="s">
        <v>96</v>
      </c>
      <c r="C139" s="78">
        <f>C138+(BudgetsTable[[#This Row],[lead]]&lt;&gt;K138)</f>
        <v>33</v>
      </c>
      <c r="D139" s="78">
        <f>D138*(BudgetsTable[[#This Row],[lead]]=K138)+(BudgetsTable[[#This Row],[prop_id]]&lt;&gt;A138)</f>
        <v>1</v>
      </c>
      <c r="E139" s="79">
        <v>42571.6875</v>
      </c>
      <c r="F139" s="80" t="s">
        <v>975</v>
      </c>
      <c r="G139" s="80" t="s">
        <v>222</v>
      </c>
      <c r="H139" s="80" t="s">
        <v>405</v>
      </c>
      <c r="I139" s="78" t="s">
        <v>406</v>
      </c>
      <c r="J139" s="78" t="s">
        <v>13</v>
      </c>
      <c r="K139" s="80" t="s">
        <v>1097</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80" t="s">
        <v>13</v>
      </c>
      <c r="O139" s="7" t="str">
        <f>IF(BudgetsTable[[#This Row],[pi_last_name]]=" ","",HYPERLINK("mailto:"&amp;BudgetsTable[[#This Row],[pi_email]]&amp;"&amp;subject=Your NSF Proposal:  "&amp;BudgetsTable[[#This Row],[prop_id]],BudgetsTable[[#This Row],[pi_email]]))</f>
        <v/>
      </c>
      <c r="P139" s="80" t="s">
        <v>13</v>
      </c>
      <c r="Q139" s="80">
        <v>1</v>
      </c>
      <c r="R139" s="80">
        <v>0.4</v>
      </c>
      <c r="S139" s="81">
        <v>0</v>
      </c>
      <c r="T139" s="81">
        <v>2000</v>
      </c>
      <c r="U139" s="81">
        <v>0</v>
      </c>
      <c r="V139" s="82">
        <v>66935</v>
      </c>
      <c r="W139" s="80">
        <v>0</v>
      </c>
      <c r="X139" s="80">
        <v>4</v>
      </c>
      <c r="Y139" s="11" t="str">
        <f ca="1">IF(ISBLANK(BudgetsTable[[#This Row],[budg_seq_yr]]),"FY"&amp;fiscalyear,"FY"&amp;fiscalyear-1+BudgetsTable[[#This Row],[budg_seq_yr]])</f>
        <v>FY21</v>
      </c>
      <c r="Z139" s="81">
        <v>66935</v>
      </c>
      <c r="AA139" s="80" t="s">
        <v>222</v>
      </c>
      <c r="AB139" s="80" t="s">
        <v>405</v>
      </c>
      <c r="AC139" s="80" t="s">
        <v>419</v>
      </c>
    </row>
    <row r="140" spans="1:29" x14ac:dyDescent="0.4">
      <c r="A140" s="10" t="s">
        <v>1097</v>
      </c>
      <c r="B140" s="78" t="s">
        <v>96</v>
      </c>
      <c r="C140" s="78">
        <f>C139+(BudgetsTable[[#This Row],[lead]]&lt;&gt;K139)</f>
        <v>33</v>
      </c>
      <c r="D140" s="78">
        <f>D139*(BudgetsTable[[#This Row],[lead]]=K139)+(BudgetsTable[[#This Row],[prop_id]]&lt;&gt;A139)</f>
        <v>1</v>
      </c>
      <c r="E140" s="79">
        <v>42571.6875</v>
      </c>
      <c r="F140" s="80" t="s">
        <v>975</v>
      </c>
      <c r="G140" s="80" t="s">
        <v>222</v>
      </c>
      <c r="H140" s="80" t="s">
        <v>405</v>
      </c>
      <c r="I140" s="78" t="s">
        <v>406</v>
      </c>
      <c r="J140" s="78" t="s">
        <v>13</v>
      </c>
      <c r="K140" s="80" t="s">
        <v>1097</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80" t="s">
        <v>13</v>
      </c>
      <c r="O140" s="7" t="str">
        <f>IF(BudgetsTable[[#This Row],[pi_last_name]]=" ","",HYPERLINK("mailto:"&amp;BudgetsTable[[#This Row],[pi_email]]&amp;"&amp;subject=Your NSF Proposal:  "&amp;BudgetsTable[[#This Row],[prop_id]],BudgetsTable[[#This Row],[pi_email]]))</f>
        <v/>
      </c>
      <c r="P140" s="80" t="s">
        <v>13</v>
      </c>
      <c r="Q140" s="80">
        <v>1</v>
      </c>
      <c r="R140" s="80">
        <v>0.4</v>
      </c>
      <c r="S140" s="81">
        <v>0</v>
      </c>
      <c r="T140" s="81">
        <v>2000</v>
      </c>
      <c r="U140" s="81">
        <v>0</v>
      </c>
      <c r="V140" s="82">
        <v>67258</v>
      </c>
      <c r="W140" s="80">
        <v>0</v>
      </c>
      <c r="X140" s="80">
        <v>5</v>
      </c>
      <c r="Y140" s="11" t="str">
        <f ca="1">IF(ISBLANK(BudgetsTable[[#This Row],[budg_seq_yr]]),"FY"&amp;fiscalyear,"FY"&amp;fiscalyear-1+BudgetsTable[[#This Row],[budg_seq_yr]])</f>
        <v>FY22</v>
      </c>
      <c r="Z140" s="81">
        <v>67258</v>
      </c>
      <c r="AA140" s="80" t="s">
        <v>222</v>
      </c>
      <c r="AB140" s="80" t="s">
        <v>405</v>
      </c>
      <c r="AC140" s="80" t="s">
        <v>419</v>
      </c>
    </row>
    <row r="141" spans="1:29" x14ac:dyDescent="0.4">
      <c r="A141" s="10" t="s">
        <v>1100</v>
      </c>
      <c r="B141" s="78" t="s">
        <v>96</v>
      </c>
      <c r="C141" s="78">
        <f>C140+(BudgetsTable[[#This Row],[lead]]&lt;&gt;K140)</f>
        <v>34</v>
      </c>
      <c r="D141" s="78">
        <f>D140*(BudgetsTable[[#This Row],[lead]]=K140)+(BudgetsTable[[#This Row],[prop_id]]&lt;&gt;A140)</f>
        <v>1</v>
      </c>
      <c r="E141" s="79">
        <v>42571.726388888892</v>
      </c>
      <c r="F141" s="80" t="s">
        <v>975</v>
      </c>
      <c r="G141" s="80" t="s">
        <v>222</v>
      </c>
      <c r="H141" s="80" t="s">
        <v>405</v>
      </c>
      <c r="I141" s="78" t="s">
        <v>451</v>
      </c>
      <c r="J141" s="78" t="s">
        <v>1103</v>
      </c>
      <c r="K141" s="80" t="s">
        <v>1100</v>
      </c>
      <c r="L141" s="7" t="str">
        <f>IF(BudgetsTable[[#This Row],[pi_last_name]]=" ","",HYPERLINK("https://www.ejacket.nsf.gov/ej/showProposal.do?Continue=Y&amp;ID="&amp;BudgetsTable[[#This Row],[prop_id]],BudgetsTable[[#This Row],[prop_id]]))</f>
        <v>1652845</v>
      </c>
      <c r="M141" s="15" t="str">
        <f>IF(BudgetsTable[[#This Row],[pi_last_name]]=" ","",HYPERLINK("https://www.ejacket.nsf.gov/ej/processReviewAnalysis.do?dispatch=add&amp;uniqId="&amp;BudgetsTable[[#This Row],[prop_id]]&amp;PO_id,"&gt;ra"))</f>
        <v>&gt;ra</v>
      </c>
      <c r="N141" s="80" t="s">
        <v>1101</v>
      </c>
      <c r="O141" s="7" t="str">
        <f>IF(BudgetsTable[[#This Row],[pi_last_name]]=" ","",HYPERLINK("mailto:"&amp;BudgetsTable[[#This Row],[pi_email]]&amp;"&amp;subject=Your NSF Proposal:  "&amp;BudgetsTable[[#This Row],[prop_id]],BudgetsTable[[#This Row],[pi_email]]))</f>
        <v>ecprice@cs.utexas.edu</v>
      </c>
      <c r="P141" s="80" t="s">
        <v>525</v>
      </c>
      <c r="Q141" s="80"/>
      <c r="R141" s="80"/>
      <c r="S141" s="81"/>
      <c r="T141" s="81"/>
      <c r="U141" s="81"/>
      <c r="V141" s="82"/>
      <c r="W141" s="80">
        <v>0</v>
      </c>
      <c r="X141" s="80"/>
      <c r="Y141" s="11" t="str">
        <f ca="1">IF(ISBLANK(BudgetsTable[[#This Row],[budg_seq_yr]]),"FY"&amp;fiscalyear,"FY"&amp;fiscalyear-1+BudgetsTable[[#This Row],[budg_seq_yr]])</f>
        <v>FY18</v>
      </c>
      <c r="Z141" s="81">
        <v>499916</v>
      </c>
      <c r="AA141" s="80" t="s">
        <v>222</v>
      </c>
      <c r="AB141" s="80" t="s">
        <v>405</v>
      </c>
      <c r="AC141" s="80" t="s">
        <v>411</v>
      </c>
    </row>
    <row r="142" spans="1:29" x14ac:dyDescent="0.4">
      <c r="A142" s="10" t="s">
        <v>1100</v>
      </c>
      <c r="B142" s="78" t="s">
        <v>96</v>
      </c>
      <c r="C142" s="78">
        <f>C141+(BudgetsTable[[#This Row],[lead]]&lt;&gt;K141)</f>
        <v>34</v>
      </c>
      <c r="D142" s="78">
        <f>D141*(BudgetsTable[[#This Row],[lead]]=K141)+(BudgetsTable[[#This Row],[prop_id]]&lt;&gt;A141)</f>
        <v>1</v>
      </c>
      <c r="E142" s="79">
        <v>42571.726388888892</v>
      </c>
      <c r="F142" s="80" t="s">
        <v>975</v>
      </c>
      <c r="G142" s="80" t="s">
        <v>222</v>
      </c>
      <c r="H142" s="80" t="s">
        <v>405</v>
      </c>
      <c r="I142" s="78" t="s">
        <v>451</v>
      </c>
      <c r="J142" s="78" t="s">
        <v>13</v>
      </c>
      <c r="K142" s="80" t="s">
        <v>1100</v>
      </c>
      <c r="L142" s="7" t="str">
        <f>IF(BudgetsTable[[#This Row],[pi_last_name]]=" ","",HYPERLINK("https://www.ejacket.nsf.gov/ej/showProposal.do?Continue=Y&amp;ID="&amp;BudgetsTable[[#This Row],[prop_id]],BudgetsTable[[#This Row],[prop_id]]))</f>
        <v/>
      </c>
      <c r="M142" s="15" t="str">
        <f>IF(BudgetsTable[[#This Row],[pi_last_name]]=" ","",HYPERLINK("https://www.ejacket.nsf.gov/ej/processReviewAnalysis.do?dispatch=add&amp;uniqId="&amp;BudgetsTable[[#This Row],[prop_id]]&amp;PO_id,"&gt;ra"))</f>
        <v/>
      </c>
      <c r="N142" s="80" t="s">
        <v>13</v>
      </c>
      <c r="O142" s="7" t="str">
        <f>IF(BudgetsTable[[#This Row],[pi_last_name]]=" ","",HYPERLINK("mailto:"&amp;BudgetsTable[[#This Row],[pi_email]]&amp;"&amp;subject=Your NSF Proposal:  "&amp;BudgetsTable[[#This Row],[prop_id]],BudgetsTable[[#This Row],[pi_email]]))</f>
        <v/>
      </c>
      <c r="P142" s="80" t="s">
        <v>13</v>
      </c>
      <c r="Q142" s="80">
        <v>1</v>
      </c>
      <c r="R142" s="80">
        <v>1</v>
      </c>
      <c r="S142" s="81">
        <v>0</v>
      </c>
      <c r="T142" s="81">
        <v>1900</v>
      </c>
      <c r="U142" s="81">
        <v>0</v>
      </c>
      <c r="V142" s="82">
        <v>97829</v>
      </c>
      <c r="W142" s="80">
        <v>0</v>
      </c>
      <c r="X142" s="80">
        <v>1</v>
      </c>
      <c r="Y142" s="11" t="str">
        <f ca="1">IF(ISBLANK(BudgetsTable[[#This Row],[budg_seq_yr]]),"FY"&amp;fiscalyear,"FY"&amp;fiscalyear-1+BudgetsTable[[#This Row],[budg_seq_yr]])</f>
        <v>FY18</v>
      </c>
      <c r="Z142" s="81">
        <v>97829</v>
      </c>
      <c r="AA142" s="80" t="s">
        <v>222</v>
      </c>
      <c r="AB142" s="80" t="s">
        <v>405</v>
      </c>
      <c r="AC142" s="80" t="s">
        <v>411</v>
      </c>
    </row>
    <row r="143" spans="1:29" x14ac:dyDescent="0.4">
      <c r="A143" s="10" t="s">
        <v>1100</v>
      </c>
      <c r="B143" s="78" t="s">
        <v>96</v>
      </c>
      <c r="C143" s="78">
        <f>C142+(BudgetsTable[[#This Row],[lead]]&lt;&gt;K142)</f>
        <v>34</v>
      </c>
      <c r="D143" s="78">
        <f>D142*(BudgetsTable[[#This Row],[lead]]=K142)+(BudgetsTable[[#This Row],[prop_id]]&lt;&gt;A142)</f>
        <v>1</v>
      </c>
      <c r="E143" s="79">
        <v>42571.726388888892</v>
      </c>
      <c r="F143" s="80" t="s">
        <v>975</v>
      </c>
      <c r="G143" s="80" t="s">
        <v>222</v>
      </c>
      <c r="H143" s="80" t="s">
        <v>405</v>
      </c>
      <c r="I143" s="78" t="s">
        <v>451</v>
      </c>
      <c r="J143" s="78" t="s">
        <v>13</v>
      </c>
      <c r="K143" s="80" t="s">
        <v>1100</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80" t="s">
        <v>13</v>
      </c>
      <c r="O143" s="7" t="str">
        <f>IF(BudgetsTable[[#This Row],[pi_last_name]]=" ","",HYPERLINK("mailto:"&amp;BudgetsTable[[#This Row],[pi_email]]&amp;"&amp;subject=Your NSF Proposal:  "&amp;BudgetsTable[[#This Row],[prop_id]],BudgetsTable[[#This Row],[pi_email]]))</f>
        <v/>
      </c>
      <c r="P143" s="80" t="s">
        <v>13</v>
      </c>
      <c r="Q143" s="80">
        <v>1</v>
      </c>
      <c r="R143" s="80">
        <v>1</v>
      </c>
      <c r="S143" s="81">
        <v>0</v>
      </c>
      <c r="T143" s="81">
        <v>1900</v>
      </c>
      <c r="U143" s="81">
        <v>0</v>
      </c>
      <c r="V143" s="82">
        <v>96959</v>
      </c>
      <c r="W143" s="80">
        <v>0</v>
      </c>
      <c r="X143" s="80">
        <v>2</v>
      </c>
      <c r="Y143" s="11" t="str">
        <f ca="1">IF(ISBLANK(BudgetsTable[[#This Row],[budg_seq_yr]]),"FY"&amp;fiscalyear,"FY"&amp;fiscalyear-1+BudgetsTable[[#This Row],[budg_seq_yr]])</f>
        <v>FY19</v>
      </c>
      <c r="Z143" s="81">
        <v>96959</v>
      </c>
      <c r="AA143" s="80" t="s">
        <v>222</v>
      </c>
      <c r="AB143" s="80" t="s">
        <v>405</v>
      </c>
      <c r="AC143" s="80" t="s">
        <v>411</v>
      </c>
    </row>
    <row r="144" spans="1:29" x14ac:dyDescent="0.4">
      <c r="A144" s="10" t="s">
        <v>1100</v>
      </c>
      <c r="B144" s="78" t="s">
        <v>96</v>
      </c>
      <c r="C144" s="78">
        <f>C143+(BudgetsTable[[#This Row],[lead]]&lt;&gt;K143)</f>
        <v>34</v>
      </c>
      <c r="D144" s="78">
        <f>D143*(BudgetsTable[[#This Row],[lead]]=K143)+(BudgetsTable[[#This Row],[prop_id]]&lt;&gt;A143)</f>
        <v>1</v>
      </c>
      <c r="E144" s="79">
        <v>42571.726388888892</v>
      </c>
      <c r="F144" s="80" t="s">
        <v>975</v>
      </c>
      <c r="G144" s="80" t="s">
        <v>222</v>
      </c>
      <c r="H144" s="80" t="s">
        <v>405</v>
      </c>
      <c r="I144" s="78" t="s">
        <v>451</v>
      </c>
      <c r="J144" s="78" t="s">
        <v>13</v>
      </c>
      <c r="K144" s="80" t="s">
        <v>1100</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80" t="s">
        <v>13</v>
      </c>
      <c r="O144" s="7" t="str">
        <f>IF(BudgetsTable[[#This Row],[pi_last_name]]=" ","",HYPERLINK("mailto:"&amp;BudgetsTable[[#This Row],[pi_email]]&amp;"&amp;subject=Your NSF Proposal:  "&amp;BudgetsTable[[#This Row],[prop_id]],BudgetsTable[[#This Row],[pi_email]]))</f>
        <v/>
      </c>
      <c r="P144" s="80" t="s">
        <v>13</v>
      </c>
      <c r="Q144" s="80">
        <v>1</v>
      </c>
      <c r="R144" s="80">
        <v>1</v>
      </c>
      <c r="S144" s="81">
        <v>0</v>
      </c>
      <c r="T144" s="81">
        <v>1900</v>
      </c>
      <c r="U144" s="81">
        <v>0</v>
      </c>
      <c r="V144" s="82">
        <v>99287</v>
      </c>
      <c r="W144" s="80">
        <v>0</v>
      </c>
      <c r="X144" s="80">
        <v>3</v>
      </c>
      <c r="Y144" s="11" t="str">
        <f ca="1">IF(ISBLANK(BudgetsTable[[#This Row],[budg_seq_yr]]),"FY"&amp;fiscalyear,"FY"&amp;fiscalyear-1+BudgetsTable[[#This Row],[budg_seq_yr]])</f>
        <v>FY20</v>
      </c>
      <c r="Z144" s="81">
        <v>99287</v>
      </c>
      <c r="AA144" s="80" t="s">
        <v>222</v>
      </c>
      <c r="AB144" s="80" t="s">
        <v>405</v>
      </c>
      <c r="AC144" s="80" t="s">
        <v>411</v>
      </c>
    </row>
    <row r="145" spans="1:29" x14ac:dyDescent="0.4">
      <c r="A145" s="10" t="s">
        <v>1100</v>
      </c>
      <c r="B145" s="78" t="s">
        <v>96</v>
      </c>
      <c r="C145" s="78">
        <f>C144+(BudgetsTable[[#This Row],[lead]]&lt;&gt;K144)</f>
        <v>34</v>
      </c>
      <c r="D145" s="78">
        <f>D144*(BudgetsTable[[#This Row],[lead]]=K144)+(BudgetsTable[[#This Row],[prop_id]]&lt;&gt;A144)</f>
        <v>1</v>
      </c>
      <c r="E145" s="79">
        <v>42571.726388888892</v>
      </c>
      <c r="F145" s="80" t="s">
        <v>975</v>
      </c>
      <c r="G145" s="80" t="s">
        <v>222</v>
      </c>
      <c r="H145" s="80" t="s">
        <v>405</v>
      </c>
      <c r="I145" s="78" t="s">
        <v>451</v>
      </c>
      <c r="J145" s="78" t="s">
        <v>13</v>
      </c>
      <c r="K145" s="80" t="s">
        <v>1100</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80" t="s">
        <v>13</v>
      </c>
      <c r="O145" s="7" t="str">
        <f>IF(BudgetsTable[[#This Row],[pi_last_name]]=" ","",HYPERLINK("mailto:"&amp;BudgetsTable[[#This Row],[pi_email]]&amp;"&amp;subject=Your NSF Proposal:  "&amp;BudgetsTable[[#This Row],[prop_id]],BudgetsTable[[#This Row],[pi_email]]))</f>
        <v/>
      </c>
      <c r="P145" s="80" t="s">
        <v>13</v>
      </c>
      <c r="Q145" s="80">
        <v>1</v>
      </c>
      <c r="R145" s="80">
        <v>1</v>
      </c>
      <c r="S145" s="81">
        <v>0</v>
      </c>
      <c r="T145" s="81">
        <v>1900</v>
      </c>
      <c r="U145" s="81">
        <v>0</v>
      </c>
      <c r="V145" s="82">
        <v>101685</v>
      </c>
      <c r="W145" s="80">
        <v>0</v>
      </c>
      <c r="X145" s="80">
        <v>4</v>
      </c>
      <c r="Y145" s="11" t="str">
        <f ca="1">IF(ISBLANK(BudgetsTable[[#This Row],[budg_seq_yr]]),"FY"&amp;fiscalyear,"FY"&amp;fiscalyear-1+BudgetsTable[[#This Row],[budg_seq_yr]])</f>
        <v>FY21</v>
      </c>
      <c r="Z145" s="81">
        <v>101685</v>
      </c>
      <c r="AA145" s="80" t="s">
        <v>222</v>
      </c>
      <c r="AB145" s="80" t="s">
        <v>405</v>
      </c>
      <c r="AC145" s="80" t="s">
        <v>411</v>
      </c>
    </row>
    <row r="146" spans="1:29" x14ac:dyDescent="0.4">
      <c r="A146" s="10" t="s">
        <v>1100</v>
      </c>
      <c r="B146" s="78" t="s">
        <v>96</v>
      </c>
      <c r="C146" s="78">
        <f>C145+(BudgetsTable[[#This Row],[lead]]&lt;&gt;K145)</f>
        <v>34</v>
      </c>
      <c r="D146" s="78">
        <f>D145*(BudgetsTable[[#This Row],[lead]]=K145)+(BudgetsTable[[#This Row],[prop_id]]&lt;&gt;A145)</f>
        <v>1</v>
      </c>
      <c r="E146" s="79">
        <v>42571.726388888892</v>
      </c>
      <c r="F146" s="80" t="s">
        <v>975</v>
      </c>
      <c r="G146" s="80" t="s">
        <v>222</v>
      </c>
      <c r="H146" s="80" t="s">
        <v>405</v>
      </c>
      <c r="I146" s="78" t="s">
        <v>451</v>
      </c>
      <c r="J146" s="78" t="s">
        <v>13</v>
      </c>
      <c r="K146" s="80" t="s">
        <v>1100</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80" t="s">
        <v>13</v>
      </c>
      <c r="O146" s="7" t="str">
        <f>IF(BudgetsTable[[#This Row],[pi_last_name]]=" ","",HYPERLINK("mailto:"&amp;BudgetsTable[[#This Row],[pi_email]]&amp;"&amp;subject=Your NSF Proposal:  "&amp;BudgetsTable[[#This Row],[prop_id]],BudgetsTable[[#This Row],[pi_email]]))</f>
        <v/>
      </c>
      <c r="P146" s="80" t="s">
        <v>13</v>
      </c>
      <c r="Q146" s="80">
        <v>1</v>
      </c>
      <c r="R146" s="80">
        <v>1</v>
      </c>
      <c r="S146" s="81">
        <v>0</v>
      </c>
      <c r="T146" s="81">
        <v>1900</v>
      </c>
      <c r="U146" s="81">
        <v>0</v>
      </c>
      <c r="V146" s="82">
        <v>104156</v>
      </c>
      <c r="W146" s="80">
        <v>0</v>
      </c>
      <c r="X146" s="80">
        <v>5</v>
      </c>
      <c r="Y146" s="11" t="str">
        <f ca="1">IF(ISBLANK(BudgetsTable[[#This Row],[budg_seq_yr]]),"FY"&amp;fiscalyear,"FY"&amp;fiscalyear-1+BudgetsTable[[#This Row],[budg_seq_yr]])</f>
        <v>FY22</v>
      </c>
      <c r="Z146" s="81">
        <v>104156</v>
      </c>
      <c r="AA146" s="80" t="s">
        <v>222</v>
      </c>
      <c r="AB146" s="80" t="s">
        <v>405</v>
      </c>
      <c r="AC146" s="80" t="s">
        <v>411</v>
      </c>
    </row>
    <row r="147" spans="1:29" x14ac:dyDescent="0.4">
      <c r="A147" s="10" t="s">
        <v>1105</v>
      </c>
      <c r="B147" s="78" t="s">
        <v>96</v>
      </c>
      <c r="C147" s="78">
        <f>C146+(BudgetsTable[[#This Row],[lead]]&lt;&gt;K146)</f>
        <v>35</v>
      </c>
      <c r="D147" s="78">
        <f>D146*(BudgetsTable[[#This Row],[lead]]=K146)+(BudgetsTable[[#This Row],[prop_id]]&lt;&gt;A146)</f>
        <v>1</v>
      </c>
      <c r="E147" s="79">
        <v>42571.730555555558</v>
      </c>
      <c r="F147" s="80" t="s">
        <v>975</v>
      </c>
      <c r="G147" s="80" t="s">
        <v>222</v>
      </c>
      <c r="H147" s="80" t="s">
        <v>405</v>
      </c>
      <c r="I147" s="78" t="s">
        <v>406</v>
      </c>
      <c r="J147" s="78" t="s">
        <v>520</v>
      </c>
      <c r="K147" s="80" t="s">
        <v>1105</v>
      </c>
      <c r="L147" s="7" t="str">
        <f>IF(BudgetsTable[[#This Row],[pi_last_name]]=" ","",HYPERLINK("https://www.ejacket.nsf.gov/ej/showProposal.do?Continue=Y&amp;ID="&amp;BudgetsTable[[#This Row],[prop_id]],BudgetsTable[[#This Row],[prop_id]]))</f>
        <v>1652857</v>
      </c>
      <c r="M147" s="15" t="str">
        <f>IF(BudgetsTable[[#This Row],[pi_last_name]]=" ","",HYPERLINK("https://www.ejacket.nsf.gov/ej/processReviewAnalysis.do?dispatch=add&amp;uniqId="&amp;BudgetsTable[[#This Row],[prop_id]]&amp;PO_id,"&gt;ra"))</f>
        <v>&gt;ra</v>
      </c>
      <c r="N147" s="80" t="s">
        <v>517</v>
      </c>
      <c r="O147" s="7" t="str">
        <f>IF(BudgetsTable[[#This Row],[pi_last_name]]=" ","",HYPERLINK("mailto:"&amp;BudgetsTable[[#This Row],[pi_email]]&amp;"&amp;subject=Your NSF Proposal:  "&amp;BudgetsTable[[#This Row],[prop_id]],BudgetsTable[[#This Row],[pi_email]]))</f>
        <v>MATTHEW.GIBSON@UTSA.EDU</v>
      </c>
      <c r="P147" s="80" t="s">
        <v>519</v>
      </c>
      <c r="Q147" s="80"/>
      <c r="R147" s="80"/>
      <c r="S147" s="81"/>
      <c r="T147" s="81"/>
      <c r="U147" s="81"/>
      <c r="V147" s="82"/>
      <c r="W147" s="80">
        <v>0</v>
      </c>
      <c r="X147" s="80"/>
      <c r="Y147" s="11" t="str">
        <f ca="1">IF(ISBLANK(BudgetsTable[[#This Row],[budg_seq_yr]]),"FY"&amp;fiscalyear,"FY"&amp;fiscalyear-1+BudgetsTable[[#This Row],[budg_seq_yr]])</f>
        <v>FY18</v>
      </c>
      <c r="Z147" s="81">
        <v>672214</v>
      </c>
      <c r="AA147" s="80" t="s">
        <v>222</v>
      </c>
      <c r="AB147" s="80" t="s">
        <v>405</v>
      </c>
      <c r="AC147" s="80" t="s">
        <v>419</v>
      </c>
    </row>
    <row r="148" spans="1:29" x14ac:dyDescent="0.4">
      <c r="A148" s="10" t="s">
        <v>1105</v>
      </c>
      <c r="B148" s="78" t="s">
        <v>96</v>
      </c>
      <c r="C148" s="78">
        <f>C147+(BudgetsTable[[#This Row],[lead]]&lt;&gt;K147)</f>
        <v>35</v>
      </c>
      <c r="D148" s="78">
        <f>D147*(BudgetsTable[[#This Row],[lead]]=K147)+(BudgetsTable[[#This Row],[prop_id]]&lt;&gt;A147)</f>
        <v>1</v>
      </c>
      <c r="E148" s="79">
        <v>42571.730555555558</v>
      </c>
      <c r="F148" s="80" t="s">
        <v>975</v>
      </c>
      <c r="G148" s="80" t="s">
        <v>222</v>
      </c>
      <c r="H148" s="80" t="s">
        <v>405</v>
      </c>
      <c r="I148" s="78" t="s">
        <v>406</v>
      </c>
      <c r="J148" s="78" t="s">
        <v>13</v>
      </c>
      <c r="K148" s="80" t="s">
        <v>1105</v>
      </c>
      <c r="L148" s="7" t="str">
        <f>IF(BudgetsTable[[#This Row],[pi_last_name]]=" ","",HYPERLINK("https://www.ejacket.nsf.gov/ej/showProposal.do?Continue=Y&amp;ID="&amp;BudgetsTable[[#This Row],[prop_id]],BudgetsTable[[#This Row],[prop_id]]))</f>
        <v/>
      </c>
      <c r="M148" s="15" t="str">
        <f>IF(BudgetsTable[[#This Row],[pi_last_name]]=" ","",HYPERLINK("https://www.ejacket.nsf.gov/ej/processReviewAnalysis.do?dispatch=add&amp;uniqId="&amp;BudgetsTable[[#This Row],[prop_id]]&amp;PO_id,"&gt;ra"))</f>
        <v/>
      </c>
      <c r="N148" s="80" t="s">
        <v>13</v>
      </c>
      <c r="O148" s="7" t="str">
        <f>IF(BudgetsTable[[#This Row],[pi_last_name]]=" ","",HYPERLINK("mailto:"&amp;BudgetsTable[[#This Row],[pi_email]]&amp;"&amp;subject=Your NSF Proposal:  "&amp;BudgetsTable[[#This Row],[prop_id]],BudgetsTable[[#This Row],[pi_email]]))</f>
        <v/>
      </c>
      <c r="P148" s="80" t="s">
        <v>13</v>
      </c>
      <c r="Q148" s="80">
        <v>1</v>
      </c>
      <c r="R148" s="80">
        <v>1</v>
      </c>
      <c r="S148" s="81">
        <v>0</v>
      </c>
      <c r="T148" s="81">
        <v>2450</v>
      </c>
      <c r="U148" s="81">
        <v>16000</v>
      </c>
      <c r="V148" s="82">
        <v>141630</v>
      </c>
      <c r="W148" s="80">
        <v>0</v>
      </c>
      <c r="X148" s="80">
        <v>1</v>
      </c>
      <c r="Y148" s="11" t="str">
        <f ca="1">IF(ISBLANK(BudgetsTable[[#This Row],[budg_seq_yr]]),"FY"&amp;fiscalyear,"FY"&amp;fiscalyear-1+BudgetsTable[[#This Row],[budg_seq_yr]])</f>
        <v>FY18</v>
      </c>
      <c r="Z148" s="81">
        <v>141630</v>
      </c>
      <c r="AA148" s="80" t="s">
        <v>222</v>
      </c>
      <c r="AB148" s="80" t="s">
        <v>405</v>
      </c>
      <c r="AC148" s="80" t="s">
        <v>419</v>
      </c>
    </row>
    <row r="149" spans="1:29" x14ac:dyDescent="0.4">
      <c r="A149" s="10" t="s">
        <v>1105</v>
      </c>
      <c r="B149" s="78" t="s">
        <v>96</v>
      </c>
      <c r="C149" s="78">
        <f>C148+(BudgetsTable[[#This Row],[lead]]&lt;&gt;K148)</f>
        <v>35</v>
      </c>
      <c r="D149" s="78">
        <f>D148*(BudgetsTable[[#This Row],[lead]]=K148)+(BudgetsTable[[#This Row],[prop_id]]&lt;&gt;A148)</f>
        <v>1</v>
      </c>
      <c r="E149" s="79">
        <v>42571.730555555558</v>
      </c>
      <c r="F149" s="80" t="s">
        <v>975</v>
      </c>
      <c r="G149" s="80" t="s">
        <v>222</v>
      </c>
      <c r="H149" s="80" t="s">
        <v>405</v>
      </c>
      <c r="I149" s="78" t="s">
        <v>406</v>
      </c>
      <c r="J149" s="78" t="s">
        <v>13</v>
      </c>
      <c r="K149" s="80" t="s">
        <v>1105</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80" t="s">
        <v>13</v>
      </c>
      <c r="O149" s="7" t="str">
        <f>IF(BudgetsTable[[#This Row],[pi_last_name]]=" ","",HYPERLINK("mailto:"&amp;BudgetsTable[[#This Row],[pi_email]]&amp;"&amp;subject=Your NSF Proposal:  "&amp;BudgetsTable[[#This Row],[prop_id]],BudgetsTable[[#This Row],[pi_email]]))</f>
        <v/>
      </c>
      <c r="P149" s="80" t="s">
        <v>13</v>
      </c>
      <c r="Q149" s="80">
        <v>1</v>
      </c>
      <c r="R149" s="80">
        <v>1</v>
      </c>
      <c r="S149" s="81">
        <v>0</v>
      </c>
      <c r="T149" s="81">
        <v>2450</v>
      </c>
      <c r="U149" s="81">
        <v>0</v>
      </c>
      <c r="V149" s="82">
        <v>128353</v>
      </c>
      <c r="W149" s="80">
        <v>0</v>
      </c>
      <c r="X149" s="80">
        <v>2</v>
      </c>
      <c r="Y149" s="11" t="str">
        <f ca="1">IF(ISBLANK(BudgetsTable[[#This Row],[budg_seq_yr]]),"FY"&amp;fiscalyear,"FY"&amp;fiscalyear-1+BudgetsTable[[#This Row],[budg_seq_yr]])</f>
        <v>FY19</v>
      </c>
      <c r="Z149" s="81">
        <v>128353</v>
      </c>
      <c r="AA149" s="80" t="s">
        <v>222</v>
      </c>
      <c r="AB149" s="80" t="s">
        <v>405</v>
      </c>
      <c r="AC149" s="80" t="s">
        <v>419</v>
      </c>
    </row>
    <row r="150" spans="1:29" x14ac:dyDescent="0.4">
      <c r="A150" s="10" t="s">
        <v>1105</v>
      </c>
      <c r="B150" s="78" t="s">
        <v>96</v>
      </c>
      <c r="C150" s="78">
        <f>C149+(BudgetsTable[[#This Row],[lead]]&lt;&gt;K149)</f>
        <v>35</v>
      </c>
      <c r="D150" s="78">
        <f>D149*(BudgetsTable[[#This Row],[lead]]=K149)+(BudgetsTable[[#This Row],[prop_id]]&lt;&gt;A149)</f>
        <v>1</v>
      </c>
      <c r="E150" s="79">
        <v>42571.730555555558</v>
      </c>
      <c r="F150" s="80" t="s">
        <v>975</v>
      </c>
      <c r="G150" s="80" t="s">
        <v>222</v>
      </c>
      <c r="H150" s="80" t="s">
        <v>405</v>
      </c>
      <c r="I150" s="78" t="s">
        <v>406</v>
      </c>
      <c r="J150" s="78" t="s">
        <v>13</v>
      </c>
      <c r="K150" s="80" t="s">
        <v>1105</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80" t="s">
        <v>13</v>
      </c>
      <c r="O150" s="7" t="str">
        <f>IF(BudgetsTable[[#This Row],[pi_last_name]]=" ","",HYPERLINK("mailto:"&amp;BudgetsTable[[#This Row],[pi_email]]&amp;"&amp;subject=Your NSF Proposal:  "&amp;BudgetsTable[[#This Row],[prop_id]],BudgetsTable[[#This Row],[pi_email]]))</f>
        <v/>
      </c>
      <c r="P150" s="80" t="s">
        <v>13</v>
      </c>
      <c r="Q150" s="80">
        <v>1</v>
      </c>
      <c r="R150" s="80">
        <v>1</v>
      </c>
      <c r="S150" s="81">
        <v>0</v>
      </c>
      <c r="T150" s="81">
        <v>2450</v>
      </c>
      <c r="U150" s="81">
        <v>0</v>
      </c>
      <c r="V150" s="82">
        <v>131159</v>
      </c>
      <c r="W150" s="80">
        <v>0</v>
      </c>
      <c r="X150" s="80">
        <v>3</v>
      </c>
      <c r="Y150" s="11" t="str">
        <f ca="1">IF(ISBLANK(BudgetsTable[[#This Row],[budg_seq_yr]]),"FY"&amp;fiscalyear,"FY"&amp;fiscalyear-1+BudgetsTable[[#This Row],[budg_seq_yr]])</f>
        <v>FY20</v>
      </c>
      <c r="Z150" s="81">
        <v>131159</v>
      </c>
      <c r="AA150" s="80" t="s">
        <v>222</v>
      </c>
      <c r="AB150" s="80" t="s">
        <v>405</v>
      </c>
      <c r="AC150" s="80" t="s">
        <v>419</v>
      </c>
    </row>
    <row r="151" spans="1:29" x14ac:dyDescent="0.4">
      <c r="A151" s="10" t="s">
        <v>1105</v>
      </c>
      <c r="B151" s="78" t="s">
        <v>96</v>
      </c>
      <c r="C151" s="78">
        <f>C150+(BudgetsTable[[#This Row],[lead]]&lt;&gt;K150)</f>
        <v>35</v>
      </c>
      <c r="D151" s="78">
        <f>D150*(BudgetsTable[[#This Row],[lead]]=K150)+(BudgetsTable[[#This Row],[prop_id]]&lt;&gt;A150)</f>
        <v>1</v>
      </c>
      <c r="E151" s="79">
        <v>42571.730555555558</v>
      </c>
      <c r="F151" s="80" t="s">
        <v>975</v>
      </c>
      <c r="G151" s="80" t="s">
        <v>222</v>
      </c>
      <c r="H151" s="80" t="s">
        <v>405</v>
      </c>
      <c r="I151" s="78" t="s">
        <v>406</v>
      </c>
      <c r="J151" s="78" t="s">
        <v>13</v>
      </c>
      <c r="K151" s="80" t="s">
        <v>1105</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80" t="s">
        <v>13</v>
      </c>
      <c r="O151" s="7" t="str">
        <f>IF(BudgetsTable[[#This Row],[pi_last_name]]=" ","",HYPERLINK("mailto:"&amp;BudgetsTable[[#This Row],[pi_email]]&amp;"&amp;subject=Your NSF Proposal:  "&amp;BudgetsTable[[#This Row],[prop_id]],BudgetsTable[[#This Row],[pi_email]]))</f>
        <v/>
      </c>
      <c r="P151" s="80" t="s">
        <v>13</v>
      </c>
      <c r="Q151" s="80">
        <v>1</v>
      </c>
      <c r="R151" s="80">
        <v>1</v>
      </c>
      <c r="S151" s="81">
        <v>0</v>
      </c>
      <c r="T151" s="81">
        <v>2450</v>
      </c>
      <c r="U151" s="81">
        <v>0</v>
      </c>
      <c r="V151" s="82">
        <v>134049</v>
      </c>
      <c r="W151" s="80">
        <v>0</v>
      </c>
      <c r="X151" s="80">
        <v>4</v>
      </c>
      <c r="Y151" s="11" t="str">
        <f ca="1">IF(ISBLANK(BudgetsTable[[#This Row],[budg_seq_yr]]),"FY"&amp;fiscalyear,"FY"&amp;fiscalyear-1+BudgetsTable[[#This Row],[budg_seq_yr]])</f>
        <v>FY21</v>
      </c>
      <c r="Z151" s="81">
        <v>134049</v>
      </c>
      <c r="AA151" s="80" t="s">
        <v>222</v>
      </c>
      <c r="AB151" s="80" t="s">
        <v>405</v>
      </c>
      <c r="AC151" s="80" t="s">
        <v>419</v>
      </c>
    </row>
    <row r="152" spans="1:29" x14ac:dyDescent="0.4">
      <c r="A152" s="10" t="s">
        <v>1105</v>
      </c>
      <c r="B152" s="78" t="s">
        <v>96</v>
      </c>
      <c r="C152" s="78">
        <f>C151+(BudgetsTable[[#This Row],[lead]]&lt;&gt;K151)</f>
        <v>35</v>
      </c>
      <c r="D152" s="78">
        <f>D151*(BudgetsTable[[#This Row],[lead]]=K151)+(BudgetsTable[[#This Row],[prop_id]]&lt;&gt;A151)</f>
        <v>1</v>
      </c>
      <c r="E152" s="79">
        <v>42571.730555555558</v>
      </c>
      <c r="F152" s="80" t="s">
        <v>975</v>
      </c>
      <c r="G152" s="80" t="s">
        <v>222</v>
      </c>
      <c r="H152" s="80" t="s">
        <v>405</v>
      </c>
      <c r="I152" s="78" t="s">
        <v>406</v>
      </c>
      <c r="J152" s="78" t="s">
        <v>13</v>
      </c>
      <c r="K152" s="80" t="s">
        <v>1105</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80" t="s">
        <v>13</v>
      </c>
      <c r="O152" s="7" t="str">
        <f>IF(BudgetsTable[[#This Row],[pi_last_name]]=" ","",HYPERLINK("mailto:"&amp;BudgetsTable[[#This Row],[pi_email]]&amp;"&amp;subject=Your NSF Proposal:  "&amp;BudgetsTable[[#This Row],[prop_id]],BudgetsTable[[#This Row],[pi_email]]))</f>
        <v/>
      </c>
      <c r="P152" s="80" t="s">
        <v>13</v>
      </c>
      <c r="Q152" s="80">
        <v>1</v>
      </c>
      <c r="R152" s="80">
        <v>1</v>
      </c>
      <c r="S152" s="81">
        <v>0</v>
      </c>
      <c r="T152" s="81">
        <v>2450</v>
      </c>
      <c r="U152" s="81">
        <v>0</v>
      </c>
      <c r="V152" s="82">
        <v>137023</v>
      </c>
      <c r="W152" s="80">
        <v>0</v>
      </c>
      <c r="X152" s="80">
        <v>5</v>
      </c>
      <c r="Y152" s="11" t="str">
        <f ca="1">IF(ISBLANK(BudgetsTable[[#This Row],[budg_seq_yr]]),"FY"&amp;fiscalyear,"FY"&amp;fiscalyear-1+BudgetsTable[[#This Row],[budg_seq_yr]])</f>
        <v>FY22</v>
      </c>
      <c r="Z152" s="81">
        <v>137023</v>
      </c>
      <c r="AA152" s="80" t="s">
        <v>222</v>
      </c>
      <c r="AB152" s="80" t="s">
        <v>405</v>
      </c>
      <c r="AC152" s="80" t="s">
        <v>419</v>
      </c>
    </row>
    <row r="153" spans="1:29" x14ac:dyDescent="0.4">
      <c r="A153" s="10" t="s">
        <v>1108</v>
      </c>
      <c r="B153" s="78" t="s">
        <v>96</v>
      </c>
      <c r="C153" s="78">
        <f>C152+(BudgetsTable[[#This Row],[lead]]&lt;&gt;K152)</f>
        <v>36</v>
      </c>
      <c r="D153" s="78">
        <f>D152*(BudgetsTable[[#This Row],[lead]]=K152)+(BudgetsTable[[#This Row],[prop_id]]&lt;&gt;A152)</f>
        <v>1</v>
      </c>
      <c r="E153" s="79">
        <v>42571.734027777777</v>
      </c>
      <c r="F153" s="80" t="s">
        <v>975</v>
      </c>
      <c r="G153" s="80" t="s">
        <v>222</v>
      </c>
      <c r="H153" s="80" t="s">
        <v>405</v>
      </c>
      <c r="I153" s="78" t="s">
        <v>451</v>
      </c>
      <c r="J153" s="78" t="s">
        <v>1112</v>
      </c>
      <c r="K153" s="80" t="s">
        <v>1108</v>
      </c>
      <c r="L153" s="7" t="str">
        <f>IF(BudgetsTable[[#This Row],[pi_last_name]]=" ","",HYPERLINK("https://www.ejacket.nsf.gov/ej/showProposal.do?Continue=Y&amp;ID="&amp;BudgetsTable[[#This Row],[prop_id]],BudgetsTable[[#This Row],[prop_id]]))</f>
        <v>1652862</v>
      </c>
      <c r="M153" s="15" t="str">
        <f>IF(BudgetsTable[[#This Row],[pi_last_name]]=" ","",HYPERLINK("https://www.ejacket.nsf.gov/ej/processReviewAnalysis.do?dispatch=add&amp;uniqId="&amp;BudgetsTable[[#This Row],[prop_id]]&amp;PO_id,"&gt;ra"))</f>
        <v>&gt;ra</v>
      </c>
      <c r="N153" s="80" t="s">
        <v>1109</v>
      </c>
      <c r="O153" s="7" t="str">
        <f>IF(BudgetsTable[[#This Row],[pi_last_name]]=" ","",HYPERLINK("mailto:"&amp;BudgetsTable[[#This Row],[pi_email]]&amp;"&amp;subject=Your NSF Proposal:  "&amp;BudgetsTable[[#This Row],[prop_id]],BudgetsTable[[#This Row],[pi_email]]))</f>
        <v>diakonik@usc.edu</v>
      </c>
      <c r="P153" s="80" t="s">
        <v>1111</v>
      </c>
      <c r="Q153" s="80"/>
      <c r="R153" s="80"/>
      <c r="S153" s="81"/>
      <c r="T153" s="81"/>
      <c r="U153" s="81"/>
      <c r="V153" s="82"/>
      <c r="W153" s="80">
        <v>1</v>
      </c>
      <c r="X153" s="80"/>
      <c r="Y153" s="11" t="str">
        <f ca="1">IF(ISBLANK(BudgetsTable[[#This Row],[budg_seq_yr]]),"FY"&amp;fiscalyear,"FY"&amp;fiscalyear-1+BudgetsTable[[#This Row],[budg_seq_yr]])</f>
        <v>FY18</v>
      </c>
      <c r="Z153" s="81">
        <v>540000</v>
      </c>
      <c r="AA153" s="80" t="s">
        <v>222</v>
      </c>
      <c r="AB153" s="80" t="s">
        <v>405</v>
      </c>
      <c r="AC153" s="80" t="s">
        <v>411</v>
      </c>
    </row>
    <row r="154" spans="1:29" x14ac:dyDescent="0.4">
      <c r="A154" s="10" t="s">
        <v>1108</v>
      </c>
      <c r="B154" s="78" t="s">
        <v>96</v>
      </c>
      <c r="C154" s="78">
        <f>C153+(BudgetsTable[[#This Row],[lead]]&lt;&gt;K153)</f>
        <v>36</v>
      </c>
      <c r="D154" s="78">
        <f>D153*(BudgetsTable[[#This Row],[lead]]=K153)+(BudgetsTable[[#This Row],[prop_id]]&lt;&gt;A153)</f>
        <v>1</v>
      </c>
      <c r="E154" s="79">
        <v>42571.734027777777</v>
      </c>
      <c r="F154" s="80" t="s">
        <v>975</v>
      </c>
      <c r="G154" s="80" t="s">
        <v>222</v>
      </c>
      <c r="H154" s="80" t="s">
        <v>405</v>
      </c>
      <c r="I154" s="78" t="s">
        <v>451</v>
      </c>
      <c r="J154" s="78" t="s">
        <v>13</v>
      </c>
      <c r="K154" s="80" t="s">
        <v>1108</v>
      </c>
      <c r="L154" s="7" t="str">
        <f>IF(BudgetsTable[[#This Row],[pi_last_name]]=" ","",HYPERLINK("https://www.ejacket.nsf.gov/ej/showProposal.do?Continue=Y&amp;ID="&amp;BudgetsTable[[#This Row],[prop_id]],BudgetsTable[[#This Row],[prop_id]]))</f>
        <v/>
      </c>
      <c r="M154" s="15" t="str">
        <f>IF(BudgetsTable[[#This Row],[pi_last_name]]=" ","",HYPERLINK("https://www.ejacket.nsf.gov/ej/processReviewAnalysis.do?dispatch=add&amp;uniqId="&amp;BudgetsTable[[#This Row],[prop_id]]&amp;PO_id,"&gt;ra"))</f>
        <v/>
      </c>
      <c r="N154" s="80" t="s">
        <v>13</v>
      </c>
      <c r="O154" s="7" t="str">
        <f>IF(BudgetsTable[[#This Row],[pi_last_name]]=" ","",HYPERLINK("mailto:"&amp;BudgetsTable[[#This Row],[pi_email]]&amp;"&amp;subject=Your NSF Proposal:  "&amp;BudgetsTable[[#This Row],[prop_id]],BudgetsTable[[#This Row],[pi_email]]))</f>
        <v/>
      </c>
      <c r="P154" s="80" t="s">
        <v>13</v>
      </c>
      <c r="Q154" s="80">
        <v>1</v>
      </c>
      <c r="R154" s="80">
        <v>1</v>
      </c>
      <c r="S154" s="81">
        <v>0</v>
      </c>
      <c r="T154" s="81">
        <v>4500</v>
      </c>
      <c r="U154" s="81">
        <v>3000</v>
      </c>
      <c r="V154" s="82">
        <v>101698</v>
      </c>
      <c r="W154" s="80">
        <v>1</v>
      </c>
      <c r="X154" s="80">
        <v>1</v>
      </c>
      <c r="Y154" s="11" t="str">
        <f ca="1">IF(ISBLANK(BudgetsTable[[#This Row],[budg_seq_yr]]),"FY"&amp;fiscalyear,"FY"&amp;fiscalyear-1+BudgetsTable[[#This Row],[budg_seq_yr]])</f>
        <v>FY18</v>
      </c>
      <c r="Z154" s="81">
        <v>101698</v>
      </c>
      <c r="AA154" s="80" t="s">
        <v>222</v>
      </c>
      <c r="AB154" s="80" t="s">
        <v>405</v>
      </c>
      <c r="AC154" s="80" t="s">
        <v>411</v>
      </c>
    </row>
    <row r="155" spans="1:29" x14ac:dyDescent="0.4">
      <c r="A155" s="10" t="s">
        <v>1108</v>
      </c>
      <c r="B155" s="78" t="s">
        <v>96</v>
      </c>
      <c r="C155" s="78">
        <f>C154+(BudgetsTable[[#This Row],[lead]]&lt;&gt;K154)</f>
        <v>36</v>
      </c>
      <c r="D155" s="78">
        <f>D154*(BudgetsTable[[#This Row],[lead]]=K154)+(BudgetsTable[[#This Row],[prop_id]]&lt;&gt;A154)</f>
        <v>1</v>
      </c>
      <c r="E155" s="79">
        <v>42571.734027777777</v>
      </c>
      <c r="F155" s="80" t="s">
        <v>975</v>
      </c>
      <c r="G155" s="80" t="s">
        <v>222</v>
      </c>
      <c r="H155" s="80" t="s">
        <v>405</v>
      </c>
      <c r="I155" s="78" t="s">
        <v>451</v>
      </c>
      <c r="J155" s="78" t="s">
        <v>13</v>
      </c>
      <c r="K155" s="80" t="s">
        <v>1108</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80" t="s">
        <v>13</v>
      </c>
      <c r="O155" s="7" t="str">
        <f>IF(BudgetsTable[[#This Row],[pi_last_name]]=" ","",HYPERLINK("mailto:"&amp;BudgetsTable[[#This Row],[pi_email]]&amp;"&amp;subject=Your NSF Proposal:  "&amp;BudgetsTable[[#This Row],[prop_id]],BudgetsTable[[#This Row],[pi_email]]))</f>
        <v/>
      </c>
      <c r="P155" s="80" t="s">
        <v>13</v>
      </c>
      <c r="Q155" s="80">
        <v>1</v>
      </c>
      <c r="R155" s="80">
        <v>1</v>
      </c>
      <c r="S155" s="81">
        <v>0</v>
      </c>
      <c r="T155" s="81">
        <v>4500</v>
      </c>
      <c r="U155" s="81">
        <v>3000</v>
      </c>
      <c r="V155" s="82">
        <v>105052</v>
      </c>
      <c r="W155" s="80">
        <v>1</v>
      </c>
      <c r="X155" s="80">
        <v>2</v>
      </c>
      <c r="Y155" s="11" t="str">
        <f ca="1">IF(ISBLANK(BudgetsTable[[#This Row],[budg_seq_yr]]),"FY"&amp;fiscalyear,"FY"&amp;fiscalyear-1+BudgetsTable[[#This Row],[budg_seq_yr]])</f>
        <v>FY19</v>
      </c>
      <c r="Z155" s="81">
        <v>105052</v>
      </c>
      <c r="AA155" s="80" t="s">
        <v>222</v>
      </c>
      <c r="AB155" s="80" t="s">
        <v>405</v>
      </c>
      <c r="AC155" s="80" t="s">
        <v>411</v>
      </c>
    </row>
    <row r="156" spans="1:29" x14ac:dyDescent="0.4">
      <c r="A156" s="10" t="s">
        <v>1108</v>
      </c>
      <c r="B156" s="78" t="s">
        <v>96</v>
      </c>
      <c r="C156" s="78">
        <f>C155+(BudgetsTable[[#This Row],[lead]]&lt;&gt;K155)</f>
        <v>36</v>
      </c>
      <c r="D156" s="78">
        <f>D155*(BudgetsTable[[#This Row],[lead]]=K155)+(BudgetsTable[[#This Row],[prop_id]]&lt;&gt;A155)</f>
        <v>1</v>
      </c>
      <c r="E156" s="79">
        <v>42571.734027777777</v>
      </c>
      <c r="F156" s="80" t="s">
        <v>975</v>
      </c>
      <c r="G156" s="80" t="s">
        <v>222</v>
      </c>
      <c r="H156" s="80" t="s">
        <v>405</v>
      </c>
      <c r="I156" s="78" t="s">
        <v>451</v>
      </c>
      <c r="J156" s="78" t="s">
        <v>13</v>
      </c>
      <c r="K156" s="80" t="s">
        <v>1108</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80" t="s">
        <v>13</v>
      </c>
      <c r="O156" s="7" t="str">
        <f>IF(BudgetsTable[[#This Row],[pi_last_name]]=" ","",HYPERLINK("mailto:"&amp;BudgetsTable[[#This Row],[pi_email]]&amp;"&amp;subject=Your NSF Proposal:  "&amp;BudgetsTable[[#This Row],[prop_id]],BudgetsTable[[#This Row],[pi_email]]))</f>
        <v/>
      </c>
      <c r="P156" s="80" t="s">
        <v>13</v>
      </c>
      <c r="Q156" s="80">
        <v>1</v>
      </c>
      <c r="R156" s="80">
        <v>1</v>
      </c>
      <c r="S156" s="81">
        <v>0</v>
      </c>
      <c r="T156" s="81">
        <v>4500</v>
      </c>
      <c r="U156" s="81">
        <v>3000</v>
      </c>
      <c r="V156" s="82">
        <v>108540</v>
      </c>
      <c r="W156" s="80">
        <v>1</v>
      </c>
      <c r="X156" s="80">
        <v>3</v>
      </c>
      <c r="Y156" s="11" t="str">
        <f ca="1">IF(ISBLANK(BudgetsTable[[#This Row],[budg_seq_yr]]),"FY"&amp;fiscalyear,"FY"&amp;fiscalyear-1+BudgetsTable[[#This Row],[budg_seq_yr]])</f>
        <v>FY20</v>
      </c>
      <c r="Z156" s="81">
        <v>108540</v>
      </c>
      <c r="AA156" s="80" t="s">
        <v>222</v>
      </c>
      <c r="AB156" s="80" t="s">
        <v>405</v>
      </c>
      <c r="AC156" s="80" t="s">
        <v>411</v>
      </c>
    </row>
    <row r="157" spans="1:29" x14ac:dyDescent="0.4">
      <c r="A157" s="10" t="s">
        <v>1108</v>
      </c>
      <c r="B157" s="78" t="s">
        <v>96</v>
      </c>
      <c r="C157" s="78">
        <f>C156+(BudgetsTable[[#This Row],[lead]]&lt;&gt;K156)</f>
        <v>36</v>
      </c>
      <c r="D157" s="78">
        <f>D156*(BudgetsTable[[#This Row],[lead]]=K156)+(BudgetsTable[[#This Row],[prop_id]]&lt;&gt;A156)</f>
        <v>1</v>
      </c>
      <c r="E157" s="79">
        <v>42571.734027777777</v>
      </c>
      <c r="F157" s="80" t="s">
        <v>975</v>
      </c>
      <c r="G157" s="80" t="s">
        <v>222</v>
      </c>
      <c r="H157" s="80" t="s">
        <v>405</v>
      </c>
      <c r="I157" s="78" t="s">
        <v>451</v>
      </c>
      <c r="J157" s="78" t="s">
        <v>13</v>
      </c>
      <c r="K157" s="80" t="s">
        <v>1108</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80" t="s">
        <v>13</v>
      </c>
      <c r="O157" s="7" t="str">
        <f>IF(BudgetsTable[[#This Row],[pi_last_name]]=" ","",HYPERLINK("mailto:"&amp;BudgetsTable[[#This Row],[pi_email]]&amp;"&amp;subject=Your NSF Proposal:  "&amp;BudgetsTable[[#This Row],[prop_id]],BudgetsTable[[#This Row],[pi_email]]))</f>
        <v/>
      </c>
      <c r="P157" s="80" t="s">
        <v>13</v>
      </c>
      <c r="Q157" s="80">
        <v>1</v>
      </c>
      <c r="R157" s="80">
        <v>1</v>
      </c>
      <c r="S157" s="81">
        <v>0</v>
      </c>
      <c r="T157" s="81">
        <v>4000</v>
      </c>
      <c r="U157" s="81">
        <v>3000</v>
      </c>
      <c r="V157" s="82">
        <v>110517</v>
      </c>
      <c r="W157" s="80">
        <v>1</v>
      </c>
      <c r="X157" s="80">
        <v>4</v>
      </c>
      <c r="Y157" s="11" t="str">
        <f ca="1">IF(ISBLANK(BudgetsTable[[#This Row],[budg_seq_yr]]),"FY"&amp;fiscalyear,"FY"&amp;fiscalyear-1+BudgetsTable[[#This Row],[budg_seq_yr]])</f>
        <v>FY21</v>
      </c>
      <c r="Z157" s="81">
        <v>110517</v>
      </c>
      <c r="AA157" s="80" t="s">
        <v>222</v>
      </c>
      <c r="AB157" s="80" t="s">
        <v>405</v>
      </c>
      <c r="AC157" s="80" t="s">
        <v>411</v>
      </c>
    </row>
    <row r="158" spans="1:29" x14ac:dyDescent="0.4">
      <c r="A158" s="10" t="s">
        <v>1108</v>
      </c>
      <c r="B158" s="78" t="s">
        <v>96</v>
      </c>
      <c r="C158" s="78">
        <f>C157+(BudgetsTable[[#This Row],[lead]]&lt;&gt;K157)</f>
        <v>36</v>
      </c>
      <c r="D158" s="78">
        <f>D157*(BudgetsTable[[#This Row],[lead]]=K157)+(BudgetsTable[[#This Row],[prop_id]]&lt;&gt;A157)</f>
        <v>1</v>
      </c>
      <c r="E158" s="79">
        <v>42571.734027777777</v>
      </c>
      <c r="F158" s="80" t="s">
        <v>975</v>
      </c>
      <c r="G158" s="80" t="s">
        <v>222</v>
      </c>
      <c r="H158" s="80" t="s">
        <v>405</v>
      </c>
      <c r="I158" s="78" t="s">
        <v>451</v>
      </c>
      <c r="J158" s="78" t="s">
        <v>13</v>
      </c>
      <c r="K158" s="80" t="s">
        <v>1108</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80" t="s">
        <v>13</v>
      </c>
      <c r="O158" s="7" t="str">
        <f>IF(BudgetsTable[[#This Row],[pi_last_name]]=" ","",HYPERLINK("mailto:"&amp;BudgetsTable[[#This Row],[pi_email]]&amp;"&amp;subject=Your NSF Proposal:  "&amp;BudgetsTable[[#This Row],[prop_id]],BudgetsTable[[#This Row],[pi_email]]))</f>
        <v/>
      </c>
      <c r="P158" s="80" t="s">
        <v>13</v>
      </c>
      <c r="Q158" s="80">
        <v>1</v>
      </c>
      <c r="R158" s="80">
        <v>1</v>
      </c>
      <c r="S158" s="81">
        <v>0</v>
      </c>
      <c r="T158" s="81">
        <v>4000</v>
      </c>
      <c r="U158" s="81">
        <v>3000</v>
      </c>
      <c r="V158" s="82">
        <v>114193</v>
      </c>
      <c r="W158" s="80">
        <v>1</v>
      </c>
      <c r="X158" s="80">
        <v>5</v>
      </c>
      <c r="Y158" s="11" t="str">
        <f ca="1">IF(ISBLANK(BudgetsTable[[#This Row],[budg_seq_yr]]),"FY"&amp;fiscalyear,"FY"&amp;fiscalyear-1+BudgetsTable[[#This Row],[budg_seq_yr]])</f>
        <v>FY22</v>
      </c>
      <c r="Z158" s="81">
        <v>114193</v>
      </c>
      <c r="AA158" s="80" t="s">
        <v>222</v>
      </c>
      <c r="AB158" s="80" t="s">
        <v>405</v>
      </c>
      <c r="AC158" s="80" t="s">
        <v>411</v>
      </c>
    </row>
    <row r="159" spans="1:29" x14ac:dyDescent="0.4">
      <c r="A159" s="10" t="s">
        <v>1114</v>
      </c>
      <c r="B159" s="78" t="s">
        <v>96</v>
      </c>
      <c r="C159" s="78">
        <f>C158+(BudgetsTable[[#This Row],[lead]]&lt;&gt;K158)</f>
        <v>37</v>
      </c>
      <c r="D159" s="78">
        <f>D158*(BudgetsTable[[#This Row],[lead]]=K158)+(BudgetsTable[[#This Row],[prop_id]]&lt;&gt;A158)</f>
        <v>1</v>
      </c>
      <c r="E159" s="79">
        <v>42571.899305555555</v>
      </c>
      <c r="F159" s="80" t="s">
        <v>975</v>
      </c>
      <c r="G159" s="80" t="s">
        <v>222</v>
      </c>
      <c r="H159" s="80" t="s">
        <v>405</v>
      </c>
      <c r="I159" s="78" t="s">
        <v>422</v>
      </c>
      <c r="J159" s="78" t="s">
        <v>544</v>
      </c>
      <c r="K159" s="80" t="s">
        <v>1114</v>
      </c>
      <c r="L159" s="7" t="str">
        <f>IF(BudgetsTable[[#This Row],[pi_last_name]]=" ","",HYPERLINK("https://www.ejacket.nsf.gov/ej/showProposal.do?Continue=Y&amp;ID="&amp;BudgetsTable[[#This Row],[prop_id]],BudgetsTable[[#This Row],[prop_id]]))</f>
        <v>1652983</v>
      </c>
      <c r="M159" s="15" t="str">
        <f>IF(BudgetsTable[[#This Row],[pi_last_name]]=" ","",HYPERLINK("https://www.ejacket.nsf.gov/ej/processReviewAnalysis.do?dispatch=add&amp;uniqId="&amp;BudgetsTable[[#This Row],[prop_id]]&amp;PO_id,"&gt;ra"))</f>
        <v>&gt;ra</v>
      </c>
      <c r="N159" s="80" t="s">
        <v>541</v>
      </c>
      <c r="O159" s="7" t="str">
        <f>IF(BudgetsTable[[#This Row],[pi_last_name]]=" ","",HYPERLINK("mailto:"&amp;BudgetsTable[[#This Row],[pi_email]]&amp;"&amp;subject=Your NSF Proposal:  "&amp;BudgetsTable[[#This Row],[prop_id]],BudgetsTable[[#This Row],[pi_email]]))</f>
        <v>nodari@hawaii.edu</v>
      </c>
      <c r="P159" s="80" t="s">
        <v>543</v>
      </c>
      <c r="Q159" s="80"/>
      <c r="R159" s="80"/>
      <c r="S159" s="81"/>
      <c r="T159" s="81"/>
      <c r="U159" s="81"/>
      <c r="V159" s="82"/>
      <c r="W159" s="80">
        <v>0</v>
      </c>
      <c r="X159" s="80"/>
      <c r="Y159" s="11" t="str">
        <f ca="1">IF(ISBLANK(BudgetsTable[[#This Row],[budg_seq_yr]]),"FY"&amp;fiscalyear,"FY"&amp;fiscalyear-1+BudgetsTable[[#This Row],[budg_seq_yr]])</f>
        <v>FY18</v>
      </c>
      <c r="Z159" s="81">
        <v>542978</v>
      </c>
      <c r="AA159" s="80" t="s">
        <v>222</v>
      </c>
      <c r="AB159" s="80" t="s">
        <v>405</v>
      </c>
      <c r="AC159" s="80" t="s">
        <v>545</v>
      </c>
    </row>
    <row r="160" spans="1:29" x14ac:dyDescent="0.4">
      <c r="A160" s="10" t="s">
        <v>1114</v>
      </c>
      <c r="B160" s="78" t="s">
        <v>96</v>
      </c>
      <c r="C160" s="78">
        <f>C159+(BudgetsTable[[#This Row],[lead]]&lt;&gt;K159)</f>
        <v>37</v>
      </c>
      <c r="D160" s="78">
        <f>D159*(BudgetsTable[[#This Row],[lead]]=K159)+(BudgetsTable[[#This Row],[prop_id]]&lt;&gt;A159)</f>
        <v>1</v>
      </c>
      <c r="E160" s="79">
        <v>42571.899305555555</v>
      </c>
      <c r="F160" s="80" t="s">
        <v>975</v>
      </c>
      <c r="G160" s="80" t="s">
        <v>222</v>
      </c>
      <c r="H160" s="80" t="s">
        <v>405</v>
      </c>
      <c r="I160" s="78" t="s">
        <v>422</v>
      </c>
      <c r="J160" s="78" t="s">
        <v>13</v>
      </c>
      <c r="K160" s="80" t="s">
        <v>1114</v>
      </c>
      <c r="L160" s="7" t="str">
        <f>IF(BudgetsTable[[#This Row],[pi_last_name]]=" ","",HYPERLINK("https://www.ejacket.nsf.gov/ej/showProposal.do?Continue=Y&amp;ID="&amp;BudgetsTable[[#This Row],[prop_id]],BudgetsTable[[#This Row],[prop_id]]))</f>
        <v/>
      </c>
      <c r="M160" s="15" t="str">
        <f>IF(BudgetsTable[[#This Row],[pi_last_name]]=" ","",HYPERLINK("https://www.ejacket.nsf.gov/ej/processReviewAnalysis.do?dispatch=add&amp;uniqId="&amp;BudgetsTable[[#This Row],[prop_id]]&amp;PO_id,"&gt;ra"))</f>
        <v/>
      </c>
      <c r="N160" s="80" t="s">
        <v>13</v>
      </c>
      <c r="O160" s="7" t="str">
        <f>IF(BudgetsTable[[#This Row],[pi_last_name]]=" ","",HYPERLINK("mailto:"&amp;BudgetsTable[[#This Row],[pi_email]]&amp;"&amp;subject=Your NSF Proposal:  "&amp;BudgetsTable[[#This Row],[prop_id]],BudgetsTable[[#This Row],[pi_email]]))</f>
        <v/>
      </c>
      <c r="P160" s="80" t="s">
        <v>13</v>
      </c>
      <c r="Q160" s="80">
        <v>1</v>
      </c>
      <c r="R160" s="80">
        <v>0.5</v>
      </c>
      <c r="S160" s="81">
        <v>0</v>
      </c>
      <c r="T160" s="81">
        <v>5000</v>
      </c>
      <c r="U160" s="81">
        <v>0</v>
      </c>
      <c r="V160" s="82">
        <v>130719</v>
      </c>
      <c r="W160" s="80">
        <v>0</v>
      </c>
      <c r="X160" s="80">
        <v>1</v>
      </c>
      <c r="Y160" s="11" t="str">
        <f ca="1">IF(ISBLANK(BudgetsTable[[#This Row],[budg_seq_yr]]),"FY"&amp;fiscalyear,"FY"&amp;fiscalyear-1+BudgetsTable[[#This Row],[budg_seq_yr]])</f>
        <v>FY18</v>
      </c>
      <c r="Z160" s="81">
        <v>130719</v>
      </c>
      <c r="AA160" s="80" t="s">
        <v>222</v>
      </c>
      <c r="AB160" s="80" t="s">
        <v>405</v>
      </c>
      <c r="AC160" s="80" t="s">
        <v>545</v>
      </c>
    </row>
    <row r="161" spans="1:29" x14ac:dyDescent="0.4">
      <c r="A161" s="10" t="s">
        <v>1114</v>
      </c>
      <c r="B161" s="78" t="s">
        <v>96</v>
      </c>
      <c r="C161" s="78">
        <f>C160+(BudgetsTable[[#This Row],[lead]]&lt;&gt;K160)</f>
        <v>37</v>
      </c>
      <c r="D161" s="78">
        <f>D160*(BudgetsTable[[#This Row],[lead]]=K160)+(BudgetsTable[[#This Row],[prop_id]]&lt;&gt;A160)</f>
        <v>1</v>
      </c>
      <c r="E161" s="79">
        <v>42571.899305555555</v>
      </c>
      <c r="F161" s="80" t="s">
        <v>975</v>
      </c>
      <c r="G161" s="80" t="s">
        <v>222</v>
      </c>
      <c r="H161" s="80" t="s">
        <v>405</v>
      </c>
      <c r="I161" s="78" t="s">
        <v>422</v>
      </c>
      <c r="J161" s="78" t="s">
        <v>13</v>
      </c>
      <c r="K161" s="80" t="s">
        <v>1114</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80" t="s">
        <v>13</v>
      </c>
      <c r="O161" s="7" t="str">
        <f>IF(BudgetsTable[[#This Row],[pi_last_name]]=" ","",HYPERLINK("mailto:"&amp;BudgetsTable[[#This Row],[pi_email]]&amp;"&amp;subject=Your NSF Proposal:  "&amp;BudgetsTable[[#This Row],[prop_id]],BudgetsTable[[#This Row],[pi_email]]))</f>
        <v/>
      </c>
      <c r="P161" s="80" t="s">
        <v>13</v>
      </c>
      <c r="Q161" s="80">
        <v>1</v>
      </c>
      <c r="R161" s="80">
        <v>0.5</v>
      </c>
      <c r="S161" s="81">
        <v>0</v>
      </c>
      <c r="T161" s="81">
        <v>5000</v>
      </c>
      <c r="U161" s="81">
        <v>0</v>
      </c>
      <c r="V161" s="82">
        <v>99816</v>
      </c>
      <c r="W161" s="80">
        <v>0</v>
      </c>
      <c r="X161" s="80">
        <v>2</v>
      </c>
      <c r="Y161" s="11" t="str">
        <f ca="1">IF(ISBLANK(BudgetsTable[[#This Row],[budg_seq_yr]]),"FY"&amp;fiscalyear,"FY"&amp;fiscalyear-1+BudgetsTable[[#This Row],[budg_seq_yr]])</f>
        <v>FY19</v>
      </c>
      <c r="Z161" s="81">
        <v>99816</v>
      </c>
      <c r="AA161" s="80" t="s">
        <v>222</v>
      </c>
      <c r="AB161" s="80" t="s">
        <v>405</v>
      </c>
      <c r="AC161" s="80" t="s">
        <v>545</v>
      </c>
    </row>
    <row r="162" spans="1:29" x14ac:dyDescent="0.4">
      <c r="A162" s="10" t="s">
        <v>1114</v>
      </c>
      <c r="B162" s="78" t="s">
        <v>96</v>
      </c>
      <c r="C162" s="78">
        <f>C161+(BudgetsTable[[#This Row],[lead]]&lt;&gt;K161)</f>
        <v>37</v>
      </c>
      <c r="D162" s="78">
        <f>D161*(BudgetsTable[[#This Row],[lead]]=K161)+(BudgetsTable[[#This Row],[prop_id]]&lt;&gt;A161)</f>
        <v>1</v>
      </c>
      <c r="E162" s="79">
        <v>42571.899305555555</v>
      </c>
      <c r="F162" s="80" t="s">
        <v>975</v>
      </c>
      <c r="G162" s="80" t="s">
        <v>222</v>
      </c>
      <c r="H162" s="80" t="s">
        <v>405</v>
      </c>
      <c r="I162" s="78" t="s">
        <v>422</v>
      </c>
      <c r="J162" s="78" t="s">
        <v>13</v>
      </c>
      <c r="K162" s="80" t="s">
        <v>1114</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80" t="s">
        <v>13</v>
      </c>
      <c r="O162" s="7" t="str">
        <f>IF(BudgetsTable[[#This Row],[pi_last_name]]=" ","",HYPERLINK("mailto:"&amp;BudgetsTable[[#This Row],[pi_email]]&amp;"&amp;subject=Your NSF Proposal:  "&amp;BudgetsTable[[#This Row],[prop_id]],BudgetsTable[[#This Row],[pi_email]]))</f>
        <v/>
      </c>
      <c r="P162" s="80" t="s">
        <v>13</v>
      </c>
      <c r="Q162" s="80">
        <v>1</v>
      </c>
      <c r="R162" s="80">
        <v>0.5</v>
      </c>
      <c r="S162" s="81">
        <v>0</v>
      </c>
      <c r="T162" s="81">
        <v>5000</v>
      </c>
      <c r="U162" s="81">
        <v>0</v>
      </c>
      <c r="V162" s="82">
        <v>102930</v>
      </c>
      <c r="W162" s="80">
        <v>0</v>
      </c>
      <c r="X162" s="80">
        <v>3</v>
      </c>
      <c r="Y162" s="11" t="str">
        <f ca="1">IF(ISBLANK(BudgetsTable[[#This Row],[budg_seq_yr]]),"FY"&amp;fiscalyear,"FY"&amp;fiscalyear-1+BudgetsTable[[#This Row],[budg_seq_yr]])</f>
        <v>FY20</v>
      </c>
      <c r="Z162" s="81">
        <v>102930</v>
      </c>
      <c r="AA162" s="80" t="s">
        <v>222</v>
      </c>
      <c r="AB162" s="80" t="s">
        <v>405</v>
      </c>
      <c r="AC162" s="80" t="s">
        <v>545</v>
      </c>
    </row>
    <row r="163" spans="1:29" x14ac:dyDescent="0.4">
      <c r="A163" s="10" t="s">
        <v>1114</v>
      </c>
      <c r="B163" s="78" t="s">
        <v>96</v>
      </c>
      <c r="C163" s="78">
        <f>C162+(BudgetsTable[[#This Row],[lead]]&lt;&gt;K162)</f>
        <v>37</v>
      </c>
      <c r="D163" s="78">
        <f>D162*(BudgetsTable[[#This Row],[lead]]=K162)+(BudgetsTable[[#This Row],[prop_id]]&lt;&gt;A162)</f>
        <v>1</v>
      </c>
      <c r="E163" s="79">
        <v>42571.899305555555</v>
      </c>
      <c r="F163" s="80" t="s">
        <v>975</v>
      </c>
      <c r="G163" s="80" t="s">
        <v>222</v>
      </c>
      <c r="H163" s="80" t="s">
        <v>405</v>
      </c>
      <c r="I163" s="78" t="s">
        <v>422</v>
      </c>
      <c r="J163" s="78" t="s">
        <v>13</v>
      </c>
      <c r="K163" s="80" t="s">
        <v>1114</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80" t="s">
        <v>13</v>
      </c>
      <c r="O163" s="7" t="str">
        <f>IF(BudgetsTable[[#This Row],[pi_last_name]]=" ","",HYPERLINK("mailto:"&amp;BudgetsTable[[#This Row],[pi_email]]&amp;"&amp;subject=Your NSF Proposal:  "&amp;BudgetsTable[[#This Row],[prop_id]],BudgetsTable[[#This Row],[pi_email]]))</f>
        <v/>
      </c>
      <c r="P163" s="80" t="s">
        <v>13</v>
      </c>
      <c r="Q163" s="80">
        <v>1</v>
      </c>
      <c r="R163" s="80">
        <v>2</v>
      </c>
      <c r="S163" s="81">
        <v>0</v>
      </c>
      <c r="T163" s="81">
        <v>5000</v>
      </c>
      <c r="U163" s="81">
        <v>0</v>
      </c>
      <c r="V163" s="82">
        <v>103132</v>
      </c>
      <c r="W163" s="80">
        <v>0</v>
      </c>
      <c r="X163" s="80">
        <v>4</v>
      </c>
      <c r="Y163" s="11" t="str">
        <f ca="1">IF(ISBLANK(BudgetsTable[[#This Row],[budg_seq_yr]]),"FY"&amp;fiscalyear,"FY"&amp;fiscalyear-1+BudgetsTable[[#This Row],[budg_seq_yr]])</f>
        <v>FY21</v>
      </c>
      <c r="Z163" s="81">
        <v>103132</v>
      </c>
      <c r="AA163" s="80" t="s">
        <v>222</v>
      </c>
      <c r="AB163" s="80" t="s">
        <v>405</v>
      </c>
      <c r="AC163" s="80" t="s">
        <v>545</v>
      </c>
    </row>
    <row r="164" spans="1:29" x14ac:dyDescent="0.4">
      <c r="A164" s="10" t="s">
        <v>1114</v>
      </c>
      <c r="B164" s="78" t="s">
        <v>96</v>
      </c>
      <c r="C164" s="78">
        <f>C163+(BudgetsTable[[#This Row],[lead]]&lt;&gt;K163)</f>
        <v>37</v>
      </c>
      <c r="D164" s="78">
        <f>D163*(BudgetsTable[[#This Row],[lead]]=K163)+(BudgetsTable[[#This Row],[prop_id]]&lt;&gt;A163)</f>
        <v>1</v>
      </c>
      <c r="E164" s="79">
        <v>42571.899305555555</v>
      </c>
      <c r="F164" s="80" t="s">
        <v>975</v>
      </c>
      <c r="G164" s="80" t="s">
        <v>222</v>
      </c>
      <c r="H164" s="80" t="s">
        <v>405</v>
      </c>
      <c r="I164" s="78" t="s">
        <v>422</v>
      </c>
      <c r="J164" s="78" t="s">
        <v>13</v>
      </c>
      <c r="K164" s="80" t="s">
        <v>1114</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80" t="s">
        <v>13</v>
      </c>
      <c r="O164" s="7" t="str">
        <f>IF(BudgetsTable[[#This Row],[pi_last_name]]=" ","",HYPERLINK("mailto:"&amp;BudgetsTable[[#This Row],[pi_email]]&amp;"&amp;subject=Your NSF Proposal:  "&amp;BudgetsTable[[#This Row],[prop_id]],BudgetsTable[[#This Row],[pi_email]]))</f>
        <v/>
      </c>
      <c r="P164" s="80" t="s">
        <v>13</v>
      </c>
      <c r="Q164" s="80">
        <v>1</v>
      </c>
      <c r="R164" s="80">
        <v>2</v>
      </c>
      <c r="S164" s="81">
        <v>0</v>
      </c>
      <c r="T164" s="81">
        <v>5000</v>
      </c>
      <c r="U164" s="81">
        <v>0</v>
      </c>
      <c r="V164" s="82">
        <v>106381</v>
      </c>
      <c r="W164" s="80">
        <v>0</v>
      </c>
      <c r="X164" s="80">
        <v>5</v>
      </c>
      <c r="Y164" s="11" t="str">
        <f ca="1">IF(ISBLANK(BudgetsTable[[#This Row],[budg_seq_yr]]),"FY"&amp;fiscalyear,"FY"&amp;fiscalyear-1+BudgetsTable[[#This Row],[budg_seq_yr]])</f>
        <v>FY22</v>
      </c>
      <c r="Z164" s="81">
        <v>106381</v>
      </c>
      <c r="AA164" s="80" t="s">
        <v>222</v>
      </c>
      <c r="AB164" s="80" t="s">
        <v>405</v>
      </c>
      <c r="AC164" s="80" t="s">
        <v>545</v>
      </c>
    </row>
    <row r="165" spans="1:29" x14ac:dyDescent="0.4">
      <c r="A165" s="10" t="s">
        <v>1121</v>
      </c>
      <c r="B165" s="78" t="s">
        <v>96</v>
      </c>
      <c r="C165" s="78">
        <f>C164+(BudgetsTable[[#This Row],[lead]]&lt;&gt;K164)</f>
        <v>38</v>
      </c>
      <c r="D165" s="78">
        <f>D164*(BudgetsTable[[#This Row],[lead]]=K164)+(BudgetsTable[[#This Row],[prop_id]]&lt;&gt;A164)</f>
        <v>1</v>
      </c>
      <c r="E165" s="79">
        <v>42576.481944444444</v>
      </c>
      <c r="F165" s="80" t="s">
        <v>975</v>
      </c>
      <c r="G165" s="80" t="s">
        <v>1117</v>
      </c>
      <c r="H165" s="80" t="s">
        <v>1118</v>
      </c>
      <c r="I165" s="78" t="s">
        <v>1119</v>
      </c>
      <c r="J165" s="78" t="s">
        <v>1124</v>
      </c>
      <c r="K165" s="80" t="s">
        <v>1121</v>
      </c>
      <c r="L165" s="7" t="str">
        <f>IF(BudgetsTable[[#This Row],[pi_last_name]]=" ","",HYPERLINK("https://www.ejacket.nsf.gov/ej/showProposal.do?Continue=Y&amp;ID="&amp;BudgetsTable[[#This Row],[prop_id]],BudgetsTable[[#This Row],[prop_id]]))</f>
        <v>1654086</v>
      </c>
      <c r="M165" s="15" t="str">
        <f>IF(BudgetsTable[[#This Row],[pi_last_name]]=" ","",HYPERLINK("https://www.ejacket.nsf.gov/ej/processReviewAnalysis.do?dispatch=add&amp;uniqId="&amp;BudgetsTable[[#This Row],[prop_id]]&amp;PO_id,"&gt;ra"))</f>
        <v>&gt;ra</v>
      </c>
      <c r="N165" s="80" t="s">
        <v>1122</v>
      </c>
      <c r="O165" s="7" t="str">
        <f>IF(BudgetsTable[[#This Row],[pi_last_name]]=" ","",HYPERLINK("mailto:"&amp;BudgetsTable[[#This Row],[pi_email]]&amp;"&amp;subject=Your NSF Proposal:  "&amp;BudgetsTable[[#This Row],[prop_id]],BudgetsTable[[#This Row],[pi_email]]))</f>
        <v>kmcrane@cs.cmu.edu</v>
      </c>
      <c r="P165" s="80" t="s">
        <v>424</v>
      </c>
      <c r="Q165" s="80"/>
      <c r="R165" s="80"/>
      <c r="S165" s="81"/>
      <c r="T165" s="81"/>
      <c r="U165" s="81"/>
      <c r="V165" s="82"/>
      <c r="W165" s="80">
        <v>0</v>
      </c>
      <c r="X165" s="80"/>
      <c r="Y165" s="11" t="str">
        <f ca="1">IF(ISBLANK(BudgetsTable[[#This Row],[budg_seq_yr]]),"FY"&amp;fiscalyear,"FY"&amp;fiscalyear-1+BudgetsTable[[#This Row],[budg_seq_yr]])</f>
        <v>FY18</v>
      </c>
      <c r="Z165" s="81">
        <v>514170</v>
      </c>
      <c r="AA165" s="80" t="s">
        <v>1117</v>
      </c>
      <c r="AB165" s="80" t="s">
        <v>1118</v>
      </c>
      <c r="AC165" s="80" t="s">
        <v>265</v>
      </c>
    </row>
    <row r="166" spans="1:29" x14ac:dyDescent="0.4">
      <c r="A166" s="10" t="s">
        <v>1121</v>
      </c>
      <c r="B166" s="78" t="s">
        <v>96</v>
      </c>
      <c r="C166" s="78">
        <f>C165+(BudgetsTable[[#This Row],[lead]]&lt;&gt;K165)</f>
        <v>38</v>
      </c>
      <c r="D166" s="78">
        <f>D165*(BudgetsTable[[#This Row],[lead]]=K165)+(BudgetsTable[[#This Row],[prop_id]]&lt;&gt;A165)</f>
        <v>1</v>
      </c>
      <c r="E166" s="79">
        <v>42576.481944444444</v>
      </c>
      <c r="F166" s="80" t="s">
        <v>975</v>
      </c>
      <c r="G166" s="80" t="s">
        <v>1117</v>
      </c>
      <c r="H166" s="80" t="s">
        <v>1118</v>
      </c>
      <c r="I166" s="78" t="s">
        <v>1119</v>
      </c>
      <c r="J166" s="78" t="s">
        <v>13</v>
      </c>
      <c r="K166" s="80" t="s">
        <v>1121</v>
      </c>
      <c r="L166" s="7" t="str">
        <f>IF(BudgetsTable[[#This Row],[pi_last_name]]=" ","",HYPERLINK("https://www.ejacket.nsf.gov/ej/showProposal.do?Continue=Y&amp;ID="&amp;BudgetsTable[[#This Row],[prop_id]],BudgetsTable[[#This Row],[prop_id]]))</f>
        <v/>
      </c>
      <c r="M166" s="15" t="str">
        <f>IF(BudgetsTable[[#This Row],[pi_last_name]]=" ","",HYPERLINK("https://www.ejacket.nsf.gov/ej/processReviewAnalysis.do?dispatch=add&amp;uniqId="&amp;BudgetsTable[[#This Row],[prop_id]]&amp;PO_id,"&gt;ra"))</f>
        <v/>
      </c>
      <c r="N166" s="80" t="s">
        <v>13</v>
      </c>
      <c r="O166" s="7" t="str">
        <f>IF(BudgetsTable[[#This Row],[pi_last_name]]=" ","",HYPERLINK("mailto:"&amp;BudgetsTable[[#This Row],[pi_email]]&amp;"&amp;subject=Your NSF Proposal:  "&amp;BudgetsTable[[#This Row],[prop_id]],BudgetsTable[[#This Row],[pi_email]]))</f>
        <v/>
      </c>
      <c r="P166" s="80" t="s">
        <v>13</v>
      </c>
      <c r="Q166" s="80">
        <v>1</v>
      </c>
      <c r="R166" s="80">
        <v>0.5</v>
      </c>
      <c r="S166" s="81">
        <v>0</v>
      </c>
      <c r="T166" s="81">
        <v>0</v>
      </c>
      <c r="U166" s="81">
        <v>0</v>
      </c>
      <c r="V166" s="82">
        <v>96854</v>
      </c>
      <c r="W166" s="80">
        <v>0</v>
      </c>
      <c r="X166" s="80">
        <v>1</v>
      </c>
      <c r="Y166" s="11" t="str">
        <f ca="1">IF(ISBLANK(BudgetsTable[[#This Row],[budg_seq_yr]]),"FY"&amp;fiscalyear,"FY"&amp;fiscalyear-1+BudgetsTable[[#This Row],[budg_seq_yr]])</f>
        <v>FY18</v>
      </c>
      <c r="Z166" s="81">
        <v>96854</v>
      </c>
      <c r="AA166" s="80" t="s">
        <v>1117</v>
      </c>
      <c r="AB166" s="80" t="s">
        <v>1118</v>
      </c>
      <c r="AC166" s="80" t="s">
        <v>265</v>
      </c>
    </row>
    <row r="167" spans="1:29" x14ac:dyDescent="0.4">
      <c r="A167" s="10" t="s">
        <v>1121</v>
      </c>
      <c r="B167" s="78" t="s">
        <v>96</v>
      </c>
      <c r="C167" s="78">
        <f>C166+(BudgetsTable[[#This Row],[lead]]&lt;&gt;K166)</f>
        <v>38</v>
      </c>
      <c r="D167" s="78">
        <f>D166*(BudgetsTable[[#This Row],[lead]]=K166)+(BudgetsTable[[#This Row],[prop_id]]&lt;&gt;A166)</f>
        <v>1</v>
      </c>
      <c r="E167" s="79">
        <v>42576.481944444444</v>
      </c>
      <c r="F167" s="80" t="s">
        <v>975</v>
      </c>
      <c r="G167" s="80" t="s">
        <v>1117</v>
      </c>
      <c r="H167" s="80" t="s">
        <v>1118</v>
      </c>
      <c r="I167" s="78" t="s">
        <v>1119</v>
      </c>
      <c r="J167" s="78" t="s">
        <v>13</v>
      </c>
      <c r="K167" s="80" t="s">
        <v>1121</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80" t="s">
        <v>13</v>
      </c>
      <c r="O167" s="7" t="str">
        <f>IF(BudgetsTable[[#This Row],[pi_last_name]]=" ","",HYPERLINK("mailto:"&amp;BudgetsTable[[#This Row],[pi_email]]&amp;"&amp;subject=Your NSF Proposal:  "&amp;BudgetsTable[[#This Row],[prop_id]],BudgetsTable[[#This Row],[pi_email]]))</f>
        <v/>
      </c>
      <c r="P167" s="80" t="s">
        <v>13</v>
      </c>
      <c r="Q167" s="80">
        <v>1</v>
      </c>
      <c r="R167" s="80">
        <v>0.5</v>
      </c>
      <c r="S167" s="81">
        <v>0</v>
      </c>
      <c r="T167" s="81">
        <v>0</v>
      </c>
      <c r="U167" s="81">
        <v>0</v>
      </c>
      <c r="V167" s="82">
        <v>99758</v>
      </c>
      <c r="W167" s="80">
        <v>0</v>
      </c>
      <c r="X167" s="80">
        <v>2</v>
      </c>
      <c r="Y167" s="11" t="str">
        <f ca="1">IF(ISBLANK(BudgetsTable[[#This Row],[budg_seq_yr]]),"FY"&amp;fiscalyear,"FY"&amp;fiscalyear-1+BudgetsTable[[#This Row],[budg_seq_yr]])</f>
        <v>FY19</v>
      </c>
      <c r="Z167" s="81">
        <v>99758</v>
      </c>
      <c r="AA167" s="80" t="s">
        <v>1117</v>
      </c>
      <c r="AB167" s="80" t="s">
        <v>1118</v>
      </c>
      <c r="AC167" s="80" t="s">
        <v>265</v>
      </c>
    </row>
    <row r="168" spans="1:29" x14ac:dyDescent="0.4">
      <c r="A168" s="10" t="s">
        <v>1121</v>
      </c>
      <c r="B168" s="78" t="s">
        <v>96</v>
      </c>
      <c r="C168" s="78">
        <f>C167+(BudgetsTable[[#This Row],[lead]]&lt;&gt;K167)</f>
        <v>38</v>
      </c>
      <c r="D168" s="78">
        <f>D167*(BudgetsTable[[#This Row],[lead]]=K167)+(BudgetsTable[[#This Row],[prop_id]]&lt;&gt;A167)</f>
        <v>1</v>
      </c>
      <c r="E168" s="79">
        <v>42576.481944444444</v>
      </c>
      <c r="F168" s="80" t="s">
        <v>975</v>
      </c>
      <c r="G168" s="80" t="s">
        <v>1117</v>
      </c>
      <c r="H168" s="80" t="s">
        <v>1118</v>
      </c>
      <c r="I168" s="78" t="s">
        <v>1119</v>
      </c>
      <c r="J168" s="78" t="s">
        <v>13</v>
      </c>
      <c r="K168" s="80" t="s">
        <v>1121</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80" t="s">
        <v>13</v>
      </c>
      <c r="O168" s="7" t="str">
        <f>IF(BudgetsTable[[#This Row],[pi_last_name]]=" ","",HYPERLINK("mailto:"&amp;BudgetsTable[[#This Row],[pi_email]]&amp;"&amp;subject=Your NSF Proposal:  "&amp;BudgetsTable[[#This Row],[prop_id]],BudgetsTable[[#This Row],[pi_email]]))</f>
        <v/>
      </c>
      <c r="P168" s="80" t="s">
        <v>13</v>
      </c>
      <c r="Q168" s="80">
        <v>1</v>
      </c>
      <c r="R168" s="80">
        <v>0.5</v>
      </c>
      <c r="S168" s="81">
        <v>0</v>
      </c>
      <c r="T168" s="81">
        <v>0</v>
      </c>
      <c r="U168" s="81">
        <v>0</v>
      </c>
      <c r="V168" s="82">
        <v>102739</v>
      </c>
      <c r="W168" s="80">
        <v>0</v>
      </c>
      <c r="X168" s="80">
        <v>3</v>
      </c>
      <c r="Y168" s="11" t="str">
        <f ca="1">IF(ISBLANK(BudgetsTable[[#This Row],[budg_seq_yr]]),"FY"&amp;fiscalyear,"FY"&amp;fiscalyear-1+BudgetsTable[[#This Row],[budg_seq_yr]])</f>
        <v>FY20</v>
      </c>
      <c r="Z168" s="81">
        <v>102739</v>
      </c>
      <c r="AA168" s="80" t="s">
        <v>1117</v>
      </c>
      <c r="AB168" s="80" t="s">
        <v>1118</v>
      </c>
      <c r="AC168" s="80" t="s">
        <v>265</v>
      </c>
    </row>
    <row r="169" spans="1:29" x14ac:dyDescent="0.4">
      <c r="A169" s="10" t="s">
        <v>1121</v>
      </c>
      <c r="B169" s="78" t="s">
        <v>96</v>
      </c>
      <c r="C169" s="78">
        <f>C168+(BudgetsTable[[#This Row],[lead]]&lt;&gt;K168)</f>
        <v>38</v>
      </c>
      <c r="D169" s="78">
        <f>D168*(BudgetsTable[[#This Row],[lead]]=K168)+(BudgetsTable[[#This Row],[prop_id]]&lt;&gt;A168)</f>
        <v>1</v>
      </c>
      <c r="E169" s="79">
        <v>42576.481944444444</v>
      </c>
      <c r="F169" s="80" t="s">
        <v>975</v>
      </c>
      <c r="G169" s="80" t="s">
        <v>1117</v>
      </c>
      <c r="H169" s="80" t="s">
        <v>1118</v>
      </c>
      <c r="I169" s="78" t="s">
        <v>1119</v>
      </c>
      <c r="J169" s="78" t="s">
        <v>13</v>
      </c>
      <c r="K169" s="80" t="s">
        <v>1121</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80" t="s">
        <v>13</v>
      </c>
      <c r="O169" s="7" t="str">
        <f>IF(BudgetsTable[[#This Row],[pi_last_name]]=" ","",HYPERLINK("mailto:"&amp;BudgetsTable[[#This Row],[pi_email]]&amp;"&amp;subject=Your NSF Proposal:  "&amp;BudgetsTable[[#This Row],[prop_id]],BudgetsTable[[#This Row],[pi_email]]))</f>
        <v/>
      </c>
      <c r="P169" s="80" t="s">
        <v>13</v>
      </c>
      <c r="Q169" s="80">
        <v>1</v>
      </c>
      <c r="R169" s="80">
        <v>0.5</v>
      </c>
      <c r="S169" s="81">
        <v>0</v>
      </c>
      <c r="T169" s="81">
        <v>0</v>
      </c>
      <c r="U169" s="81">
        <v>0</v>
      </c>
      <c r="V169" s="82">
        <v>105821</v>
      </c>
      <c r="W169" s="80">
        <v>0</v>
      </c>
      <c r="X169" s="80">
        <v>4</v>
      </c>
      <c r="Y169" s="11" t="str">
        <f ca="1">IF(ISBLANK(BudgetsTable[[#This Row],[budg_seq_yr]]),"FY"&amp;fiscalyear,"FY"&amp;fiscalyear-1+BudgetsTable[[#This Row],[budg_seq_yr]])</f>
        <v>FY21</v>
      </c>
      <c r="Z169" s="81">
        <v>105821</v>
      </c>
      <c r="AA169" s="80" t="s">
        <v>1117</v>
      </c>
      <c r="AB169" s="80" t="s">
        <v>1118</v>
      </c>
      <c r="AC169" s="80" t="s">
        <v>265</v>
      </c>
    </row>
    <row r="170" spans="1:29" x14ac:dyDescent="0.4">
      <c r="A170" s="10" t="s">
        <v>1121</v>
      </c>
      <c r="B170" s="78" t="s">
        <v>96</v>
      </c>
      <c r="C170" s="78">
        <f>C169+(BudgetsTable[[#This Row],[lead]]&lt;&gt;K169)</f>
        <v>38</v>
      </c>
      <c r="D170" s="78">
        <f>D169*(BudgetsTable[[#This Row],[lead]]=K169)+(BudgetsTable[[#This Row],[prop_id]]&lt;&gt;A169)</f>
        <v>1</v>
      </c>
      <c r="E170" s="79">
        <v>42576.481944444444</v>
      </c>
      <c r="F170" s="80" t="s">
        <v>975</v>
      </c>
      <c r="G170" s="80" t="s">
        <v>1117</v>
      </c>
      <c r="H170" s="80" t="s">
        <v>1118</v>
      </c>
      <c r="I170" s="78" t="s">
        <v>1119</v>
      </c>
      <c r="J170" s="78" t="s">
        <v>13</v>
      </c>
      <c r="K170" s="80" t="s">
        <v>1121</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80" t="s">
        <v>13</v>
      </c>
      <c r="O170" s="7" t="str">
        <f>IF(BudgetsTable[[#This Row],[pi_last_name]]=" ","",HYPERLINK("mailto:"&amp;BudgetsTable[[#This Row],[pi_email]]&amp;"&amp;subject=Your NSF Proposal:  "&amp;BudgetsTable[[#This Row],[prop_id]],BudgetsTable[[#This Row],[pi_email]]))</f>
        <v/>
      </c>
      <c r="P170" s="80" t="s">
        <v>13</v>
      </c>
      <c r="Q170" s="80">
        <v>1</v>
      </c>
      <c r="R170" s="80">
        <v>0.5</v>
      </c>
      <c r="S170" s="81">
        <v>0</v>
      </c>
      <c r="T170" s="81">
        <v>0</v>
      </c>
      <c r="U170" s="81">
        <v>0</v>
      </c>
      <c r="V170" s="82">
        <v>108998</v>
      </c>
      <c r="W170" s="80">
        <v>0</v>
      </c>
      <c r="X170" s="80">
        <v>5</v>
      </c>
      <c r="Y170" s="11" t="str">
        <f ca="1">IF(ISBLANK(BudgetsTable[[#This Row],[budg_seq_yr]]),"FY"&amp;fiscalyear,"FY"&amp;fiscalyear-1+BudgetsTable[[#This Row],[budg_seq_yr]])</f>
        <v>FY22</v>
      </c>
      <c r="Z170" s="81">
        <v>108998</v>
      </c>
      <c r="AA170" s="80" t="s">
        <v>1117</v>
      </c>
      <c r="AB170" s="80" t="s">
        <v>1118</v>
      </c>
      <c r="AC170" s="80" t="s">
        <v>265</v>
      </c>
    </row>
    <row r="171" spans="1:29" x14ac:dyDescent="0.4">
      <c r="A171" s="10" t="s">
        <v>1127</v>
      </c>
      <c r="B171" s="78" t="s">
        <v>96</v>
      </c>
      <c r="C171" s="78">
        <f>C170+(BudgetsTable[[#This Row],[lead]]&lt;&gt;K170)</f>
        <v>39</v>
      </c>
      <c r="D171" s="78">
        <f>D170*(BudgetsTable[[#This Row],[lead]]=K170)+(BudgetsTable[[#This Row],[prop_id]]&lt;&gt;A170)</f>
        <v>1</v>
      </c>
      <c r="E171" s="79">
        <v>42576.672222222223</v>
      </c>
      <c r="F171" s="80" t="s">
        <v>975</v>
      </c>
      <c r="G171" s="80" t="s">
        <v>222</v>
      </c>
      <c r="H171" s="80" t="s">
        <v>405</v>
      </c>
      <c r="I171" s="78" t="s">
        <v>406</v>
      </c>
      <c r="J171" s="78" t="s">
        <v>1131</v>
      </c>
      <c r="K171" s="80" t="s">
        <v>1127</v>
      </c>
      <c r="L171" s="7" t="str">
        <f>IF(BudgetsTable[[#This Row],[pi_last_name]]=" ","",HYPERLINK("https://www.ejacket.nsf.gov/ej/showProposal.do?Continue=Y&amp;ID="&amp;BudgetsTable[[#This Row],[prop_id]],BudgetsTable[[#This Row],[prop_id]]))</f>
        <v>1654261</v>
      </c>
      <c r="M171" s="15" t="str">
        <f>IF(BudgetsTable[[#This Row],[pi_last_name]]=" ","",HYPERLINK("https://www.ejacket.nsf.gov/ej/processReviewAnalysis.do?dispatch=add&amp;uniqId="&amp;BudgetsTable[[#This Row],[prop_id]]&amp;PO_id,"&gt;ra"))</f>
        <v>&gt;ra</v>
      </c>
      <c r="N171" s="80" t="s">
        <v>1128</v>
      </c>
      <c r="O171" s="7" t="str">
        <f>IF(BudgetsTable[[#This Row],[pi_last_name]]=" ","",HYPERLINK("mailto:"&amp;BudgetsTable[[#This Row],[pi_email]]&amp;"&amp;subject=Your NSF Proposal:  "&amp;BudgetsTable[[#This Row],[prop_id]],BudgetsTable[[#This Row],[pi_email]]))</f>
        <v>lukeoeding@gmail.com</v>
      </c>
      <c r="P171" s="80" t="s">
        <v>1130</v>
      </c>
      <c r="Q171" s="80"/>
      <c r="R171" s="80"/>
      <c r="S171" s="81"/>
      <c r="T171" s="81"/>
      <c r="U171" s="81"/>
      <c r="V171" s="82"/>
      <c r="W171" s="80">
        <v>0</v>
      </c>
      <c r="X171" s="80"/>
      <c r="Y171" s="11" t="str">
        <f ca="1">IF(ISBLANK(BudgetsTable[[#This Row],[budg_seq_yr]]),"FY"&amp;fiscalyear,"FY"&amp;fiscalyear-1+BudgetsTable[[#This Row],[budg_seq_yr]])</f>
        <v>FY18</v>
      </c>
      <c r="Z171" s="81">
        <v>601079</v>
      </c>
      <c r="AA171" s="80" t="s">
        <v>222</v>
      </c>
      <c r="AB171" s="80" t="s">
        <v>405</v>
      </c>
      <c r="AC171" s="80" t="s">
        <v>1132</v>
      </c>
    </row>
    <row r="172" spans="1:29" x14ac:dyDescent="0.4">
      <c r="A172" s="10" t="s">
        <v>1127</v>
      </c>
      <c r="B172" s="78" t="s">
        <v>96</v>
      </c>
      <c r="C172" s="78">
        <f>C171+(BudgetsTable[[#This Row],[lead]]&lt;&gt;K171)</f>
        <v>39</v>
      </c>
      <c r="D172" s="78">
        <f>D171*(BudgetsTable[[#This Row],[lead]]=K171)+(BudgetsTable[[#This Row],[prop_id]]&lt;&gt;A171)</f>
        <v>1</v>
      </c>
      <c r="E172" s="79">
        <v>42576.672222222223</v>
      </c>
      <c r="F172" s="80" t="s">
        <v>975</v>
      </c>
      <c r="G172" s="80" t="s">
        <v>222</v>
      </c>
      <c r="H172" s="80" t="s">
        <v>405</v>
      </c>
      <c r="I172" s="78" t="s">
        <v>406</v>
      </c>
      <c r="J172" s="78" t="s">
        <v>13</v>
      </c>
      <c r="K172" s="80" t="s">
        <v>1127</v>
      </c>
      <c r="L172" s="7" t="str">
        <f>IF(BudgetsTable[[#This Row],[pi_last_name]]=" ","",HYPERLINK("https://www.ejacket.nsf.gov/ej/showProposal.do?Continue=Y&amp;ID="&amp;BudgetsTable[[#This Row],[prop_id]],BudgetsTable[[#This Row],[prop_id]]))</f>
        <v/>
      </c>
      <c r="M172" s="15" t="str">
        <f>IF(BudgetsTable[[#This Row],[pi_last_name]]=" ","",HYPERLINK("https://www.ejacket.nsf.gov/ej/processReviewAnalysis.do?dispatch=add&amp;uniqId="&amp;BudgetsTable[[#This Row],[prop_id]]&amp;PO_id,"&gt;ra"))</f>
        <v/>
      </c>
      <c r="N172" s="80" t="s">
        <v>13</v>
      </c>
      <c r="O172" s="7" t="str">
        <f>IF(BudgetsTable[[#This Row],[pi_last_name]]=" ","",HYPERLINK("mailto:"&amp;BudgetsTable[[#This Row],[pi_email]]&amp;"&amp;subject=Your NSF Proposal:  "&amp;BudgetsTable[[#This Row],[prop_id]],BudgetsTable[[#This Row],[pi_email]]))</f>
        <v/>
      </c>
      <c r="P172" s="80" t="s">
        <v>13</v>
      </c>
      <c r="Q172" s="80">
        <v>1</v>
      </c>
      <c r="R172" s="80">
        <v>2</v>
      </c>
      <c r="S172" s="81">
        <v>0</v>
      </c>
      <c r="T172" s="81">
        <v>7500</v>
      </c>
      <c r="U172" s="81">
        <v>0</v>
      </c>
      <c r="V172" s="82">
        <v>151342</v>
      </c>
      <c r="W172" s="80">
        <v>0</v>
      </c>
      <c r="X172" s="80">
        <v>1</v>
      </c>
      <c r="Y172" s="11" t="str">
        <f ca="1">IF(ISBLANK(BudgetsTable[[#This Row],[budg_seq_yr]]),"FY"&amp;fiscalyear,"FY"&amp;fiscalyear-1+BudgetsTable[[#This Row],[budg_seq_yr]])</f>
        <v>FY18</v>
      </c>
      <c r="Z172" s="81">
        <v>151342</v>
      </c>
      <c r="AA172" s="80" t="s">
        <v>222</v>
      </c>
      <c r="AB172" s="80" t="s">
        <v>405</v>
      </c>
      <c r="AC172" s="80" t="s">
        <v>1132</v>
      </c>
    </row>
    <row r="173" spans="1:29" x14ac:dyDescent="0.4">
      <c r="A173" s="10" t="s">
        <v>1127</v>
      </c>
      <c r="B173" s="78" t="s">
        <v>96</v>
      </c>
      <c r="C173" s="78">
        <f>C172+(BudgetsTable[[#This Row],[lead]]&lt;&gt;K172)</f>
        <v>39</v>
      </c>
      <c r="D173" s="78">
        <f>D172*(BudgetsTable[[#This Row],[lead]]=K172)+(BudgetsTable[[#This Row],[prop_id]]&lt;&gt;A172)</f>
        <v>1</v>
      </c>
      <c r="E173" s="79">
        <v>42576.672222222223</v>
      </c>
      <c r="F173" s="80" t="s">
        <v>975</v>
      </c>
      <c r="G173" s="80" t="s">
        <v>222</v>
      </c>
      <c r="H173" s="80" t="s">
        <v>405</v>
      </c>
      <c r="I173" s="78" t="s">
        <v>406</v>
      </c>
      <c r="J173" s="78" t="s">
        <v>13</v>
      </c>
      <c r="K173" s="80" t="s">
        <v>1127</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80" t="s">
        <v>13</v>
      </c>
      <c r="O173" s="7" t="str">
        <f>IF(BudgetsTable[[#This Row],[pi_last_name]]=" ","",HYPERLINK("mailto:"&amp;BudgetsTable[[#This Row],[pi_email]]&amp;"&amp;subject=Your NSF Proposal:  "&amp;BudgetsTable[[#This Row],[prop_id]],BudgetsTable[[#This Row],[pi_email]]))</f>
        <v/>
      </c>
      <c r="P173" s="80" t="s">
        <v>13</v>
      </c>
      <c r="Q173" s="80">
        <v>1</v>
      </c>
      <c r="R173" s="80">
        <v>2</v>
      </c>
      <c r="S173" s="81">
        <v>0</v>
      </c>
      <c r="T173" s="81">
        <v>7500</v>
      </c>
      <c r="U173" s="81">
        <v>5000</v>
      </c>
      <c r="V173" s="82">
        <v>121439</v>
      </c>
      <c r="W173" s="80">
        <v>0</v>
      </c>
      <c r="X173" s="80">
        <v>2</v>
      </c>
      <c r="Y173" s="11" t="str">
        <f ca="1">IF(ISBLANK(BudgetsTable[[#This Row],[budg_seq_yr]]),"FY"&amp;fiscalyear,"FY"&amp;fiscalyear-1+BudgetsTable[[#This Row],[budg_seq_yr]])</f>
        <v>FY19</v>
      </c>
      <c r="Z173" s="81">
        <v>121439</v>
      </c>
      <c r="AA173" s="80" t="s">
        <v>222</v>
      </c>
      <c r="AB173" s="80" t="s">
        <v>405</v>
      </c>
      <c r="AC173" s="80" t="s">
        <v>1132</v>
      </c>
    </row>
    <row r="174" spans="1:29" x14ac:dyDescent="0.4">
      <c r="A174" s="10" t="s">
        <v>1127</v>
      </c>
      <c r="B174" s="78" t="s">
        <v>96</v>
      </c>
      <c r="C174" s="78">
        <f>C173+(BudgetsTable[[#This Row],[lead]]&lt;&gt;K173)</f>
        <v>39</v>
      </c>
      <c r="D174" s="78">
        <f>D173*(BudgetsTable[[#This Row],[lead]]=K173)+(BudgetsTable[[#This Row],[prop_id]]&lt;&gt;A173)</f>
        <v>1</v>
      </c>
      <c r="E174" s="79">
        <v>42576.672222222223</v>
      </c>
      <c r="F174" s="80" t="s">
        <v>975</v>
      </c>
      <c r="G174" s="80" t="s">
        <v>222</v>
      </c>
      <c r="H174" s="80" t="s">
        <v>405</v>
      </c>
      <c r="I174" s="78" t="s">
        <v>406</v>
      </c>
      <c r="J174" s="78" t="s">
        <v>13</v>
      </c>
      <c r="K174" s="80" t="s">
        <v>1127</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80" t="s">
        <v>13</v>
      </c>
      <c r="O174" s="7" t="str">
        <f>IF(BudgetsTable[[#This Row],[pi_last_name]]=" ","",HYPERLINK("mailto:"&amp;BudgetsTable[[#This Row],[pi_email]]&amp;"&amp;subject=Your NSF Proposal:  "&amp;BudgetsTable[[#This Row],[prop_id]],BudgetsTable[[#This Row],[pi_email]]))</f>
        <v/>
      </c>
      <c r="P174" s="80" t="s">
        <v>13</v>
      </c>
      <c r="Q174" s="80">
        <v>1</v>
      </c>
      <c r="R174" s="80">
        <v>2</v>
      </c>
      <c r="S174" s="81">
        <v>0</v>
      </c>
      <c r="T174" s="81">
        <v>7500</v>
      </c>
      <c r="U174" s="81">
        <v>0</v>
      </c>
      <c r="V174" s="82">
        <v>102616</v>
      </c>
      <c r="W174" s="80">
        <v>0</v>
      </c>
      <c r="X174" s="80">
        <v>3</v>
      </c>
      <c r="Y174" s="11" t="str">
        <f ca="1">IF(ISBLANK(BudgetsTable[[#This Row],[budg_seq_yr]]),"FY"&amp;fiscalyear,"FY"&amp;fiscalyear-1+BudgetsTable[[#This Row],[budg_seq_yr]])</f>
        <v>FY20</v>
      </c>
      <c r="Z174" s="81">
        <v>102616</v>
      </c>
      <c r="AA174" s="80" t="s">
        <v>222</v>
      </c>
      <c r="AB174" s="80" t="s">
        <v>405</v>
      </c>
      <c r="AC174" s="80" t="s">
        <v>1132</v>
      </c>
    </row>
    <row r="175" spans="1:29" x14ac:dyDescent="0.4">
      <c r="A175" s="10" t="s">
        <v>1127</v>
      </c>
      <c r="B175" s="78" t="s">
        <v>96</v>
      </c>
      <c r="C175" s="78">
        <f>C174+(BudgetsTable[[#This Row],[lead]]&lt;&gt;K174)</f>
        <v>39</v>
      </c>
      <c r="D175" s="78">
        <f>D174*(BudgetsTable[[#This Row],[lead]]=K174)+(BudgetsTable[[#This Row],[prop_id]]&lt;&gt;A174)</f>
        <v>1</v>
      </c>
      <c r="E175" s="79">
        <v>42576.672222222223</v>
      </c>
      <c r="F175" s="80" t="s">
        <v>975</v>
      </c>
      <c r="G175" s="80" t="s">
        <v>222</v>
      </c>
      <c r="H175" s="80" t="s">
        <v>405</v>
      </c>
      <c r="I175" s="78" t="s">
        <v>406</v>
      </c>
      <c r="J175" s="78" t="s">
        <v>13</v>
      </c>
      <c r="K175" s="80" t="s">
        <v>1127</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80" t="s">
        <v>13</v>
      </c>
      <c r="O175" s="7" t="str">
        <f>IF(BudgetsTable[[#This Row],[pi_last_name]]=" ","",HYPERLINK("mailto:"&amp;BudgetsTable[[#This Row],[pi_email]]&amp;"&amp;subject=Your NSF Proposal:  "&amp;BudgetsTable[[#This Row],[prop_id]],BudgetsTable[[#This Row],[pi_email]]))</f>
        <v/>
      </c>
      <c r="P175" s="80" t="s">
        <v>13</v>
      </c>
      <c r="Q175" s="80">
        <v>1</v>
      </c>
      <c r="R175" s="80">
        <v>2</v>
      </c>
      <c r="S175" s="81">
        <v>0</v>
      </c>
      <c r="T175" s="81">
        <v>7500</v>
      </c>
      <c r="U175" s="81">
        <v>5000</v>
      </c>
      <c r="V175" s="82">
        <v>121022</v>
      </c>
      <c r="W175" s="80">
        <v>0</v>
      </c>
      <c r="X175" s="80">
        <v>4</v>
      </c>
      <c r="Y175" s="11" t="str">
        <f ca="1">IF(ISBLANK(BudgetsTable[[#This Row],[budg_seq_yr]]),"FY"&amp;fiscalyear,"FY"&amp;fiscalyear-1+BudgetsTable[[#This Row],[budg_seq_yr]])</f>
        <v>FY21</v>
      </c>
      <c r="Z175" s="81">
        <v>121022</v>
      </c>
      <c r="AA175" s="80" t="s">
        <v>222</v>
      </c>
      <c r="AB175" s="80" t="s">
        <v>405</v>
      </c>
      <c r="AC175" s="80" t="s">
        <v>1132</v>
      </c>
    </row>
    <row r="176" spans="1:29" x14ac:dyDescent="0.4">
      <c r="A176" s="10" t="s">
        <v>1127</v>
      </c>
      <c r="B176" s="78" t="s">
        <v>96</v>
      </c>
      <c r="C176" s="78">
        <f>C175+(BudgetsTable[[#This Row],[lead]]&lt;&gt;K175)</f>
        <v>39</v>
      </c>
      <c r="D176" s="78">
        <f>D175*(BudgetsTable[[#This Row],[lead]]=K175)+(BudgetsTable[[#This Row],[prop_id]]&lt;&gt;A175)</f>
        <v>1</v>
      </c>
      <c r="E176" s="79">
        <v>42576.672222222223</v>
      </c>
      <c r="F176" s="80" t="s">
        <v>975</v>
      </c>
      <c r="G176" s="80" t="s">
        <v>222</v>
      </c>
      <c r="H176" s="80" t="s">
        <v>405</v>
      </c>
      <c r="I176" s="78" t="s">
        <v>406</v>
      </c>
      <c r="J176" s="78" t="s">
        <v>13</v>
      </c>
      <c r="K176" s="80" t="s">
        <v>1127</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80" t="s">
        <v>13</v>
      </c>
      <c r="O176" s="7" t="str">
        <f>IF(BudgetsTable[[#This Row],[pi_last_name]]=" ","",HYPERLINK("mailto:"&amp;BudgetsTable[[#This Row],[pi_email]]&amp;"&amp;subject=Your NSF Proposal:  "&amp;BudgetsTable[[#This Row],[prop_id]],BudgetsTable[[#This Row],[pi_email]]))</f>
        <v/>
      </c>
      <c r="P176" s="80" t="s">
        <v>13</v>
      </c>
      <c r="Q176" s="80">
        <v>1</v>
      </c>
      <c r="R176" s="80">
        <v>2</v>
      </c>
      <c r="S176" s="81">
        <v>0</v>
      </c>
      <c r="T176" s="81">
        <v>7500</v>
      </c>
      <c r="U176" s="81">
        <v>0</v>
      </c>
      <c r="V176" s="82">
        <v>104660</v>
      </c>
      <c r="W176" s="80">
        <v>0</v>
      </c>
      <c r="X176" s="80">
        <v>5</v>
      </c>
      <c r="Y176" s="11" t="str">
        <f ca="1">IF(ISBLANK(BudgetsTable[[#This Row],[budg_seq_yr]]),"FY"&amp;fiscalyear,"FY"&amp;fiscalyear-1+BudgetsTable[[#This Row],[budg_seq_yr]])</f>
        <v>FY22</v>
      </c>
      <c r="Z176" s="81">
        <v>104660</v>
      </c>
      <c r="AA176" s="80" t="s">
        <v>222</v>
      </c>
      <c r="AB176" s="80" t="s">
        <v>405</v>
      </c>
      <c r="AC176" s="80" t="s">
        <v>1132</v>
      </c>
    </row>
    <row r="177" spans="1:29" x14ac:dyDescent="0.4">
      <c r="A177" s="10" t="s">
        <v>1138</v>
      </c>
      <c r="B177" s="78" t="s">
        <v>96</v>
      </c>
      <c r="C177" s="78">
        <f>C176+(BudgetsTable[[#This Row],[lead]]&lt;&gt;K176)</f>
        <v>40</v>
      </c>
      <c r="D177" s="78">
        <f>D176*(BudgetsTable[[#This Row],[lead]]=K176)+(BudgetsTable[[#This Row],[prop_id]]&lt;&gt;A176)</f>
        <v>1</v>
      </c>
      <c r="E177" s="79">
        <v>42807.46597222222</v>
      </c>
      <c r="F177" s="80" t="s">
        <v>1136</v>
      </c>
      <c r="G177" s="80" t="s">
        <v>222</v>
      </c>
      <c r="H177" s="80" t="s">
        <v>1137</v>
      </c>
      <c r="I177" s="78" t="s">
        <v>451</v>
      </c>
      <c r="J177" s="78" t="s">
        <v>1141</v>
      </c>
      <c r="K177" s="80" t="s">
        <v>1138</v>
      </c>
      <c r="L177" s="7" t="str">
        <f>IF(BudgetsTable[[#This Row],[pi_last_name]]=" ","",HYPERLINK("https://www.ejacket.nsf.gov/ej/showProposal.do?Continue=Y&amp;ID="&amp;BudgetsTable[[#This Row],[prop_id]],BudgetsTable[[#This Row],[prop_id]]))</f>
        <v>1740547</v>
      </c>
      <c r="M177" s="15" t="str">
        <f>IF(BudgetsTable[[#This Row],[pi_last_name]]=" ","",HYPERLINK("https://www.ejacket.nsf.gov/ej/processReviewAnalysis.do?dispatch=add&amp;uniqId="&amp;BudgetsTable[[#This Row],[prop_id]]&amp;PO_id,"&gt;ra"))</f>
        <v>&gt;ra</v>
      </c>
      <c r="N177" s="80" t="s">
        <v>1139</v>
      </c>
      <c r="O177" s="7" t="str">
        <f>IF(BudgetsTable[[#This Row],[pi_last_name]]=" ","",HYPERLINK("mailto:"&amp;BudgetsTable[[#This Row],[pi_email]]&amp;"&amp;subject=Your NSF Proposal:  "&amp;BudgetsTable[[#This Row],[prop_id]],BudgetsTable[[#This Row],[pi_email]]))</f>
        <v>mshub@ccny.cuny.edu</v>
      </c>
      <c r="P177" s="80" t="s">
        <v>1140</v>
      </c>
      <c r="Q177" s="80"/>
      <c r="R177" s="80"/>
      <c r="S177" s="81"/>
      <c r="T177" s="81"/>
      <c r="U177" s="81"/>
      <c r="V177" s="82"/>
      <c r="W177" s="80">
        <v>0</v>
      </c>
      <c r="X177" s="80"/>
      <c r="Y177" s="11" t="str">
        <f ca="1">IF(ISBLANK(BudgetsTable[[#This Row],[budg_seq_yr]]),"FY"&amp;fiscalyear,"FY"&amp;fiscalyear-1+BudgetsTable[[#This Row],[budg_seq_yr]])</f>
        <v>FY18</v>
      </c>
      <c r="Z177" s="81">
        <v>1485814</v>
      </c>
      <c r="AA177" s="80" t="s">
        <v>222</v>
      </c>
      <c r="AB177" s="80" t="s">
        <v>1137</v>
      </c>
      <c r="AC177" s="80" t="s">
        <v>1142</v>
      </c>
    </row>
    <row r="178" spans="1:29" x14ac:dyDescent="0.4">
      <c r="A178" s="10" t="s">
        <v>1138</v>
      </c>
      <c r="B178" s="78" t="s">
        <v>96</v>
      </c>
      <c r="C178" s="78">
        <f>C177+(BudgetsTable[[#This Row],[lead]]&lt;&gt;K177)</f>
        <v>40</v>
      </c>
      <c r="D178" s="78">
        <f>D177*(BudgetsTable[[#This Row],[lead]]=K177)+(BudgetsTable[[#This Row],[prop_id]]&lt;&gt;A177)</f>
        <v>1</v>
      </c>
      <c r="E178" s="79">
        <v>42807.46597222222</v>
      </c>
      <c r="F178" s="80" t="s">
        <v>1136</v>
      </c>
      <c r="G178" s="80" t="s">
        <v>222</v>
      </c>
      <c r="H178" s="80" t="s">
        <v>1137</v>
      </c>
      <c r="I178" s="78" t="s">
        <v>451</v>
      </c>
      <c r="J178" s="78" t="s">
        <v>13</v>
      </c>
      <c r="K178" s="80" t="s">
        <v>1138</v>
      </c>
      <c r="L178" s="7" t="str">
        <f>IF(BudgetsTable[[#This Row],[pi_last_name]]=" ","",HYPERLINK("https://www.ejacket.nsf.gov/ej/showProposal.do?Continue=Y&amp;ID="&amp;BudgetsTable[[#This Row],[prop_id]],BudgetsTable[[#This Row],[prop_id]]))</f>
        <v/>
      </c>
      <c r="M178" s="15" t="str">
        <f>IF(BudgetsTable[[#This Row],[pi_last_name]]=" ","",HYPERLINK("https://www.ejacket.nsf.gov/ej/processReviewAnalysis.do?dispatch=add&amp;uniqId="&amp;BudgetsTable[[#This Row],[prop_id]]&amp;PO_id,"&gt;ra"))</f>
        <v/>
      </c>
      <c r="N178" s="80" t="s">
        <v>13</v>
      </c>
      <c r="O178" s="7" t="str">
        <f>IF(BudgetsTable[[#This Row],[pi_last_name]]=" ","",HYPERLINK("mailto:"&amp;BudgetsTable[[#This Row],[pi_email]]&amp;"&amp;subject=Your NSF Proposal:  "&amp;BudgetsTable[[#This Row],[prop_id]],BudgetsTable[[#This Row],[pi_email]]))</f>
        <v/>
      </c>
      <c r="P178" s="80" t="s">
        <v>13</v>
      </c>
      <c r="Q178" s="80">
        <v>5</v>
      </c>
      <c r="R178" s="80">
        <v>0.65</v>
      </c>
      <c r="S178" s="81">
        <v>65000</v>
      </c>
      <c r="T178" s="81">
        <v>0</v>
      </c>
      <c r="U178" s="81">
        <v>0</v>
      </c>
      <c r="V178" s="82">
        <v>491333</v>
      </c>
      <c r="W178" s="80">
        <v>0</v>
      </c>
      <c r="X178" s="80">
        <v>1</v>
      </c>
      <c r="Y178" s="11" t="str">
        <f ca="1">IF(ISBLANK(BudgetsTable[[#This Row],[budg_seq_yr]]),"FY"&amp;fiscalyear,"FY"&amp;fiscalyear-1+BudgetsTable[[#This Row],[budg_seq_yr]])</f>
        <v>FY18</v>
      </c>
      <c r="Z178" s="81">
        <v>491333</v>
      </c>
      <c r="AA178" s="80" t="s">
        <v>222</v>
      </c>
      <c r="AB178" s="80" t="s">
        <v>1137</v>
      </c>
      <c r="AC178" s="80" t="s">
        <v>1142</v>
      </c>
    </row>
    <row r="179" spans="1:29" x14ac:dyDescent="0.4">
      <c r="A179" s="10" t="s">
        <v>1138</v>
      </c>
      <c r="B179" s="78" t="s">
        <v>96</v>
      </c>
      <c r="C179" s="78">
        <f>C178+(BudgetsTable[[#This Row],[lead]]&lt;&gt;K178)</f>
        <v>40</v>
      </c>
      <c r="D179" s="78">
        <f>D178*(BudgetsTable[[#This Row],[lead]]=K178)+(BudgetsTable[[#This Row],[prop_id]]&lt;&gt;A178)</f>
        <v>1</v>
      </c>
      <c r="E179" s="79">
        <v>42807.46597222222</v>
      </c>
      <c r="F179" s="80" t="s">
        <v>1136</v>
      </c>
      <c r="G179" s="80" t="s">
        <v>222</v>
      </c>
      <c r="H179" s="80" t="s">
        <v>1137</v>
      </c>
      <c r="I179" s="78" t="s">
        <v>451</v>
      </c>
      <c r="J179" s="78" t="s">
        <v>13</v>
      </c>
      <c r="K179" s="80" t="s">
        <v>1138</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80" t="s">
        <v>13</v>
      </c>
      <c r="O179" s="7" t="str">
        <f>IF(BudgetsTable[[#This Row],[pi_last_name]]=" ","",HYPERLINK("mailto:"&amp;BudgetsTable[[#This Row],[pi_email]]&amp;"&amp;subject=Your NSF Proposal:  "&amp;BudgetsTable[[#This Row],[prop_id]],BudgetsTable[[#This Row],[pi_email]]))</f>
        <v/>
      </c>
      <c r="P179" s="80" t="s">
        <v>13</v>
      </c>
      <c r="Q179" s="80">
        <v>5</v>
      </c>
      <c r="R179" s="80">
        <v>0.65</v>
      </c>
      <c r="S179" s="81">
        <v>66300</v>
      </c>
      <c r="T179" s="81">
        <v>0</v>
      </c>
      <c r="U179" s="81">
        <v>0</v>
      </c>
      <c r="V179" s="82">
        <v>495404</v>
      </c>
      <c r="W179" s="80">
        <v>0</v>
      </c>
      <c r="X179" s="80">
        <v>2</v>
      </c>
      <c r="Y179" s="11" t="str">
        <f ca="1">IF(ISBLANK(BudgetsTable[[#This Row],[budg_seq_yr]]),"FY"&amp;fiscalyear,"FY"&amp;fiscalyear-1+BudgetsTable[[#This Row],[budg_seq_yr]])</f>
        <v>FY19</v>
      </c>
      <c r="Z179" s="81">
        <v>495404</v>
      </c>
      <c r="AA179" s="80" t="s">
        <v>222</v>
      </c>
      <c r="AB179" s="80" t="s">
        <v>1137</v>
      </c>
      <c r="AC179" s="80" t="s">
        <v>1142</v>
      </c>
    </row>
    <row r="180" spans="1:29" x14ac:dyDescent="0.4">
      <c r="A180" s="10" t="s">
        <v>1138</v>
      </c>
      <c r="B180" s="78" t="s">
        <v>96</v>
      </c>
      <c r="C180" s="78">
        <f>C179+(BudgetsTable[[#This Row],[lead]]&lt;&gt;K179)</f>
        <v>40</v>
      </c>
      <c r="D180" s="78">
        <f>D179*(BudgetsTable[[#This Row],[lead]]=K179)+(BudgetsTable[[#This Row],[prop_id]]&lt;&gt;A179)</f>
        <v>1</v>
      </c>
      <c r="E180" s="79">
        <v>42807.46597222222</v>
      </c>
      <c r="F180" s="80" t="s">
        <v>1136</v>
      </c>
      <c r="G180" s="80" t="s">
        <v>222</v>
      </c>
      <c r="H180" s="80" t="s">
        <v>1137</v>
      </c>
      <c r="I180" s="78" t="s">
        <v>451</v>
      </c>
      <c r="J180" s="78" t="s">
        <v>13</v>
      </c>
      <c r="K180" s="80" t="s">
        <v>1138</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80" t="s">
        <v>13</v>
      </c>
      <c r="O180" s="7" t="str">
        <f>IF(BudgetsTable[[#This Row],[pi_last_name]]=" ","",HYPERLINK("mailto:"&amp;BudgetsTable[[#This Row],[pi_email]]&amp;"&amp;subject=Your NSF Proposal:  "&amp;BudgetsTable[[#This Row],[prop_id]],BudgetsTable[[#This Row],[pi_email]]))</f>
        <v/>
      </c>
      <c r="P180" s="80" t="s">
        <v>13</v>
      </c>
      <c r="Q180" s="80">
        <v>5</v>
      </c>
      <c r="R180" s="80">
        <v>0.65</v>
      </c>
      <c r="S180" s="81">
        <v>67626</v>
      </c>
      <c r="T180" s="81">
        <v>0</v>
      </c>
      <c r="U180" s="81">
        <v>0</v>
      </c>
      <c r="V180" s="82">
        <v>499077</v>
      </c>
      <c r="W180" s="80">
        <v>0</v>
      </c>
      <c r="X180" s="80">
        <v>3</v>
      </c>
      <c r="Y180" s="11" t="str">
        <f ca="1">IF(ISBLANK(BudgetsTable[[#This Row],[budg_seq_yr]]),"FY"&amp;fiscalyear,"FY"&amp;fiscalyear-1+BudgetsTable[[#This Row],[budg_seq_yr]])</f>
        <v>FY20</v>
      </c>
      <c r="Z180" s="81">
        <v>499077</v>
      </c>
      <c r="AA180" s="80" t="s">
        <v>222</v>
      </c>
      <c r="AB180" s="80" t="s">
        <v>1137</v>
      </c>
      <c r="AC180" s="80" t="s">
        <v>1142</v>
      </c>
    </row>
    <row r="181" spans="1:29" x14ac:dyDescent="0.4">
      <c r="A181" s="10" t="s">
        <v>1144</v>
      </c>
      <c r="B181" s="78" t="s">
        <v>1145</v>
      </c>
      <c r="C181" s="78">
        <f>C180+(BudgetsTable[[#This Row],[lead]]&lt;&gt;K180)</f>
        <v>41</v>
      </c>
      <c r="D181" s="78">
        <f>D180*(BudgetsTable[[#This Row],[lead]]=K180)+(BudgetsTable[[#This Row],[prop_id]]&lt;&gt;A180)</f>
        <v>1</v>
      </c>
      <c r="E181" s="79">
        <v>42807.553472222222</v>
      </c>
      <c r="F181" s="80" t="s">
        <v>1136</v>
      </c>
      <c r="G181" s="80" t="s">
        <v>222</v>
      </c>
      <c r="H181" s="80" t="s">
        <v>1137</v>
      </c>
      <c r="I181" s="78" t="s">
        <v>406</v>
      </c>
      <c r="J181" s="78" t="s">
        <v>1148</v>
      </c>
      <c r="K181" s="80" t="s">
        <v>1144</v>
      </c>
      <c r="L181" s="7" t="str">
        <f>IF(BudgetsTable[[#This Row],[pi_last_name]]=" ","",HYPERLINK("https://www.ejacket.nsf.gov/ej/showProposal.do?Continue=Y&amp;ID="&amp;BudgetsTable[[#This Row],[prop_id]],BudgetsTable[[#This Row],[prop_id]]))</f>
        <v>1740562</v>
      </c>
      <c r="M181" s="15" t="str">
        <f>IF(BudgetsTable[[#This Row],[pi_last_name]]=" ","",HYPERLINK("https://www.ejacket.nsf.gov/ej/processReviewAnalysis.do?dispatch=add&amp;uniqId="&amp;BudgetsTable[[#This Row],[prop_id]]&amp;PO_id,"&gt;ra"))</f>
        <v>&gt;ra</v>
      </c>
      <c r="N181" s="80" t="s">
        <v>1146</v>
      </c>
      <c r="O181" s="7" t="str">
        <f>IF(BudgetsTable[[#This Row],[pi_last_name]]=" ","",HYPERLINK("mailto:"&amp;BudgetsTable[[#This Row],[pi_email]]&amp;"&amp;subject=Your NSF Proposal:  "&amp;BudgetsTable[[#This Row],[prop_id]],BudgetsTable[[#This Row],[pi_email]]))</f>
        <v>ccraini1@jhu.edu</v>
      </c>
      <c r="P181" s="80" t="s">
        <v>495</v>
      </c>
      <c r="Q181" s="80"/>
      <c r="R181" s="80"/>
      <c r="S181" s="81"/>
      <c r="T181" s="81"/>
      <c r="U181" s="81"/>
      <c r="V181" s="82"/>
      <c r="W181" s="80">
        <v>0</v>
      </c>
      <c r="X181" s="80"/>
      <c r="Y181" s="11" t="str">
        <f ca="1">IF(ISBLANK(BudgetsTable[[#This Row],[budg_seq_yr]]),"FY"&amp;fiscalyear,"FY"&amp;fiscalyear-1+BudgetsTable[[#This Row],[budg_seq_yr]])</f>
        <v>FY18</v>
      </c>
      <c r="Z181" s="81">
        <v>748969</v>
      </c>
      <c r="AA181" s="80" t="s">
        <v>222</v>
      </c>
      <c r="AB181" s="80" t="s">
        <v>1137</v>
      </c>
      <c r="AC181" s="80" t="s">
        <v>1142</v>
      </c>
    </row>
    <row r="182" spans="1:29" x14ac:dyDescent="0.4">
      <c r="A182" s="10" t="s">
        <v>1144</v>
      </c>
      <c r="B182" s="78" t="s">
        <v>1145</v>
      </c>
      <c r="C182" s="78">
        <f>C181+(BudgetsTable[[#This Row],[lead]]&lt;&gt;K181)</f>
        <v>41</v>
      </c>
      <c r="D182" s="78">
        <f>D181*(BudgetsTable[[#This Row],[lead]]=K181)+(BudgetsTable[[#This Row],[prop_id]]&lt;&gt;A181)</f>
        <v>1</v>
      </c>
      <c r="E182" s="79">
        <v>42807.553472222222</v>
      </c>
      <c r="F182" s="80" t="s">
        <v>1136</v>
      </c>
      <c r="G182" s="80" t="s">
        <v>222</v>
      </c>
      <c r="H182" s="80" t="s">
        <v>1137</v>
      </c>
      <c r="I182" s="78" t="s">
        <v>406</v>
      </c>
      <c r="J182" s="78" t="s">
        <v>13</v>
      </c>
      <c r="K182" s="80" t="s">
        <v>1144</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80" t="s">
        <v>13</v>
      </c>
      <c r="O182" s="7" t="str">
        <f>IF(BudgetsTable[[#This Row],[pi_last_name]]=" ","",HYPERLINK("mailto:"&amp;BudgetsTable[[#This Row],[pi_email]]&amp;"&amp;subject=Your NSF Proposal:  "&amp;BudgetsTable[[#This Row],[prop_id]],BudgetsTable[[#This Row],[pi_email]]))</f>
        <v/>
      </c>
      <c r="P182" s="80" t="s">
        <v>13</v>
      </c>
      <c r="Q182" s="80">
        <v>2</v>
      </c>
      <c r="R182" s="80">
        <v>0</v>
      </c>
      <c r="S182" s="81">
        <v>55000</v>
      </c>
      <c r="T182" s="81">
        <v>0</v>
      </c>
      <c r="U182" s="81">
        <v>0</v>
      </c>
      <c r="V182" s="82">
        <v>249348</v>
      </c>
      <c r="W182" s="80">
        <v>0</v>
      </c>
      <c r="X182" s="80">
        <v>1</v>
      </c>
      <c r="Y182" s="11" t="str">
        <f ca="1">IF(ISBLANK(BudgetsTable[[#This Row],[budg_seq_yr]]),"FY"&amp;fiscalyear,"FY"&amp;fiscalyear-1+BudgetsTable[[#This Row],[budg_seq_yr]])</f>
        <v>FY18</v>
      </c>
      <c r="Z182" s="81">
        <v>249348</v>
      </c>
      <c r="AA182" s="80" t="s">
        <v>222</v>
      </c>
      <c r="AB182" s="80" t="s">
        <v>1137</v>
      </c>
      <c r="AC182" s="80" t="s">
        <v>1142</v>
      </c>
    </row>
    <row r="183" spans="1:29" x14ac:dyDescent="0.4">
      <c r="A183" s="10" t="s">
        <v>1144</v>
      </c>
      <c r="B183" s="78" t="s">
        <v>1145</v>
      </c>
      <c r="C183" s="78">
        <f>C182+(BudgetsTable[[#This Row],[lead]]&lt;&gt;K182)</f>
        <v>41</v>
      </c>
      <c r="D183" s="78">
        <f>D182*(BudgetsTable[[#This Row],[lead]]=K182)+(BudgetsTable[[#This Row],[prop_id]]&lt;&gt;A182)</f>
        <v>1</v>
      </c>
      <c r="E183" s="79">
        <v>42807.553472222222</v>
      </c>
      <c r="F183" s="80" t="s">
        <v>1136</v>
      </c>
      <c r="G183" s="80" t="s">
        <v>222</v>
      </c>
      <c r="H183" s="80" t="s">
        <v>1137</v>
      </c>
      <c r="I183" s="78" t="s">
        <v>406</v>
      </c>
      <c r="J183" s="78" t="s">
        <v>13</v>
      </c>
      <c r="K183" s="80" t="s">
        <v>1144</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80" t="s">
        <v>13</v>
      </c>
      <c r="O183" s="7" t="str">
        <f>IF(BudgetsTable[[#This Row],[pi_last_name]]=" ","",HYPERLINK("mailto:"&amp;BudgetsTable[[#This Row],[pi_email]]&amp;"&amp;subject=Your NSF Proposal:  "&amp;BudgetsTable[[#This Row],[prop_id]],BudgetsTable[[#This Row],[pi_email]]))</f>
        <v/>
      </c>
      <c r="P183" s="80" t="s">
        <v>13</v>
      </c>
      <c r="Q183" s="80">
        <v>2</v>
      </c>
      <c r="R183" s="80">
        <v>0</v>
      </c>
      <c r="S183" s="81">
        <v>55000</v>
      </c>
      <c r="T183" s="81">
        <v>0</v>
      </c>
      <c r="U183" s="81">
        <v>0</v>
      </c>
      <c r="V183" s="82">
        <v>249740</v>
      </c>
      <c r="W183" s="80">
        <v>0</v>
      </c>
      <c r="X183" s="80">
        <v>2</v>
      </c>
      <c r="Y183" s="11" t="str">
        <f ca="1">IF(ISBLANK(BudgetsTable[[#This Row],[budg_seq_yr]]),"FY"&amp;fiscalyear,"FY"&amp;fiscalyear-1+BudgetsTable[[#This Row],[budg_seq_yr]])</f>
        <v>FY19</v>
      </c>
      <c r="Z183" s="81">
        <v>249740</v>
      </c>
      <c r="AA183" s="80" t="s">
        <v>222</v>
      </c>
      <c r="AB183" s="80" t="s">
        <v>1137</v>
      </c>
      <c r="AC183" s="80" t="s">
        <v>1142</v>
      </c>
    </row>
    <row r="184" spans="1:29" x14ac:dyDescent="0.4">
      <c r="A184" s="10" t="s">
        <v>1144</v>
      </c>
      <c r="B184" s="78" t="s">
        <v>1145</v>
      </c>
      <c r="C184" s="78">
        <f>C183+(BudgetsTable[[#This Row],[lead]]&lt;&gt;K183)</f>
        <v>41</v>
      </c>
      <c r="D184" s="78">
        <f>D183*(BudgetsTable[[#This Row],[lead]]=K183)+(BudgetsTable[[#This Row],[prop_id]]&lt;&gt;A183)</f>
        <v>1</v>
      </c>
      <c r="E184" s="79">
        <v>42807.553472222222</v>
      </c>
      <c r="F184" s="80" t="s">
        <v>1136</v>
      </c>
      <c r="G184" s="80" t="s">
        <v>222</v>
      </c>
      <c r="H184" s="80" t="s">
        <v>1137</v>
      </c>
      <c r="I184" s="78" t="s">
        <v>406</v>
      </c>
      <c r="J184" s="78" t="s">
        <v>13</v>
      </c>
      <c r="K184" s="80" t="s">
        <v>1144</v>
      </c>
      <c r="L184" s="7" t="str">
        <f>IF(BudgetsTable[[#This Row],[pi_last_name]]=" ","",HYPERLINK("https://www.ejacket.nsf.gov/ej/showProposal.do?Continue=Y&amp;ID="&amp;BudgetsTable[[#This Row],[prop_id]],BudgetsTable[[#This Row],[prop_id]]))</f>
        <v/>
      </c>
      <c r="M184" s="15" t="str">
        <f>IF(BudgetsTable[[#This Row],[pi_last_name]]=" ","",HYPERLINK("https://www.ejacket.nsf.gov/ej/processReviewAnalysis.do?dispatch=add&amp;uniqId="&amp;BudgetsTable[[#This Row],[prop_id]]&amp;PO_id,"&gt;ra"))</f>
        <v/>
      </c>
      <c r="N184" s="80" t="s">
        <v>13</v>
      </c>
      <c r="O184" s="7" t="str">
        <f>IF(BudgetsTable[[#This Row],[pi_last_name]]=" ","",HYPERLINK("mailto:"&amp;BudgetsTable[[#This Row],[pi_email]]&amp;"&amp;subject=Your NSF Proposal:  "&amp;BudgetsTable[[#This Row],[prop_id]],BudgetsTable[[#This Row],[pi_email]]))</f>
        <v/>
      </c>
      <c r="P184" s="80" t="s">
        <v>13</v>
      </c>
      <c r="Q184" s="80">
        <v>2</v>
      </c>
      <c r="R184" s="80">
        <v>0</v>
      </c>
      <c r="S184" s="81">
        <v>55000</v>
      </c>
      <c r="T184" s="81">
        <v>0</v>
      </c>
      <c r="U184" s="81">
        <v>0</v>
      </c>
      <c r="V184" s="82">
        <v>249881</v>
      </c>
      <c r="W184" s="80">
        <v>0</v>
      </c>
      <c r="X184" s="80">
        <v>3</v>
      </c>
      <c r="Y184" s="11" t="str">
        <f ca="1">IF(ISBLANK(BudgetsTable[[#This Row],[budg_seq_yr]]),"FY"&amp;fiscalyear,"FY"&amp;fiscalyear-1+BudgetsTable[[#This Row],[budg_seq_yr]])</f>
        <v>FY20</v>
      </c>
      <c r="Z184" s="81">
        <v>249881</v>
      </c>
      <c r="AA184" s="80" t="s">
        <v>222</v>
      </c>
      <c r="AB184" s="80" t="s">
        <v>1137</v>
      </c>
      <c r="AC184" s="80" t="s">
        <v>1142</v>
      </c>
    </row>
    <row r="185" spans="1:29" x14ac:dyDescent="0.4">
      <c r="A185" s="10" t="s">
        <v>1151</v>
      </c>
      <c r="B185" s="78" t="s">
        <v>965</v>
      </c>
      <c r="C185" s="78">
        <f>C184+(BudgetsTable[[#This Row],[lead]]&lt;&gt;K184)</f>
        <v>41</v>
      </c>
      <c r="D185" s="78">
        <f>D184*(BudgetsTable[[#This Row],[lead]]=K184)+(BudgetsTable[[#This Row],[prop_id]]&lt;&gt;A184)</f>
        <v>2</v>
      </c>
      <c r="E185" s="79">
        <v>42807.668055555558</v>
      </c>
      <c r="F185" s="80" t="s">
        <v>1136</v>
      </c>
      <c r="G185" s="80" t="s">
        <v>222</v>
      </c>
      <c r="H185" s="80" t="s">
        <v>1137</v>
      </c>
      <c r="I185" s="78" t="s">
        <v>406</v>
      </c>
      <c r="J185" s="78" t="s">
        <v>1155</v>
      </c>
      <c r="K185" s="80" t="s">
        <v>1144</v>
      </c>
      <c r="L185" s="7" t="str">
        <f>IF(BudgetsTable[[#This Row],[pi_last_name]]=" ","",HYPERLINK("https://www.ejacket.nsf.gov/ej/showProposal.do?Continue=Y&amp;ID="&amp;BudgetsTable[[#This Row],[prop_id]],BudgetsTable[[#This Row],[prop_id]]))</f>
        <v>1740596</v>
      </c>
      <c r="M185" s="15" t="str">
        <f>IF(BudgetsTable[[#This Row],[pi_last_name]]=" ","",HYPERLINK("https://www.ejacket.nsf.gov/ej/processReviewAnalysis.do?dispatch=add&amp;uniqId="&amp;BudgetsTable[[#This Row],[prop_id]]&amp;PO_id,"&gt;ra"))</f>
        <v>&gt;ra</v>
      </c>
      <c r="N185" s="80" t="s">
        <v>1152</v>
      </c>
      <c r="O185" s="7" t="str">
        <f>IF(BudgetsTable[[#This Row],[pi_last_name]]=" ","",HYPERLINK("mailto:"&amp;BudgetsTable[[#This Row],[pi_email]]&amp;"&amp;subject=Your NSF Proposal:  "&amp;BudgetsTable[[#This Row],[prop_id]],BudgetsTable[[#This Row],[pi_email]]))</f>
        <v>ekaterina.smirnova@mso.umt.edu</v>
      </c>
      <c r="P185" s="80" t="s">
        <v>1154</v>
      </c>
      <c r="Q185" s="80"/>
      <c r="R185" s="80"/>
      <c r="S185" s="81"/>
      <c r="T185" s="81"/>
      <c r="U185" s="81"/>
      <c r="V185" s="82"/>
      <c r="W185" s="80">
        <v>0</v>
      </c>
      <c r="X185" s="80"/>
      <c r="Y185" s="11" t="str">
        <f ca="1">IF(ISBLANK(BudgetsTable[[#This Row],[budg_seq_yr]]),"FY"&amp;fiscalyear,"FY"&amp;fiscalyear-1+BudgetsTable[[#This Row],[budg_seq_yr]])</f>
        <v>FY18</v>
      </c>
      <c r="Z185" s="81">
        <v>374812</v>
      </c>
      <c r="AA185" s="80" t="s">
        <v>222</v>
      </c>
      <c r="AB185" s="80" t="s">
        <v>1137</v>
      </c>
      <c r="AC185" s="80" t="s">
        <v>1156</v>
      </c>
    </row>
    <row r="186" spans="1:29" x14ac:dyDescent="0.4">
      <c r="A186" s="10" t="s">
        <v>1151</v>
      </c>
      <c r="B186" s="78" t="s">
        <v>965</v>
      </c>
      <c r="C186" s="78">
        <f>C185+(BudgetsTable[[#This Row],[lead]]&lt;&gt;K185)</f>
        <v>41</v>
      </c>
      <c r="D186" s="78">
        <f>D185*(BudgetsTable[[#This Row],[lead]]=K185)+(BudgetsTable[[#This Row],[prop_id]]&lt;&gt;A185)</f>
        <v>2</v>
      </c>
      <c r="E186" s="79">
        <v>42807.668055555558</v>
      </c>
      <c r="F186" s="80" t="s">
        <v>1136</v>
      </c>
      <c r="G186" s="80" t="s">
        <v>222</v>
      </c>
      <c r="H186" s="80" t="s">
        <v>1137</v>
      </c>
      <c r="I186" s="78" t="s">
        <v>406</v>
      </c>
      <c r="J186" s="78" t="s">
        <v>13</v>
      </c>
      <c r="K186" s="80" t="s">
        <v>1144</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80" t="s">
        <v>13</v>
      </c>
      <c r="O186" s="7" t="str">
        <f>IF(BudgetsTable[[#This Row],[pi_last_name]]=" ","",HYPERLINK("mailto:"&amp;BudgetsTable[[#This Row],[pi_email]]&amp;"&amp;subject=Your NSF Proposal:  "&amp;BudgetsTable[[#This Row],[prop_id]],BudgetsTable[[#This Row],[pi_email]]))</f>
        <v/>
      </c>
      <c r="P186" s="80" t="s">
        <v>13</v>
      </c>
      <c r="Q186" s="80">
        <v>1</v>
      </c>
      <c r="R186" s="80">
        <v>2</v>
      </c>
      <c r="S186" s="81">
        <v>0</v>
      </c>
      <c r="T186" s="81">
        <v>0</v>
      </c>
      <c r="U186" s="81">
        <v>0</v>
      </c>
      <c r="V186" s="82">
        <v>124943</v>
      </c>
      <c r="W186" s="80">
        <v>0</v>
      </c>
      <c r="X186" s="80">
        <v>1</v>
      </c>
      <c r="Y186" s="11" t="str">
        <f ca="1">IF(ISBLANK(BudgetsTable[[#This Row],[budg_seq_yr]]),"FY"&amp;fiscalyear,"FY"&amp;fiscalyear-1+BudgetsTable[[#This Row],[budg_seq_yr]])</f>
        <v>FY18</v>
      </c>
      <c r="Z186" s="81">
        <v>124943</v>
      </c>
      <c r="AA186" s="80" t="s">
        <v>222</v>
      </c>
      <c r="AB186" s="80" t="s">
        <v>1137</v>
      </c>
      <c r="AC186" s="80" t="s">
        <v>1156</v>
      </c>
    </row>
    <row r="187" spans="1:29" x14ac:dyDescent="0.4">
      <c r="A187" s="10" t="s">
        <v>1151</v>
      </c>
      <c r="B187" s="78" t="s">
        <v>965</v>
      </c>
      <c r="C187" s="78">
        <f>C186+(BudgetsTable[[#This Row],[lead]]&lt;&gt;K186)</f>
        <v>41</v>
      </c>
      <c r="D187" s="78">
        <f>D186*(BudgetsTable[[#This Row],[lead]]=K186)+(BudgetsTable[[#This Row],[prop_id]]&lt;&gt;A186)</f>
        <v>2</v>
      </c>
      <c r="E187" s="79">
        <v>42807.668055555558</v>
      </c>
      <c r="F187" s="80" t="s">
        <v>1136</v>
      </c>
      <c r="G187" s="80" t="s">
        <v>222</v>
      </c>
      <c r="H187" s="80" t="s">
        <v>1137</v>
      </c>
      <c r="I187" s="78" t="s">
        <v>406</v>
      </c>
      <c r="J187" s="78" t="s">
        <v>13</v>
      </c>
      <c r="K187" s="80" t="s">
        <v>1144</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80" t="s">
        <v>13</v>
      </c>
      <c r="O187" s="7" t="str">
        <f>IF(BudgetsTable[[#This Row],[pi_last_name]]=" ","",HYPERLINK("mailto:"&amp;BudgetsTable[[#This Row],[pi_email]]&amp;"&amp;subject=Your NSF Proposal:  "&amp;BudgetsTable[[#This Row],[prop_id]],BudgetsTable[[#This Row],[pi_email]]))</f>
        <v/>
      </c>
      <c r="P187" s="80" t="s">
        <v>13</v>
      </c>
      <c r="Q187" s="80">
        <v>1</v>
      </c>
      <c r="R187" s="80">
        <v>2</v>
      </c>
      <c r="S187" s="81">
        <v>0</v>
      </c>
      <c r="T187" s="81">
        <v>0</v>
      </c>
      <c r="U187" s="81">
        <v>0</v>
      </c>
      <c r="V187" s="82">
        <v>124883</v>
      </c>
      <c r="W187" s="80">
        <v>0</v>
      </c>
      <c r="X187" s="80">
        <v>2</v>
      </c>
      <c r="Y187" s="11" t="str">
        <f ca="1">IF(ISBLANK(BudgetsTable[[#This Row],[budg_seq_yr]]),"FY"&amp;fiscalyear,"FY"&amp;fiscalyear-1+BudgetsTable[[#This Row],[budg_seq_yr]])</f>
        <v>FY19</v>
      </c>
      <c r="Z187" s="81">
        <v>124883</v>
      </c>
      <c r="AA187" s="80" t="s">
        <v>222</v>
      </c>
      <c r="AB187" s="80" t="s">
        <v>1137</v>
      </c>
      <c r="AC187" s="80" t="s">
        <v>1156</v>
      </c>
    </row>
    <row r="188" spans="1:29" x14ac:dyDescent="0.4">
      <c r="A188" s="10" t="s">
        <v>1151</v>
      </c>
      <c r="B188" s="78" t="s">
        <v>965</v>
      </c>
      <c r="C188" s="78">
        <f>C187+(BudgetsTable[[#This Row],[lead]]&lt;&gt;K187)</f>
        <v>41</v>
      </c>
      <c r="D188" s="78">
        <f>D187*(BudgetsTable[[#This Row],[lead]]=K187)+(BudgetsTable[[#This Row],[prop_id]]&lt;&gt;A187)</f>
        <v>2</v>
      </c>
      <c r="E188" s="79">
        <v>42807.668055555558</v>
      </c>
      <c r="F188" s="80" t="s">
        <v>1136</v>
      </c>
      <c r="G188" s="80" t="s">
        <v>222</v>
      </c>
      <c r="H188" s="80" t="s">
        <v>1137</v>
      </c>
      <c r="I188" s="78" t="s">
        <v>406</v>
      </c>
      <c r="J188" s="78" t="s">
        <v>13</v>
      </c>
      <c r="K188" s="80" t="s">
        <v>1144</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80" t="s">
        <v>13</v>
      </c>
      <c r="O188" s="7" t="str">
        <f>IF(BudgetsTable[[#This Row],[pi_last_name]]=" ","",HYPERLINK("mailto:"&amp;BudgetsTable[[#This Row],[pi_email]]&amp;"&amp;subject=Your NSF Proposal:  "&amp;BudgetsTable[[#This Row],[prop_id]],BudgetsTable[[#This Row],[pi_email]]))</f>
        <v/>
      </c>
      <c r="P188" s="80" t="s">
        <v>13</v>
      </c>
      <c r="Q188" s="80">
        <v>1</v>
      </c>
      <c r="R188" s="80">
        <v>2</v>
      </c>
      <c r="S188" s="81">
        <v>0</v>
      </c>
      <c r="T188" s="81">
        <v>0</v>
      </c>
      <c r="U188" s="81">
        <v>0</v>
      </c>
      <c r="V188" s="82">
        <v>124986</v>
      </c>
      <c r="W188" s="80">
        <v>0</v>
      </c>
      <c r="X188" s="80">
        <v>3</v>
      </c>
      <c r="Y188" s="11" t="str">
        <f ca="1">IF(ISBLANK(BudgetsTable[[#This Row],[budg_seq_yr]]),"FY"&amp;fiscalyear,"FY"&amp;fiscalyear-1+BudgetsTable[[#This Row],[budg_seq_yr]])</f>
        <v>FY20</v>
      </c>
      <c r="Z188" s="81">
        <v>124986</v>
      </c>
      <c r="AA188" s="80" t="s">
        <v>222</v>
      </c>
      <c r="AB188" s="80" t="s">
        <v>1137</v>
      </c>
      <c r="AC188" s="80" t="s">
        <v>1156</v>
      </c>
    </row>
    <row r="189" spans="1:29" x14ac:dyDescent="0.4">
      <c r="A189" s="10" t="s">
        <v>1157</v>
      </c>
      <c r="B189" s="78" t="s">
        <v>965</v>
      </c>
      <c r="C189" s="78">
        <f>C188+(BudgetsTable[[#This Row],[lead]]&lt;&gt;K188)</f>
        <v>41</v>
      </c>
      <c r="D189" s="78">
        <f>D188*(BudgetsTable[[#This Row],[lead]]=K188)+(BudgetsTable[[#This Row],[prop_id]]&lt;&gt;A188)</f>
        <v>3</v>
      </c>
      <c r="E189" s="79">
        <v>42807.717361111114</v>
      </c>
      <c r="F189" s="80" t="s">
        <v>1136</v>
      </c>
      <c r="G189" s="80" t="s">
        <v>222</v>
      </c>
      <c r="H189" s="80" t="s">
        <v>1137</v>
      </c>
      <c r="I189" s="78" t="s">
        <v>406</v>
      </c>
      <c r="J189" s="78" t="s">
        <v>1161</v>
      </c>
      <c r="K189" s="80" t="s">
        <v>1144</v>
      </c>
      <c r="L189" s="7" t="str">
        <f>IF(BudgetsTable[[#This Row],[pi_last_name]]=" ","",HYPERLINK("https://www.ejacket.nsf.gov/ej/showProposal.do?Continue=Y&amp;ID="&amp;BudgetsTable[[#This Row],[prop_id]],BudgetsTable[[#This Row],[prop_id]]))</f>
        <v>1740613</v>
      </c>
      <c r="M189" s="15" t="str">
        <f>IF(BudgetsTable[[#This Row],[pi_last_name]]=" ","",HYPERLINK("https://www.ejacket.nsf.gov/ej/processReviewAnalysis.do?dispatch=add&amp;uniqId="&amp;BudgetsTable[[#This Row],[prop_id]]&amp;PO_id,"&gt;ra"))</f>
        <v>&gt;ra</v>
      </c>
      <c r="N189" s="80" t="s">
        <v>1158</v>
      </c>
      <c r="O189" s="7" t="str">
        <f>IF(BudgetsTable[[#This Row],[pi_last_name]]=" ","",HYPERLINK("mailto:"&amp;BudgetsTable[[#This Row],[pi_email]]&amp;"&amp;subject=Your NSF Proposal:  "&amp;BudgetsTable[[#This Row],[prop_id]],BudgetsTable[[#This Row],[pi_email]]))</f>
        <v>fjafari@uwyo.edu</v>
      </c>
      <c r="P189" s="80" t="s">
        <v>1160</v>
      </c>
      <c r="Q189" s="80"/>
      <c r="R189" s="80"/>
      <c r="S189" s="81"/>
      <c r="T189" s="81"/>
      <c r="U189" s="81"/>
      <c r="V189" s="82"/>
      <c r="W189" s="80">
        <v>0</v>
      </c>
      <c r="X189" s="80"/>
      <c r="Y189" s="11" t="str">
        <f ca="1">IF(ISBLANK(BudgetsTable[[#This Row],[budg_seq_yr]]),"FY"&amp;fiscalyear,"FY"&amp;fiscalyear-1+BudgetsTable[[#This Row],[budg_seq_yr]])</f>
        <v>FY18</v>
      </c>
      <c r="Z189" s="81">
        <v>372322</v>
      </c>
      <c r="AA189" s="80" t="s">
        <v>222</v>
      </c>
      <c r="AB189" s="80" t="s">
        <v>1137</v>
      </c>
      <c r="AC189" s="80" t="s">
        <v>1162</v>
      </c>
    </row>
    <row r="190" spans="1:29" x14ac:dyDescent="0.4">
      <c r="A190" s="10" t="s">
        <v>1157</v>
      </c>
      <c r="B190" s="78" t="s">
        <v>965</v>
      </c>
      <c r="C190" s="78">
        <f>C189+(BudgetsTable[[#This Row],[lead]]&lt;&gt;K189)</f>
        <v>41</v>
      </c>
      <c r="D190" s="78">
        <f>D189*(BudgetsTable[[#This Row],[lead]]=K189)+(BudgetsTable[[#This Row],[prop_id]]&lt;&gt;A189)</f>
        <v>3</v>
      </c>
      <c r="E190" s="79">
        <v>42807.717361111114</v>
      </c>
      <c r="F190" s="80" t="s">
        <v>1136</v>
      </c>
      <c r="G190" s="80" t="s">
        <v>222</v>
      </c>
      <c r="H190" s="80" t="s">
        <v>1137</v>
      </c>
      <c r="I190" s="78" t="s">
        <v>406</v>
      </c>
      <c r="J190" s="78" t="s">
        <v>13</v>
      </c>
      <c r="K190" s="80" t="s">
        <v>1144</v>
      </c>
      <c r="L190" s="7" t="str">
        <f>IF(BudgetsTable[[#This Row],[pi_last_name]]=" ","",HYPERLINK("https://www.ejacket.nsf.gov/ej/showProposal.do?Continue=Y&amp;ID="&amp;BudgetsTable[[#This Row],[prop_id]],BudgetsTable[[#This Row],[prop_id]]))</f>
        <v/>
      </c>
      <c r="M190" s="15" t="str">
        <f>IF(BudgetsTable[[#This Row],[pi_last_name]]=" ","",HYPERLINK("https://www.ejacket.nsf.gov/ej/processReviewAnalysis.do?dispatch=add&amp;uniqId="&amp;BudgetsTable[[#This Row],[prop_id]]&amp;PO_id,"&gt;ra"))</f>
        <v/>
      </c>
      <c r="N190" s="80" t="s">
        <v>13</v>
      </c>
      <c r="O190" s="7" t="str">
        <f>IF(BudgetsTable[[#This Row],[pi_last_name]]=" ","",HYPERLINK("mailto:"&amp;BudgetsTable[[#This Row],[pi_email]]&amp;"&amp;subject=Your NSF Proposal:  "&amp;BudgetsTable[[#This Row],[prop_id]],BudgetsTable[[#This Row],[pi_email]]))</f>
        <v/>
      </c>
      <c r="P190" s="80" t="s">
        <v>13</v>
      </c>
      <c r="Q190" s="80">
        <v>1</v>
      </c>
      <c r="R190" s="80">
        <v>1.35</v>
      </c>
      <c r="S190" s="81">
        <v>0</v>
      </c>
      <c r="T190" s="81">
        <v>0</v>
      </c>
      <c r="U190" s="81">
        <v>0</v>
      </c>
      <c r="V190" s="82">
        <v>124750</v>
      </c>
      <c r="W190" s="80">
        <v>0</v>
      </c>
      <c r="X190" s="80">
        <v>1</v>
      </c>
      <c r="Y190" s="11" t="str">
        <f ca="1">IF(ISBLANK(BudgetsTable[[#This Row],[budg_seq_yr]]),"FY"&amp;fiscalyear,"FY"&amp;fiscalyear-1+BudgetsTable[[#This Row],[budg_seq_yr]])</f>
        <v>FY18</v>
      </c>
      <c r="Z190" s="81">
        <v>124750</v>
      </c>
      <c r="AA190" s="80" t="s">
        <v>222</v>
      </c>
      <c r="AB190" s="80" t="s">
        <v>1137</v>
      </c>
      <c r="AC190" s="80" t="s">
        <v>1162</v>
      </c>
    </row>
    <row r="191" spans="1:29" x14ac:dyDescent="0.4">
      <c r="A191" s="10" t="s">
        <v>1157</v>
      </c>
      <c r="B191" s="78" t="s">
        <v>965</v>
      </c>
      <c r="C191" s="78">
        <f>C190+(BudgetsTable[[#This Row],[lead]]&lt;&gt;K190)</f>
        <v>41</v>
      </c>
      <c r="D191" s="78">
        <f>D190*(BudgetsTable[[#This Row],[lead]]=K190)+(BudgetsTable[[#This Row],[prop_id]]&lt;&gt;A190)</f>
        <v>3</v>
      </c>
      <c r="E191" s="79">
        <v>42807.717361111114</v>
      </c>
      <c r="F191" s="80" t="s">
        <v>1136</v>
      </c>
      <c r="G191" s="80" t="s">
        <v>222</v>
      </c>
      <c r="H191" s="80" t="s">
        <v>1137</v>
      </c>
      <c r="I191" s="78" t="s">
        <v>406</v>
      </c>
      <c r="J191" s="78" t="s">
        <v>13</v>
      </c>
      <c r="K191" s="80" t="s">
        <v>1144</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80" t="s">
        <v>13</v>
      </c>
      <c r="O191" s="7" t="str">
        <f>IF(BudgetsTable[[#This Row],[pi_last_name]]=" ","",HYPERLINK("mailto:"&amp;BudgetsTable[[#This Row],[pi_email]]&amp;"&amp;subject=Your NSF Proposal:  "&amp;BudgetsTable[[#This Row],[prop_id]],BudgetsTable[[#This Row],[pi_email]]))</f>
        <v/>
      </c>
      <c r="P191" s="80" t="s">
        <v>13</v>
      </c>
      <c r="Q191" s="80">
        <v>1</v>
      </c>
      <c r="R191" s="80">
        <v>1.35</v>
      </c>
      <c r="S191" s="81">
        <v>0</v>
      </c>
      <c r="T191" s="81">
        <v>0</v>
      </c>
      <c r="U191" s="81">
        <v>0</v>
      </c>
      <c r="V191" s="82">
        <v>122634</v>
      </c>
      <c r="W191" s="80">
        <v>0</v>
      </c>
      <c r="X191" s="80">
        <v>2</v>
      </c>
      <c r="Y191" s="11" t="str">
        <f ca="1">IF(ISBLANK(BudgetsTable[[#This Row],[budg_seq_yr]]),"FY"&amp;fiscalyear,"FY"&amp;fiscalyear-1+BudgetsTable[[#This Row],[budg_seq_yr]])</f>
        <v>FY19</v>
      </c>
      <c r="Z191" s="81">
        <v>122634</v>
      </c>
      <c r="AA191" s="80" t="s">
        <v>222</v>
      </c>
      <c r="AB191" s="80" t="s">
        <v>1137</v>
      </c>
      <c r="AC191" s="80" t="s">
        <v>1162</v>
      </c>
    </row>
    <row r="192" spans="1:29" x14ac:dyDescent="0.4">
      <c r="A192" s="10" t="s">
        <v>1157</v>
      </c>
      <c r="B192" s="78" t="s">
        <v>965</v>
      </c>
      <c r="C192" s="78">
        <f>C191+(BudgetsTable[[#This Row],[lead]]&lt;&gt;K191)</f>
        <v>41</v>
      </c>
      <c r="D192" s="78">
        <f>D191*(BudgetsTable[[#This Row],[lead]]=K191)+(BudgetsTable[[#This Row],[prop_id]]&lt;&gt;A191)</f>
        <v>3</v>
      </c>
      <c r="E192" s="79">
        <v>42807.717361111114</v>
      </c>
      <c r="F192" s="80" t="s">
        <v>1136</v>
      </c>
      <c r="G192" s="80" t="s">
        <v>222</v>
      </c>
      <c r="H192" s="80" t="s">
        <v>1137</v>
      </c>
      <c r="I192" s="78" t="s">
        <v>406</v>
      </c>
      <c r="J192" s="78" t="s">
        <v>13</v>
      </c>
      <c r="K192" s="80" t="s">
        <v>1144</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80" t="s">
        <v>13</v>
      </c>
      <c r="O192" s="7" t="str">
        <f>IF(BudgetsTable[[#This Row],[pi_last_name]]=" ","",HYPERLINK("mailto:"&amp;BudgetsTable[[#This Row],[pi_email]]&amp;"&amp;subject=Your NSF Proposal:  "&amp;BudgetsTable[[#This Row],[prop_id]],BudgetsTable[[#This Row],[pi_email]]))</f>
        <v/>
      </c>
      <c r="P192" s="80" t="s">
        <v>13</v>
      </c>
      <c r="Q192" s="80">
        <v>1</v>
      </c>
      <c r="R192" s="80">
        <v>1.35</v>
      </c>
      <c r="S192" s="81">
        <v>0</v>
      </c>
      <c r="T192" s="81">
        <v>0</v>
      </c>
      <c r="U192" s="81">
        <v>0</v>
      </c>
      <c r="V192" s="82">
        <v>124938</v>
      </c>
      <c r="W192" s="80">
        <v>0</v>
      </c>
      <c r="X192" s="80">
        <v>3</v>
      </c>
      <c r="Y192" s="11" t="str">
        <f ca="1">IF(ISBLANK(BudgetsTable[[#This Row],[budg_seq_yr]]),"FY"&amp;fiscalyear,"FY"&amp;fiscalyear-1+BudgetsTable[[#This Row],[budg_seq_yr]])</f>
        <v>FY20</v>
      </c>
      <c r="Z192" s="81">
        <v>124938</v>
      </c>
      <c r="AA192" s="80" t="s">
        <v>222</v>
      </c>
      <c r="AB192" s="80" t="s">
        <v>1137</v>
      </c>
      <c r="AC192" s="80" t="s">
        <v>1162</v>
      </c>
    </row>
    <row r="193" spans="1:29" x14ac:dyDescent="0.4">
      <c r="A193" s="10" t="s">
        <v>1163</v>
      </c>
      <c r="B193" s="78" t="s">
        <v>1145</v>
      </c>
      <c r="C193" s="78">
        <f>C192+(BudgetsTable[[#This Row],[lead]]&lt;&gt;K192)</f>
        <v>42</v>
      </c>
      <c r="D193" s="78">
        <f>D192*(BudgetsTable[[#This Row],[lead]]=K192)+(BudgetsTable[[#This Row],[prop_id]]&lt;&gt;A192)</f>
        <v>1</v>
      </c>
      <c r="E193" s="79">
        <v>42807.602777777778</v>
      </c>
      <c r="F193" s="80" t="s">
        <v>1136</v>
      </c>
      <c r="G193" s="80" t="s">
        <v>222</v>
      </c>
      <c r="H193" s="80" t="s">
        <v>1137</v>
      </c>
      <c r="I193" s="78" t="s">
        <v>451</v>
      </c>
      <c r="J193" s="78" t="s">
        <v>1168</v>
      </c>
      <c r="K193" s="80" t="s">
        <v>1163</v>
      </c>
      <c r="L193" s="7" t="str">
        <f>IF(BudgetsTable[[#This Row],[pi_last_name]]=" ","",HYPERLINK("https://www.ejacket.nsf.gov/ej/showProposal.do?Continue=Y&amp;ID="&amp;BudgetsTable[[#This Row],[prop_id]],BudgetsTable[[#This Row],[prop_id]]))</f>
        <v>1740576</v>
      </c>
      <c r="M193" s="15" t="str">
        <f>IF(BudgetsTable[[#This Row],[pi_last_name]]=" ","",HYPERLINK("https://www.ejacket.nsf.gov/ej/processReviewAnalysis.do?dispatch=add&amp;uniqId="&amp;BudgetsTable[[#This Row],[prop_id]]&amp;PO_id,"&gt;ra"))</f>
        <v>&gt;ra</v>
      </c>
      <c r="N193" s="80" t="s">
        <v>1164</v>
      </c>
      <c r="O193" s="7" t="str">
        <f>IF(BudgetsTable[[#This Row],[pi_last_name]]=" ","",HYPERLINK("mailto:"&amp;BudgetsTable[[#This Row],[pi_email]]&amp;"&amp;subject=Your NSF Proposal:  "&amp;BudgetsTable[[#This Row],[prop_id]],BudgetsTable[[#This Row],[pi_email]]))</f>
        <v>kfs7@georgetown.edu</v>
      </c>
      <c r="P193" s="80" t="s">
        <v>1166</v>
      </c>
      <c r="Q193" s="80"/>
      <c r="R193" s="80"/>
      <c r="S193" s="81"/>
      <c r="T193" s="81"/>
      <c r="U193" s="81"/>
      <c r="V193" s="82"/>
      <c r="W193" s="80">
        <v>0</v>
      </c>
      <c r="X193" s="80"/>
      <c r="Y193" s="11" t="str">
        <f ca="1">IF(ISBLANK(BudgetsTable[[#This Row],[budg_seq_yr]]),"FY"&amp;fiscalyear,"FY"&amp;fiscalyear-1+BudgetsTable[[#This Row],[budg_seq_yr]])</f>
        <v>FY18</v>
      </c>
      <c r="Z193" s="81">
        <v>1221000</v>
      </c>
      <c r="AA193" s="80" t="s">
        <v>222</v>
      </c>
      <c r="AB193" s="80" t="s">
        <v>1137</v>
      </c>
      <c r="AC193" s="80" t="s">
        <v>1142</v>
      </c>
    </row>
    <row r="194" spans="1:29" x14ac:dyDescent="0.4">
      <c r="A194" s="10" t="s">
        <v>1163</v>
      </c>
      <c r="B194" s="78" t="s">
        <v>1145</v>
      </c>
      <c r="C194" s="78">
        <f>C193+(BudgetsTable[[#This Row],[lead]]&lt;&gt;K193)</f>
        <v>42</v>
      </c>
      <c r="D194" s="78">
        <f>D193*(BudgetsTable[[#This Row],[lead]]=K193)+(BudgetsTable[[#This Row],[prop_id]]&lt;&gt;A193)</f>
        <v>1</v>
      </c>
      <c r="E194" s="79">
        <v>42807.602777777778</v>
      </c>
      <c r="F194" s="80" t="s">
        <v>1136</v>
      </c>
      <c r="G194" s="80" t="s">
        <v>222</v>
      </c>
      <c r="H194" s="80" t="s">
        <v>1137</v>
      </c>
      <c r="I194" s="78" t="s">
        <v>451</v>
      </c>
      <c r="J194" s="78" t="s">
        <v>13</v>
      </c>
      <c r="K194" s="80" t="s">
        <v>1163</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80" t="s">
        <v>13</v>
      </c>
      <c r="O194" s="7" t="str">
        <f>IF(BudgetsTable[[#This Row],[pi_last_name]]=" ","",HYPERLINK("mailto:"&amp;BudgetsTable[[#This Row],[pi_email]]&amp;"&amp;subject=Your NSF Proposal:  "&amp;BudgetsTable[[#This Row],[prop_id]],BudgetsTable[[#This Row],[pi_email]]))</f>
        <v/>
      </c>
      <c r="P194" s="80" t="s">
        <v>13</v>
      </c>
      <c r="Q194" s="80">
        <v>5</v>
      </c>
      <c r="R194" s="80">
        <v>5</v>
      </c>
      <c r="S194" s="81">
        <v>0</v>
      </c>
      <c r="T194" s="81">
        <v>0</v>
      </c>
      <c r="U194" s="81">
        <v>20000</v>
      </c>
      <c r="V194" s="82">
        <v>319395</v>
      </c>
      <c r="W194" s="80">
        <v>0</v>
      </c>
      <c r="X194" s="80">
        <v>1</v>
      </c>
      <c r="Y194" s="11" t="str">
        <f ca="1">IF(ISBLANK(BudgetsTable[[#This Row],[budg_seq_yr]]),"FY"&amp;fiscalyear,"FY"&amp;fiscalyear-1+BudgetsTable[[#This Row],[budg_seq_yr]])</f>
        <v>FY18</v>
      </c>
      <c r="Z194" s="81">
        <v>319395</v>
      </c>
      <c r="AA194" s="80" t="s">
        <v>222</v>
      </c>
      <c r="AB194" s="80" t="s">
        <v>1137</v>
      </c>
      <c r="AC194" s="80" t="s">
        <v>1142</v>
      </c>
    </row>
    <row r="195" spans="1:29" x14ac:dyDescent="0.4">
      <c r="A195" s="10" t="s">
        <v>1163</v>
      </c>
      <c r="B195" s="78" t="s">
        <v>1145</v>
      </c>
      <c r="C195" s="78">
        <f>C194+(BudgetsTable[[#This Row],[lead]]&lt;&gt;K194)</f>
        <v>42</v>
      </c>
      <c r="D195" s="78">
        <f>D194*(BudgetsTable[[#This Row],[lead]]=K194)+(BudgetsTable[[#This Row],[prop_id]]&lt;&gt;A194)</f>
        <v>1</v>
      </c>
      <c r="E195" s="79">
        <v>42807.602777777778</v>
      </c>
      <c r="F195" s="80" t="s">
        <v>1136</v>
      </c>
      <c r="G195" s="80" t="s">
        <v>222</v>
      </c>
      <c r="H195" s="80" t="s">
        <v>1137</v>
      </c>
      <c r="I195" s="78" t="s">
        <v>451</v>
      </c>
      <c r="J195" s="78" t="s">
        <v>13</v>
      </c>
      <c r="K195" s="80" t="s">
        <v>1163</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80" t="s">
        <v>13</v>
      </c>
      <c r="O195" s="7" t="str">
        <f>IF(BudgetsTable[[#This Row],[pi_last_name]]=" ","",HYPERLINK("mailto:"&amp;BudgetsTable[[#This Row],[pi_email]]&amp;"&amp;subject=Your NSF Proposal:  "&amp;BudgetsTable[[#This Row],[prop_id]],BudgetsTable[[#This Row],[pi_email]]))</f>
        <v/>
      </c>
      <c r="P195" s="80" t="s">
        <v>13</v>
      </c>
      <c r="Q195" s="80">
        <v>5</v>
      </c>
      <c r="R195" s="80">
        <v>5</v>
      </c>
      <c r="S195" s="81">
        <v>52000</v>
      </c>
      <c r="T195" s="81">
        <v>0</v>
      </c>
      <c r="U195" s="81">
        <v>34000</v>
      </c>
      <c r="V195" s="82">
        <v>462221</v>
      </c>
      <c r="W195" s="80">
        <v>0</v>
      </c>
      <c r="X195" s="80">
        <v>2</v>
      </c>
      <c r="Y195" s="11" t="str">
        <f ca="1">IF(ISBLANK(BudgetsTable[[#This Row],[budg_seq_yr]]),"FY"&amp;fiscalyear,"FY"&amp;fiscalyear-1+BudgetsTable[[#This Row],[budg_seq_yr]])</f>
        <v>FY19</v>
      </c>
      <c r="Z195" s="81">
        <v>462221</v>
      </c>
      <c r="AA195" s="80" t="s">
        <v>222</v>
      </c>
      <c r="AB195" s="80" t="s">
        <v>1137</v>
      </c>
      <c r="AC195" s="80" t="s">
        <v>1142</v>
      </c>
    </row>
    <row r="196" spans="1:29" x14ac:dyDescent="0.4">
      <c r="A196" s="10" t="s">
        <v>1163</v>
      </c>
      <c r="B196" s="78" t="s">
        <v>1145</v>
      </c>
      <c r="C196" s="78">
        <f>C195+(BudgetsTable[[#This Row],[lead]]&lt;&gt;K195)</f>
        <v>42</v>
      </c>
      <c r="D196" s="78">
        <f>D195*(BudgetsTable[[#This Row],[lead]]=K195)+(BudgetsTable[[#This Row],[prop_id]]&lt;&gt;A195)</f>
        <v>1</v>
      </c>
      <c r="E196" s="79">
        <v>42807.602777777778</v>
      </c>
      <c r="F196" s="80" t="s">
        <v>1136</v>
      </c>
      <c r="G196" s="80" t="s">
        <v>222</v>
      </c>
      <c r="H196" s="80" t="s">
        <v>1137</v>
      </c>
      <c r="I196" s="78" t="s">
        <v>451</v>
      </c>
      <c r="J196" s="78" t="s">
        <v>13</v>
      </c>
      <c r="K196" s="80" t="s">
        <v>1163</v>
      </c>
      <c r="L196" s="7" t="str">
        <f>IF(BudgetsTable[[#This Row],[pi_last_name]]=" ","",HYPERLINK("https://www.ejacket.nsf.gov/ej/showProposal.do?Continue=Y&amp;ID="&amp;BudgetsTable[[#This Row],[prop_id]],BudgetsTable[[#This Row],[prop_id]]))</f>
        <v/>
      </c>
      <c r="M196" s="15" t="str">
        <f>IF(BudgetsTable[[#This Row],[pi_last_name]]=" ","",HYPERLINK("https://www.ejacket.nsf.gov/ej/processReviewAnalysis.do?dispatch=add&amp;uniqId="&amp;BudgetsTable[[#This Row],[prop_id]]&amp;PO_id,"&gt;ra"))</f>
        <v/>
      </c>
      <c r="N196" s="80" t="s">
        <v>13</v>
      </c>
      <c r="O196" s="7" t="str">
        <f>IF(BudgetsTable[[#This Row],[pi_last_name]]=" ","",HYPERLINK("mailto:"&amp;BudgetsTable[[#This Row],[pi_email]]&amp;"&amp;subject=Your NSF Proposal:  "&amp;BudgetsTable[[#This Row],[prop_id]],BudgetsTable[[#This Row],[pi_email]]))</f>
        <v/>
      </c>
      <c r="P196" s="80" t="s">
        <v>13</v>
      </c>
      <c r="Q196" s="80">
        <v>5</v>
      </c>
      <c r="R196" s="80">
        <v>5</v>
      </c>
      <c r="S196" s="81">
        <v>54100</v>
      </c>
      <c r="T196" s="81">
        <v>0</v>
      </c>
      <c r="U196" s="81">
        <v>16000</v>
      </c>
      <c r="V196" s="82">
        <v>439384</v>
      </c>
      <c r="W196" s="80">
        <v>0</v>
      </c>
      <c r="X196" s="80">
        <v>3</v>
      </c>
      <c r="Y196" s="11" t="str">
        <f ca="1">IF(ISBLANK(BudgetsTable[[#This Row],[budg_seq_yr]]),"FY"&amp;fiscalyear,"FY"&amp;fiscalyear-1+BudgetsTable[[#This Row],[budg_seq_yr]])</f>
        <v>FY20</v>
      </c>
      <c r="Z196" s="81">
        <v>439384</v>
      </c>
      <c r="AA196" s="80" t="s">
        <v>222</v>
      </c>
      <c r="AB196" s="80" t="s">
        <v>1137</v>
      </c>
      <c r="AC196" s="80" t="s">
        <v>1142</v>
      </c>
    </row>
    <row r="197" spans="1:29" x14ac:dyDescent="0.4">
      <c r="A197" s="10" t="s">
        <v>1171</v>
      </c>
      <c r="B197" s="78" t="s">
        <v>965</v>
      </c>
      <c r="C197" s="78">
        <f>C196+(BudgetsTable[[#This Row],[lead]]&lt;&gt;K196)</f>
        <v>42</v>
      </c>
      <c r="D197" s="78">
        <f>D196*(BudgetsTable[[#This Row],[lead]]=K196)+(BudgetsTable[[#This Row],[prop_id]]&lt;&gt;A196)</f>
        <v>2</v>
      </c>
      <c r="E197" s="79">
        <v>42804.649305555555</v>
      </c>
      <c r="F197" s="80" t="s">
        <v>1136</v>
      </c>
      <c r="G197" s="80" t="s">
        <v>222</v>
      </c>
      <c r="H197" s="80" t="s">
        <v>1137</v>
      </c>
      <c r="I197" s="78" t="s">
        <v>451</v>
      </c>
      <c r="J197" s="78" t="s">
        <v>1175</v>
      </c>
      <c r="K197" s="80" t="s">
        <v>1163</v>
      </c>
      <c r="L197" s="7" t="str">
        <f>IF(BudgetsTable[[#This Row],[pi_last_name]]=" ","",HYPERLINK("https://www.ejacket.nsf.gov/ej/showProposal.do?Continue=Y&amp;ID="&amp;BudgetsTable[[#This Row],[prop_id]],BudgetsTable[[#This Row],[prop_id]]))</f>
        <v>1740516</v>
      </c>
      <c r="M197" s="15" t="str">
        <f>IF(BudgetsTable[[#This Row],[pi_last_name]]=" ","",HYPERLINK("https://www.ejacket.nsf.gov/ej/processReviewAnalysis.do?dispatch=add&amp;uniqId="&amp;BudgetsTable[[#This Row],[prop_id]]&amp;PO_id,"&gt;ra"))</f>
        <v>&gt;ra</v>
      </c>
      <c r="N197" s="80" t="s">
        <v>1172</v>
      </c>
      <c r="O197" s="7" t="str">
        <f>IF(BudgetsTable[[#This Row],[pi_last_name]]=" ","",HYPERLINK("mailto:"&amp;BudgetsTable[[#This Row],[pi_email]]&amp;"&amp;subject=Your NSF Proposal:  "&amp;BudgetsTable[[#This Row],[prop_id]],BudgetsTable[[#This Row],[pi_email]]))</f>
        <v>cmontel@gwu.edu</v>
      </c>
      <c r="P197" s="80" t="s">
        <v>1174</v>
      </c>
      <c r="Q197" s="80"/>
      <c r="R197" s="80"/>
      <c r="S197" s="81"/>
      <c r="T197" s="81"/>
      <c r="U197" s="81"/>
      <c r="V197" s="82"/>
      <c r="W197" s="80">
        <v>0</v>
      </c>
      <c r="X197" s="80"/>
      <c r="Y197" s="11" t="str">
        <f ca="1">IF(ISBLANK(BudgetsTable[[#This Row],[budg_seq_yr]]),"FY"&amp;fiscalyear,"FY"&amp;fiscalyear-1+BudgetsTable[[#This Row],[budg_seq_yr]])</f>
        <v>FY18</v>
      </c>
      <c r="Z197" s="81">
        <v>279000</v>
      </c>
      <c r="AA197" s="80" t="s">
        <v>222</v>
      </c>
      <c r="AB197" s="80" t="s">
        <v>1137</v>
      </c>
      <c r="AC197" s="80" t="s">
        <v>1176</v>
      </c>
    </row>
    <row r="198" spans="1:29" x14ac:dyDescent="0.4">
      <c r="A198" s="10" t="s">
        <v>1171</v>
      </c>
      <c r="B198" s="78" t="s">
        <v>965</v>
      </c>
      <c r="C198" s="78">
        <f>C197+(BudgetsTable[[#This Row],[lead]]&lt;&gt;K197)</f>
        <v>42</v>
      </c>
      <c r="D198" s="78">
        <f>D197*(BudgetsTable[[#This Row],[lead]]=K197)+(BudgetsTable[[#This Row],[prop_id]]&lt;&gt;A197)</f>
        <v>2</v>
      </c>
      <c r="E198" s="79">
        <v>42804.649305555555</v>
      </c>
      <c r="F198" s="80" t="s">
        <v>1136</v>
      </c>
      <c r="G198" s="80" t="s">
        <v>222</v>
      </c>
      <c r="H198" s="80" t="s">
        <v>1137</v>
      </c>
      <c r="I198" s="78" t="s">
        <v>451</v>
      </c>
      <c r="J198" s="78" t="s">
        <v>13</v>
      </c>
      <c r="K198" s="80" t="s">
        <v>1163</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80" t="s">
        <v>13</v>
      </c>
      <c r="O198" s="7" t="str">
        <f>IF(BudgetsTable[[#This Row],[pi_last_name]]=" ","",HYPERLINK("mailto:"&amp;BudgetsTable[[#This Row],[pi_email]]&amp;"&amp;subject=Your NSF Proposal:  "&amp;BudgetsTable[[#This Row],[prop_id]],BudgetsTable[[#This Row],[pi_email]]))</f>
        <v/>
      </c>
      <c r="P198" s="80" t="s">
        <v>13</v>
      </c>
      <c r="Q198" s="80">
        <v>1</v>
      </c>
      <c r="R198" s="80">
        <v>0.48</v>
      </c>
      <c r="S198" s="81">
        <v>0</v>
      </c>
      <c r="T198" s="81">
        <v>3000</v>
      </c>
      <c r="U198" s="81">
        <v>0</v>
      </c>
      <c r="V198" s="82">
        <v>93102</v>
      </c>
      <c r="W198" s="80">
        <v>0</v>
      </c>
      <c r="X198" s="80">
        <v>1</v>
      </c>
      <c r="Y198" s="11" t="str">
        <f ca="1">IF(ISBLANK(BudgetsTable[[#This Row],[budg_seq_yr]]),"FY"&amp;fiscalyear,"FY"&amp;fiscalyear-1+BudgetsTable[[#This Row],[budg_seq_yr]])</f>
        <v>FY18</v>
      </c>
      <c r="Z198" s="81">
        <v>93102</v>
      </c>
      <c r="AA198" s="80" t="s">
        <v>222</v>
      </c>
      <c r="AB198" s="80" t="s">
        <v>1137</v>
      </c>
      <c r="AC198" s="80" t="s">
        <v>1176</v>
      </c>
    </row>
    <row r="199" spans="1:29" x14ac:dyDescent="0.4">
      <c r="A199" s="10" t="s">
        <v>1171</v>
      </c>
      <c r="B199" s="78" t="s">
        <v>965</v>
      </c>
      <c r="C199" s="78">
        <f>C198+(BudgetsTable[[#This Row],[lead]]&lt;&gt;K198)</f>
        <v>42</v>
      </c>
      <c r="D199" s="78">
        <f>D198*(BudgetsTable[[#This Row],[lead]]=K198)+(BudgetsTable[[#This Row],[prop_id]]&lt;&gt;A198)</f>
        <v>2</v>
      </c>
      <c r="E199" s="79">
        <v>42804.649305555555</v>
      </c>
      <c r="F199" s="80" t="s">
        <v>1136</v>
      </c>
      <c r="G199" s="80" t="s">
        <v>222</v>
      </c>
      <c r="H199" s="80" t="s">
        <v>1137</v>
      </c>
      <c r="I199" s="78" t="s">
        <v>451</v>
      </c>
      <c r="J199" s="78" t="s">
        <v>13</v>
      </c>
      <c r="K199" s="80" t="s">
        <v>1163</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80" t="s">
        <v>13</v>
      </c>
      <c r="O199" s="7" t="str">
        <f>IF(BudgetsTable[[#This Row],[pi_last_name]]=" ","",HYPERLINK("mailto:"&amp;BudgetsTable[[#This Row],[pi_email]]&amp;"&amp;subject=Your NSF Proposal:  "&amp;BudgetsTable[[#This Row],[prop_id]],BudgetsTable[[#This Row],[pi_email]]))</f>
        <v/>
      </c>
      <c r="P199" s="80" t="s">
        <v>13</v>
      </c>
      <c r="Q199" s="80">
        <v>1</v>
      </c>
      <c r="R199" s="80">
        <v>0.48</v>
      </c>
      <c r="S199" s="81">
        <v>0</v>
      </c>
      <c r="T199" s="81">
        <v>3000</v>
      </c>
      <c r="U199" s="81">
        <v>0</v>
      </c>
      <c r="V199" s="82">
        <v>91529</v>
      </c>
      <c r="W199" s="80">
        <v>0</v>
      </c>
      <c r="X199" s="80">
        <v>2</v>
      </c>
      <c r="Y199" s="11" t="str">
        <f ca="1">IF(ISBLANK(BudgetsTable[[#This Row],[budg_seq_yr]]),"FY"&amp;fiscalyear,"FY"&amp;fiscalyear-1+BudgetsTable[[#This Row],[budg_seq_yr]])</f>
        <v>FY19</v>
      </c>
      <c r="Z199" s="81">
        <v>91529</v>
      </c>
      <c r="AA199" s="80" t="s">
        <v>222</v>
      </c>
      <c r="AB199" s="80" t="s">
        <v>1137</v>
      </c>
      <c r="AC199" s="80" t="s">
        <v>1176</v>
      </c>
    </row>
    <row r="200" spans="1:29" x14ac:dyDescent="0.4">
      <c r="A200" s="10" t="s">
        <v>1171</v>
      </c>
      <c r="B200" s="78" t="s">
        <v>965</v>
      </c>
      <c r="C200" s="78">
        <f>C199+(BudgetsTable[[#This Row],[lead]]&lt;&gt;K199)</f>
        <v>42</v>
      </c>
      <c r="D200" s="78">
        <f>D199*(BudgetsTable[[#This Row],[lead]]=K199)+(BudgetsTable[[#This Row],[prop_id]]&lt;&gt;A199)</f>
        <v>2</v>
      </c>
      <c r="E200" s="79">
        <v>42804.649305555555</v>
      </c>
      <c r="F200" s="80" t="s">
        <v>1136</v>
      </c>
      <c r="G200" s="80" t="s">
        <v>222</v>
      </c>
      <c r="H200" s="80" t="s">
        <v>1137</v>
      </c>
      <c r="I200" s="78" t="s">
        <v>451</v>
      </c>
      <c r="J200" s="78" t="s">
        <v>13</v>
      </c>
      <c r="K200" s="80" t="s">
        <v>1163</v>
      </c>
      <c r="L200" s="7" t="str">
        <f>IF(BudgetsTable[[#This Row],[pi_last_name]]=" ","",HYPERLINK("https://www.ejacket.nsf.gov/ej/showProposal.do?Continue=Y&amp;ID="&amp;BudgetsTable[[#This Row],[prop_id]],BudgetsTable[[#This Row],[prop_id]]))</f>
        <v/>
      </c>
      <c r="M200" s="15" t="str">
        <f>IF(BudgetsTable[[#This Row],[pi_last_name]]=" ","",HYPERLINK("https://www.ejacket.nsf.gov/ej/processReviewAnalysis.do?dispatch=add&amp;uniqId="&amp;BudgetsTable[[#This Row],[prop_id]]&amp;PO_id,"&gt;ra"))</f>
        <v/>
      </c>
      <c r="N200" s="80" t="s">
        <v>13</v>
      </c>
      <c r="O200" s="7" t="str">
        <f>IF(BudgetsTable[[#This Row],[pi_last_name]]=" ","",HYPERLINK("mailto:"&amp;BudgetsTable[[#This Row],[pi_email]]&amp;"&amp;subject=Your NSF Proposal:  "&amp;BudgetsTable[[#This Row],[prop_id]],BudgetsTable[[#This Row],[pi_email]]))</f>
        <v/>
      </c>
      <c r="P200" s="80" t="s">
        <v>13</v>
      </c>
      <c r="Q200" s="80">
        <v>1</v>
      </c>
      <c r="R200" s="80">
        <v>0.48</v>
      </c>
      <c r="S200" s="81">
        <v>0</v>
      </c>
      <c r="T200" s="81">
        <v>3000</v>
      </c>
      <c r="U200" s="81">
        <v>0</v>
      </c>
      <c r="V200" s="82">
        <v>94369</v>
      </c>
      <c r="W200" s="80">
        <v>0</v>
      </c>
      <c r="X200" s="80">
        <v>3</v>
      </c>
      <c r="Y200" s="11" t="str">
        <f ca="1">IF(ISBLANK(BudgetsTable[[#This Row],[budg_seq_yr]]),"FY"&amp;fiscalyear,"FY"&amp;fiscalyear-1+BudgetsTable[[#This Row],[budg_seq_yr]])</f>
        <v>FY20</v>
      </c>
      <c r="Z200" s="81">
        <v>94369</v>
      </c>
      <c r="AA200" s="80" t="s">
        <v>222</v>
      </c>
      <c r="AB200" s="80" t="s">
        <v>1137</v>
      </c>
      <c r="AC200" s="80" t="s">
        <v>1176</v>
      </c>
    </row>
    <row r="201" spans="1:29" x14ac:dyDescent="0.4">
      <c r="A201" s="10" t="s">
        <v>1177</v>
      </c>
      <c r="B201" s="78" t="s">
        <v>1145</v>
      </c>
      <c r="C201" s="78">
        <f>C200+(BudgetsTable[[#This Row],[lead]]&lt;&gt;K200)</f>
        <v>43</v>
      </c>
      <c r="D201" s="78">
        <f>D200*(BudgetsTable[[#This Row],[lead]]=K200)+(BudgetsTable[[#This Row],[prop_id]]&lt;&gt;A200)</f>
        <v>1</v>
      </c>
      <c r="E201" s="79">
        <v>42807.683333333334</v>
      </c>
      <c r="F201" s="80" t="s">
        <v>1136</v>
      </c>
      <c r="G201" s="80" t="s">
        <v>222</v>
      </c>
      <c r="H201" s="80" t="s">
        <v>1137</v>
      </c>
      <c r="I201" s="78" t="s">
        <v>451</v>
      </c>
      <c r="J201" s="78" t="s">
        <v>1180</v>
      </c>
      <c r="K201" s="80" t="s">
        <v>1177</v>
      </c>
      <c r="L201" s="7" t="str">
        <f>IF(BudgetsTable[[#This Row],[pi_last_name]]=" ","",HYPERLINK("https://www.ejacket.nsf.gov/ej/showProposal.do?Continue=Y&amp;ID="&amp;BudgetsTable[[#This Row],[prop_id]],BudgetsTable[[#This Row],[prop_id]]))</f>
        <v>1740605</v>
      </c>
      <c r="M201" s="15" t="str">
        <f>IF(BudgetsTable[[#This Row],[pi_last_name]]=" ","",HYPERLINK("https://www.ejacket.nsf.gov/ej/processReviewAnalysis.do?dispatch=add&amp;uniqId="&amp;BudgetsTable[[#This Row],[prop_id]]&amp;PO_id,"&gt;ra"))</f>
        <v>&gt;ra</v>
      </c>
      <c r="N201" s="80" t="s">
        <v>1178</v>
      </c>
      <c r="O201" s="7" t="str">
        <f>IF(BudgetsTable[[#This Row],[pi_last_name]]=" ","",HYPERLINK("mailto:"&amp;BudgetsTable[[#This Row],[pi_email]]&amp;"&amp;subject=Your NSF Proposal:  "&amp;BudgetsTable[[#This Row],[prop_id]],BudgetsTable[[#This Row],[pi_email]]))</f>
        <v>nalini.ravishanker@uconn.edu</v>
      </c>
      <c r="P201" s="80" t="s">
        <v>1052</v>
      </c>
      <c r="Q201" s="80"/>
      <c r="R201" s="80"/>
      <c r="S201" s="81"/>
      <c r="T201" s="81"/>
      <c r="U201" s="81"/>
      <c r="V201" s="82"/>
      <c r="W201" s="80">
        <v>0</v>
      </c>
      <c r="X201" s="80"/>
      <c r="Y201" s="11" t="str">
        <f ca="1">IF(ISBLANK(BudgetsTable[[#This Row],[budg_seq_yr]]),"FY"&amp;fiscalyear,"FY"&amp;fiscalyear-1+BudgetsTable[[#This Row],[budg_seq_yr]])</f>
        <v>FY18</v>
      </c>
      <c r="Z201" s="81">
        <v>825000</v>
      </c>
      <c r="AA201" s="80" t="s">
        <v>222</v>
      </c>
      <c r="AB201" s="80" t="s">
        <v>1137</v>
      </c>
      <c r="AC201" s="80" t="s">
        <v>1142</v>
      </c>
    </row>
    <row r="202" spans="1:29" x14ac:dyDescent="0.4">
      <c r="A202" s="10" t="s">
        <v>1177</v>
      </c>
      <c r="B202" s="78" t="s">
        <v>1145</v>
      </c>
      <c r="C202" s="78">
        <f>C201+(BudgetsTable[[#This Row],[lead]]&lt;&gt;K201)</f>
        <v>43</v>
      </c>
      <c r="D202" s="78">
        <f>D201*(BudgetsTable[[#This Row],[lead]]=K201)+(BudgetsTable[[#This Row],[prop_id]]&lt;&gt;A201)</f>
        <v>1</v>
      </c>
      <c r="E202" s="79">
        <v>42807.683333333334</v>
      </c>
      <c r="F202" s="80" t="s">
        <v>1136</v>
      </c>
      <c r="G202" s="80" t="s">
        <v>222</v>
      </c>
      <c r="H202" s="80" t="s">
        <v>1137</v>
      </c>
      <c r="I202" s="78" t="s">
        <v>451</v>
      </c>
      <c r="J202" s="78" t="s">
        <v>13</v>
      </c>
      <c r="K202" s="80" t="s">
        <v>1177</v>
      </c>
      <c r="L202" s="7" t="str">
        <f>IF(BudgetsTable[[#This Row],[pi_last_name]]=" ","",HYPERLINK("https://www.ejacket.nsf.gov/ej/showProposal.do?Continue=Y&amp;ID="&amp;BudgetsTable[[#This Row],[prop_id]],BudgetsTable[[#This Row],[prop_id]]))</f>
        <v/>
      </c>
      <c r="M202" s="15" t="str">
        <f>IF(BudgetsTable[[#This Row],[pi_last_name]]=" ","",HYPERLINK("https://www.ejacket.nsf.gov/ej/processReviewAnalysis.do?dispatch=add&amp;uniqId="&amp;BudgetsTable[[#This Row],[prop_id]]&amp;PO_id,"&gt;ra"))</f>
        <v/>
      </c>
      <c r="N202" s="80" t="s">
        <v>13</v>
      </c>
      <c r="O202" s="7" t="str">
        <f>IF(BudgetsTable[[#This Row],[pi_last_name]]=" ","",HYPERLINK("mailto:"&amp;BudgetsTable[[#This Row],[pi_email]]&amp;"&amp;subject=Your NSF Proposal:  "&amp;BudgetsTable[[#This Row],[prop_id]],BudgetsTable[[#This Row],[pi_email]]))</f>
        <v/>
      </c>
      <c r="P202" s="80" t="s">
        <v>13</v>
      </c>
      <c r="Q202" s="80">
        <v>3</v>
      </c>
      <c r="R202" s="80">
        <v>0.7</v>
      </c>
      <c r="S202" s="81">
        <v>55000</v>
      </c>
      <c r="T202" s="81">
        <v>0</v>
      </c>
      <c r="U202" s="81">
        <v>15000</v>
      </c>
      <c r="V202" s="82">
        <v>275000</v>
      </c>
      <c r="W202" s="80">
        <v>0</v>
      </c>
      <c r="X202" s="80">
        <v>1</v>
      </c>
      <c r="Y202" s="11" t="str">
        <f ca="1">IF(ISBLANK(BudgetsTable[[#This Row],[budg_seq_yr]]),"FY"&amp;fiscalyear,"FY"&amp;fiscalyear-1+BudgetsTable[[#This Row],[budg_seq_yr]])</f>
        <v>FY18</v>
      </c>
      <c r="Z202" s="81">
        <v>275000</v>
      </c>
      <c r="AA202" s="80" t="s">
        <v>222</v>
      </c>
      <c r="AB202" s="80" t="s">
        <v>1137</v>
      </c>
      <c r="AC202" s="80" t="s">
        <v>1142</v>
      </c>
    </row>
    <row r="203" spans="1:29" x14ac:dyDescent="0.4">
      <c r="A203" s="10" t="s">
        <v>1177</v>
      </c>
      <c r="B203" s="78" t="s">
        <v>1145</v>
      </c>
      <c r="C203" s="78">
        <f>C202+(BudgetsTable[[#This Row],[lead]]&lt;&gt;K202)</f>
        <v>43</v>
      </c>
      <c r="D203" s="78">
        <f>D202*(BudgetsTable[[#This Row],[lead]]=K202)+(BudgetsTable[[#This Row],[prop_id]]&lt;&gt;A202)</f>
        <v>1</v>
      </c>
      <c r="E203" s="79">
        <v>42807.683333333334</v>
      </c>
      <c r="F203" s="80" t="s">
        <v>1136</v>
      </c>
      <c r="G203" s="80" t="s">
        <v>222</v>
      </c>
      <c r="H203" s="80" t="s">
        <v>1137</v>
      </c>
      <c r="I203" s="78" t="s">
        <v>451</v>
      </c>
      <c r="J203" s="78" t="s">
        <v>13</v>
      </c>
      <c r="K203" s="80" t="s">
        <v>1177</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80" t="s">
        <v>13</v>
      </c>
      <c r="O203" s="7" t="str">
        <f>IF(BudgetsTable[[#This Row],[pi_last_name]]=" ","",HYPERLINK("mailto:"&amp;BudgetsTable[[#This Row],[pi_email]]&amp;"&amp;subject=Your NSF Proposal:  "&amp;BudgetsTable[[#This Row],[prop_id]],BudgetsTable[[#This Row],[pi_email]]))</f>
        <v/>
      </c>
      <c r="P203" s="80" t="s">
        <v>13</v>
      </c>
      <c r="Q203" s="80">
        <v>3</v>
      </c>
      <c r="R203" s="80">
        <v>0.7</v>
      </c>
      <c r="S203" s="81">
        <v>57750</v>
      </c>
      <c r="T203" s="81">
        <v>0</v>
      </c>
      <c r="U203" s="81">
        <v>15000</v>
      </c>
      <c r="V203" s="82">
        <v>275000</v>
      </c>
      <c r="W203" s="80">
        <v>0</v>
      </c>
      <c r="X203" s="80">
        <v>2</v>
      </c>
      <c r="Y203" s="11" t="str">
        <f ca="1">IF(ISBLANK(BudgetsTable[[#This Row],[budg_seq_yr]]),"FY"&amp;fiscalyear,"FY"&amp;fiscalyear-1+BudgetsTable[[#This Row],[budg_seq_yr]])</f>
        <v>FY19</v>
      </c>
      <c r="Z203" s="81">
        <v>275000</v>
      </c>
      <c r="AA203" s="80" t="s">
        <v>222</v>
      </c>
      <c r="AB203" s="80" t="s">
        <v>1137</v>
      </c>
      <c r="AC203" s="80" t="s">
        <v>1142</v>
      </c>
    </row>
    <row r="204" spans="1:29" x14ac:dyDescent="0.4">
      <c r="A204" s="10" t="s">
        <v>1177</v>
      </c>
      <c r="B204" s="78" t="s">
        <v>1145</v>
      </c>
      <c r="C204" s="78">
        <f>C203+(BudgetsTable[[#This Row],[lead]]&lt;&gt;K203)</f>
        <v>43</v>
      </c>
      <c r="D204" s="78">
        <f>D203*(BudgetsTable[[#This Row],[lead]]=K203)+(BudgetsTable[[#This Row],[prop_id]]&lt;&gt;A203)</f>
        <v>1</v>
      </c>
      <c r="E204" s="79">
        <v>42807.683333333334</v>
      </c>
      <c r="F204" s="80" t="s">
        <v>1136</v>
      </c>
      <c r="G204" s="80" t="s">
        <v>222</v>
      </c>
      <c r="H204" s="80" t="s">
        <v>1137</v>
      </c>
      <c r="I204" s="78" t="s">
        <v>451</v>
      </c>
      <c r="J204" s="78" t="s">
        <v>13</v>
      </c>
      <c r="K204" s="80" t="s">
        <v>1177</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80" t="s">
        <v>13</v>
      </c>
      <c r="O204" s="7" t="str">
        <f>IF(BudgetsTable[[#This Row],[pi_last_name]]=" ","",HYPERLINK("mailto:"&amp;BudgetsTable[[#This Row],[pi_email]]&amp;"&amp;subject=Your NSF Proposal:  "&amp;BudgetsTable[[#This Row],[prop_id]],BudgetsTable[[#This Row],[pi_email]]))</f>
        <v/>
      </c>
      <c r="P204" s="80" t="s">
        <v>13</v>
      </c>
      <c r="Q204" s="80">
        <v>3</v>
      </c>
      <c r="R204" s="80">
        <v>0.7</v>
      </c>
      <c r="S204" s="81">
        <v>60638</v>
      </c>
      <c r="T204" s="81">
        <v>0</v>
      </c>
      <c r="U204" s="81">
        <v>15000</v>
      </c>
      <c r="V204" s="82">
        <v>275000</v>
      </c>
      <c r="W204" s="80">
        <v>0</v>
      </c>
      <c r="X204" s="80">
        <v>3</v>
      </c>
      <c r="Y204" s="11" t="str">
        <f ca="1">IF(ISBLANK(BudgetsTable[[#This Row],[budg_seq_yr]]),"FY"&amp;fiscalyear,"FY"&amp;fiscalyear-1+BudgetsTable[[#This Row],[budg_seq_yr]])</f>
        <v>FY20</v>
      </c>
      <c r="Z204" s="81">
        <v>275000</v>
      </c>
      <c r="AA204" s="80" t="s">
        <v>222</v>
      </c>
      <c r="AB204" s="80" t="s">
        <v>1137</v>
      </c>
      <c r="AC204" s="80" t="s">
        <v>1142</v>
      </c>
    </row>
    <row r="205" spans="1:29" x14ac:dyDescent="0.4">
      <c r="A205" s="10" t="s">
        <v>1183</v>
      </c>
      <c r="B205" s="78" t="s">
        <v>965</v>
      </c>
      <c r="C205" s="78">
        <f>C204+(BudgetsTable[[#This Row],[lead]]&lt;&gt;K204)</f>
        <v>43</v>
      </c>
      <c r="D205" s="78">
        <f>D204*(BudgetsTable[[#This Row],[lead]]=K204)+(BudgetsTable[[#This Row],[prop_id]]&lt;&gt;A204)</f>
        <v>2</v>
      </c>
      <c r="E205" s="79">
        <v>42807.572222222225</v>
      </c>
      <c r="F205" s="80" t="s">
        <v>1136</v>
      </c>
      <c r="G205" s="80" t="s">
        <v>222</v>
      </c>
      <c r="H205" s="80" t="s">
        <v>1137</v>
      </c>
      <c r="I205" s="78" t="s">
        <v>451</v>
      </c>
      <c r="J205" s="78" t="s">
        <v>1187</v>
      </c>
      <c r="K205" s="80" t="s">
        <v>1177</v>
      </c>
      <c r="L205" s="7" t="str">
        <f>IF(BudgetsTable[[#This Row],[pi_last_name]]=" ","",HYPERLINK("https://www.ejacket.nsf.gov/ej/showProposal.do?Continue=Y&amp;ID="&amp;BudgetsTable[[#This Row],[prop_id]],BudgetsTable[[#This Row],[prop_id]]))</f>
        <v>1740565</v>
      </c>
      <c r="M205" s="15" t="str">
        <f>IF(BudgetsTable[[#This Row],[pi_last_name]]=" ","",HYPERLINK("https://www.ejacket.nsf.gov/ej/processReviewAnalysis.do?dispatch=add&amp;uniqId="&amp;BudgetsTable[[#This Row],[prop_id]]&amp;PO_id,"&gt;ra"))</f>
        <v>&gt;ra</v>
      </c>
      <c r="N205" s="80" t="s">
        <v>1184</v>
      </c>
      <c r="O205" s="7" t="str">
        <f>IF(BudgetsTable[[#This Row],[pi_last_name]]=" ","",HYPERLINK("mailto:"&amp;BudgetsTable[[#This Row],[pi_email]]&amp;"&amp;subject=Your NSF Proposal:  "&amp;BudgetsTable[[#This Row],[prop_id]],BudgetsTable[[#This Row],[pi_email]]))</f>
        <v>laubenbacher@uchc.edu</v>
      </c>
      <c r="P205" s="80" t="s">
        <v>1186</v>
      </c>
      <c r="Q205" s="80"/>
      <c r="R205" s="80"/>
      <c r="S205" s="81"/>
      <c r="T205" s="81"/>
      <c r="U205" s="81"/>
      <c r="V205" s="82"/>
      <c r="W205" s="80">
        <v>0</v>
      </c>
      <c r="X205" s="80"/>
      <c r="Y205" s="11" t="str">
        <f ca="1">IF(ISBLANK(BudgetsTable[[#This Row],[budg_seq_yr]]),"FY"&amp;fiscalyear,"FY"&amp;fiscalyear-1+BudgetsTable[[#This Row],[budg_seq_yr]])</f>
        <v>FY18</v>
      </c>
      <c r="Z205" s="81">
        <v>224999</v>
      </c>
      <c r="AA205" s="80" t="s">
        <v>222</v>
      </c>
      <c r="AB205" s="80" t="s">
        <v>1137</v>
      </c>
      <c r="AC205" s="80" t="s">
        <v>1142</v>
      </c>
    </row>
    <row r="206" spans="1:29" x14ac:dyDescent="0.4">
      <c r="A206" s="10" t="s">
        <v>1183</v>
      </c>
      <c r="B206" s="78" t="s">
        <v>965</v>
      </c>
      <c r="C206" s="78">
        <f>C205+(BudgetsTable[[#This Row],[lead]]&lt;&gt;K205)</f>
        <v>43</v>
      </c>
      <c r="D206" s="78">
        <f>D205*(BudgetsTable[[#This Row],[lead]]=K205)+(BudgetsTable[[#This Row],[prop_id]]&lt;&gt;A205)</f>
        <v>2</v>
      </c>
      <c r="E206" s="79">
        <v>42807.572222222225</v>
      </c>
      <c r="F206" s="80" t="s">
        <v>1136</v>
      </c>
      <c r="G206" s="80" t="s">
        <v>222</v>
      </c>
      <c r="H206" s="80" t="s">
        <v>1137</v>
      </c>
      <c r="I206" s="78" t="s">
        <v>451</v>
      </c>
      <c r="J206" s="78" t="s">
        <v>13</v>
      </c>
      <c r="K206" s="80" t="s">
        <v>1177</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80" t="s">
        <v>13</v>
      </c>
      <c r="O206" s="7" t="str">
        <f>IF(BudgetsTable[[#This Row],[pi_last_name]]=" ","",HYPERLINK("mailto:"&amp;BudgetsTable[[#This Row],[pi_email]]&amp;"&amp;subject=Your NSF Proposal:  "&amp;BudgetsTable[[#This Row],[prop_id]],BudgetsTable[[#This Row],[pi_email]]))</f>
        <v/>
      </c>
      <c r="P206" s="80" t="s">
        <v>13</v>
      </c>
      <c r="Q206" s="80">
        <v>1</v>
      </c>
      <c r="R206" s="80">
        <v>0</v>
      </c>
      <c r="S206" s="81">
        <v>0</v>
      </c>
      <c r="T206" s="81">
        <v>0</v>
      </c>
      <c r="U206" s="81">
        <v>0</v>
      </c>
      <c r="V206" s="82">
        <v>75000</v>
      </c>
      <c r="W206" s="80">
        <v>0</v>
      </c>
      <c r="X206" s="80">
        <v>1</v>
      </c>
      <c r="Y206" s="11" t="str">
        <f ca="1">IF(ISBLANK(BudgetsTable[[#This Row],[budg_seq_yr]]),"FY"&amp;fiscalyear,"FY"&amp;fiscalyear-1+BudgetsTable[[#This Row],[budg_seq_yr]])</f>
        <v>FY18</v>
      </c>
      <c r="Z206" s="81">
        <v>75000</v>
      </c>
      <c r="AA206" s="80" t="s">
        <v>222</v>
      </c>
      <c r="AB206" s="80" t="s">
        <v>1137</v>
      </c>
      <c r="AC206" s="80" t="s">
        <v>1142</v>
      </c>
    </row>
    <row r="207" spans="1:29" x14ac:dyDescent="0.4">
      <c r="A207" s="10" t="s">
        <v>1183</v>
      </c>
      <c r="B207" s="78" t="s">
        <v>965</v>
      </c>
      <c r="C207" s="78">
        <f>C206+(BudgetsTable[[#This Row],[lead]]&lt;&gt;K206)</f>
        <v>43</v>
      </c>
      <c r="D207" s="78">
        <f>D206*(BudgetsTable[[#This Row],[lead]]=K206)+(BudgetsTable[[#This Row],[prop_id]]&lt;&gt;A206)</f>
        <v>2</v>
      </c>
      <c r="E207" s="79">
        <v>42807.572222222225</v>
      </c>
      <c r="F207" s="80" t="s">
        <v>1136</v>
      </c>
      <c r="G207" s="80" t="s">
        <v>222</v>
      </c>
      <c r="H207" s="80" t="s">
        <v>1137</v>
      </c>
      <c r="I207" s="78" t="s">
        <v>451</v>
      </c>
      <c r="J207" s="78" t="s">
        <v>13</v>
      </c>
      <c r="K207" s="80" t="s">
        <v>1177</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80" t="s">
        <v>13</v>
      </c>
      <c r="O207" s="7" t="str">
        <f>IF(BudgetsTable[[#This Row],[pi_last_name]]=" ","",HYPERLINK("mailto:"&amp;BudgetsTable[[#This Row],[pi_email]]&amp;"&amp;subject=Your NSF Proposal:  "&amp;BudgetsTable[[#This Row],[prop_id]],BudgetsTable[[#This Row],[pi_email]]))</f>
        <v/>
      </c>
      <c r="P207" s="80" t="s">
        <v>13</v>
      </c>
      <c r="Q207" s="80">
        <v>1</v>
      </c>
      <c r="R207" s="80">
        <v>0</v>
      </c>
      <c r="S207" s="81">
        <v>0</v>
      </c>
      <c r="T207" s="81">
        <v>0</v>
      </c>
      <c r="U207" s="81">
        <v>0</v>
      </c>
      <c r="V207" s="82">
        <v>75000</v>
      </c>
      <c r="W207" s="80">
        <v>0</v>
      </c>
      <c r="X207" s="80">
        <v>2</v>
      </c>
      <c r="Y207" s="11" t="str">
        <f ca="1">IF(ISBLANK(BudgetsTable[[#This Row],[budg_seq_yr]]),"FY"&amp;fiscalyear,"FY"&amp;fiscalyear-1+BudgetsTable[[#This Row],[budg_seq_yr]])</f>
        <v>FY19</v>
      </c>
      <c r="Z207" s="81">
        <v>75000</v>
      </c>
      <c r="AA207" s="80" t="s">
        <v>222</v>
      </c>
      <c r="AB207" s="80" t="s">
        <v>1137</v>
      </c>
      <c r="AC207" s="80" t="s">
        <v>1142</v>
      </c>
    </row>
    <row r="208" spans="1:29" x14ac:dyDescent="0.4">
      <c r="A208" s="10" t="s">
        <v>1183</v>
      </c>
      <c r="B208" s="78" t="s">
        <v>965</v>
      </c>
      <c r="C208" s="78">
        <f>C207+(BudgetsTable[[#This Row],[lead]]&lt;&gt;K207)</f>
        <v>43</v>
      </c>
      <c r="D208" s="78">
        <f>D207*(BudgetsTable[[#This Row],[lead]]=K207)+(BudgetsTable[[#This Row],[prop_id]]&lt;&gt;A207)</f>
        <v>2</v>
      </c>
      <c r="E208" s="79">
        <v>42807.572222222225</v>
      </c>
      <c r="F208" s="80" t="s">
        <v>1136</v>
      </c>
      <c r="G208" s="80" t="s">
        <v>222</v>
      </c>
      <c r="H208" s="80" t="s">
        <v>1137</v>
      </c>
      <c r="I208" s="78" t="s">
        <v>451</v>
      </c>
      <c r="J208" s="78" t="s">
        <v>13</v>
      </c>
      <c r="K208" s="80" t="s">
        <v>1177</v>
      </c>
      <c r="L208" s="7" t="str">
        <f>IF(BudgetsTable[[#This Row],[pi_last_name]]=" ","",HYPERLINK("https://www.ejacket.nsf.gov/ej/showProposal.do?Continue=Y&amp;ID="&amp;BudgetsTable[[#This Row],[prop_id]],BudgetsTable[[#This Row],[prop_id]]))</f>
        <v/>
      </c>
      <c r="M208" s="15" t="str">
        <f>IF(BudgetsTable[[#This Row],[pi_last_name]]=" ","",HYPERLINK("https://www.ejacket.nsf.gov/ej/processReviewAnalysis.do?dispatch=add&amp;uniqId="&amp;BudgetsTable[[#This Row],[prop_id]]&amp;PO_id,"&gt;ra"))</f>
        <v/>
      </c>
      <c r="N208" s="80" t="s">
        <v>13</v>
      </c>
      <c r="O208" s="7" t="str">
        <f>IF(BudgetsTable[[#This Row],[pi_last_name]]=" ","",HYPERLINK("mailto:"&amp;BudgetsTable[[#This Row],[pi_email]]&amp;"&amp;subject=Your NSF Proposal:  "&amp;BudgetsTable[[#This Row],[prop_id]],BudgetsTable[[#This Row],[pi_email]]))</f>
        <v/>
      </c>
      <c r="P208" s="80" t="s">
        <v>13</v>
      </c>
      <c r="Q208" s="80">
        <v>1</v>
      </c>
      <c r="R208" s="80">
        <v>0</v>
      </c>
      <c r="S208" s="81">
        <v>0</v>
      </c>
      <c r="T208" s="81">
        <v>0</v>
      </c>
      <c r="U208" s="81">
        <v>0</v>
      </c>
      <c r="V208" s="82">
        <v>74999</v>
      </c>
      <c r="W208" s="80">
        <v>0</v>
      </c>
      <c r="X208" s="80">
        <v>3</v>
      </c>
      <c r="Y208" s="11" t="str">
        <f ca="1">IF(ISBLANK(BudgetsTable[[#This Row],[budg_seq_yr]]),"FY"&amp;fiscalyear,"FY"&amp;fiscalyear-1+BudgetsTable[[#This Row],[budg_seq_yr]])</f>
        <v>FY20</v>
      </c>
      <c r="Z208" s="81">
        <v>74999</v>
      </c>
      <c r="AA208" s="80" t="s">
        <v>222</v>
      </c>
      <c r="AB208" s="80" t="s">
        <v>1137</v>
      </c>
      <c r="AC208" s="80" t="s">
        <v>1142</v>
      </c>
    </row>
    <row r="209" spans="1:29" x14ac:dyDescent="0.4">
      <c r="A209" s="10" t="s">
        <v>1189</v>
      </c>
      <c r="B209" s="78" t="s">
        <v>965</v>
      </c>
      <c r="C209" s="78">
        <f>C208+(BudgetsTable[[#This Row],[lead]]&lt;&gt;K208)</f>
        <v>43</v>
      </c>
      <c r="D209" s="78">
        <f>D208*(BudgetsTable[[#This Row],[lead]]=K208)+(BudgetsTable[[#This Row],[prop_id]]&lt;&gt;A208)</f>
        <v>3</v>
      </c>
      <c r="E209" s="79">
        <v>42809.648611111108</v>
      </c>
      <c r="F209" s="80" t="s">
        <v>1136</v>
      </c>
      <c r="G209" s="80" t="s">
        <v>222</v>
      </c>
      <c r="H209" s="80" t="s">
        <v>1137</v>
      </c>
      <c r="I209" s="78" t="s">
        <v>451</v>
      </c>
      <c r="J209" s="78" t="s">
        <v>1191</v>
      </c>
      <c r="K209" s="80" t="s">
        <v>1177</v>
      </c>
      <c r="L209" s="7" t="str">
        <f>IF(BudgetsTable[[#This Row],[pi_last_name]]=" ","",HYPERLINK("https://www.ejacket.nsf.gov/ej/showProposal.do?Continue=Y&amp;ID="&amp;BudgetsTable[[#This Row],[prop_id]],BudgetsTable[[#This Row],[prop_id]]))</f>
        <v>1740800</v>
      </c>
      <c r="M209" s="15" t="str">
        <f>IF(BudgetsTable[[#This Row],[pi_last_name]]=" ","",HYPERLINK("https://www.ejacket.nsf.gov/ej/processReviewAnalysis.do?dispatch=add&amp;uniqId="&amp;BudgetsTable[[#This Row],[prop_id]]&amp;PO_id,"&gt;ra"))</f>
        <v>&gt;ra</v>
      </c>
      <c r="N209" s="80" t="s">
        <v>1190</v>
      </c>
      <c r="O209" s="7" t="str">
        <f>IF(BudgetsTable[[#This Row],[pi_last_name]]=" ","",HYPERLINK("mailto:"&amp;BudgetsTable[[#This Row],[pi_email]]&amp;"&amp;subject=Your NSF Proposal:  "&amp;BudgetsTable[[#This Row],[prop_id]],BudgetsTable[[#This Row],[pi_email]]))</f>
        <v>lavine@math.umass.edu</v>
      </c>
      <c r="P209" s="80" t="s">
        <v>1075</v>
      </c>
      <c r="Q209" s="80"/>
      <c r="R209" s="80"/>
      <c r="S209" s="81"/>
      <c r="T209" s="81"/>
      <c r="U209" s="81"/>
      <c r="V209" s="82"/>
      <c r="W209" s="80">
        <v>0</v>
      </c>
      <c r="X209" s="80"/>
      <c r="Y209" s="11" t="str">
        <f ca="1">IF(ISBLANK(BudgetsTable[[#This Row],[budg_seq_yr]]),"FY"&amp;fiscalyear,"FY"&amp;fiscalyear-1+BudgetsTable[[#This Row],[budg_seq_yr]])</f>
        <v>FY18</v>
      </c>
      <c r="Z209" s="81">
        <v>374046</v>
      </c>
      <c r="AA209" s="80" t="s">
        <v>222</v>
      </c>
      <c r="AB209" s="80" t="s">
        <v>1137</v>
      </c>
      <c r="AC209" s="80" t="s">
        <v>1176</v>
      </c>
    </row>
    <row r="210" spans="1:29" x14ac:dyDescent="0.4">
      <c r="A210" s="10" t="s">
        <v>1189</v>
      </c>
      <c r="B210" s="78" t="s">
        <v>965</v>
      </c>
      <c r="C210" s="78">
        <f>C209+(BudgetsTable[[#This Row],[lead]]&lt;&gt;K209)</f>
        <v>43</v>
      </c>
      <c r="D210" s="78">
        <f>D209*(BudgetsTable[[#This Row],[lead]]=K209)+(BudgetsTable[[#This Row],[prop_id]]&lt;&gt;A209)</f>
        <v>3</v>
      </c>
      <c r="E210" s="79">
        <v>42809.648611111108</v>
      </c>
      <c r="F210" s="80" t="s">
        <v>1136</v>
      </c>
      <c r="G210" s="80" t="s">
        <v>222</v>
      </c>
      <c r="H210" s="80" t="s">
        <v>1137</v>
      </c>
      <c r="I210" s="78" t="s">
        <v>451</v>
      </c>
      <c r="J210" s="78" t="s">
        <v>13</v>
      </c>
      <c r="K210" s="80" t="s">
        <v>1177</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80" t="s">
        <v>13</v>
      </c>
      <c r="O210" s="7" t="str">
        <f>IF(BudgetsTable[[#This Row],[pi_last_name]]=" ","",HYPERLINK("mailto:"&amp;BudgetsTable[[#This Row],[pi_email]]&amp;"&amp;subject=Your NSF Proposal:  "&amp;BudgetsTable[[#This Row],[prop_id]],BudgetsTable[[#This Row],[pi_email]]))</f>
        <v/>
      </c>
      <c r="P210" s="80" t="s">
        <v>13</v>
      </c>
      <c r="Q210" s="80">
        <v>4</v>
      </c>
      <c r="R210" s="80">
        <v>0.36</v>
      </c>
      <c r="S210" s="81">
        <v>47500</v>
      </c>
      <c r="T210" s="81">
        <v>0</v>
      </c>
      <c r="U210" s="81">
        <v>0</v>
      </c>
      <c r="V210" s="82">
        <v>124254</v>
      </c>
      <c r="W210" s="80">
        <v>0</v>
      </c>
      <c r="X210" s="80">
        <v>1</v>
      </c>
      <c r="Y210" s="11" t="str">
        <f ca="1">IF(ISBLANK(BudgetsTable[[#This Row],[budg_seq_yr]]),"FY"&amp;fiscalyear,"FY"&amp;fiscalyear-1+BudgetsTable[[#This Row],[budg_seq_yr]])</f>
        <v>FY18</v>
      </c>
      <c r="Z210" s="81">
        <v>124254</v>
      </c>
      <c r="AA210" s="80" t="s">
        <v>222</v>
      </c>
      <c r="AB210" s="80" t="s">
        <v>1137</v>
      </c>
      <c r="AC210" s="80" t="s">
        <v>1176</v>
      </c>
    </row>
    <row r="211" spans="1:29" x14ac:dyDescent="0.4">
      <c r="A211" s="10" t="s">
        <v>1189</v>
      </c>
      <c r="B211" s="78" t="s">
        <v>965</v>
      </c>
      <c r="C211" s="78">
        <f>C210+(BudgetsTable[[#This Row],[lead]]&lt;&gt;K210)</f>
        <v>43</v>
      </c>
      <c r="D211" s="78">
        <f>D210*(BudgetsTable[[#This Row],[lead]]=K210)+(BudgetsTable[[#This Row],[prop_id]]&lt;&gt;A210)</f>
        <v>3</v>
      </c>
      <c r="E211" s="79">
        <v>42809.648611111108</v>
      </c>
      <c r="F211" s="80" t="s">
        <v>1136</v>
      </c>
      <c r="G211" s="80" t="s">
        <v>222</v>
      </c>
      <c r="H211" s="80" t="s">
        <v>1137</v>
      </c>
      <c r="I211" s="78" t="s">
        <v>451</v>
      </c>
      <c r="J211" s="78" t="s">
        <v>13</v>
      </c>
      <c r="K211" s="80" t="s">
        <v>1177</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80" t="s">
        <v>13</v>
      </c>
      <c r="O211" s="7" t="str">
        <f>IF(BudgetsTable[[#This Row],[pi_last_name]]=" ","",HYPERLINK("mailto:"&amp;BudgetsTable[[#This Row],[pi_email]]&amp;"&amp;subject=Your NSF Proposal:  "&amp;BudgetsTable[[#This Row],[prop_id]],BudgetsTable[[#This Row],[pi_email]]))</f>
        <v/>
      </c>
      <c r="P211" s="80" t="s">
        <v>13</v>
      </c>
      <c r="Q211" s="80">
        <v>4</v>
      </c>
      <c r="R211" s="80">
        <v>0.36</v>
      </c>
      <c r="S211" s="81">
        <v>49875</v>
      </c>
      <c r="T211" s="81">
        <v>0</v>
      </c>
      <c r="U211" s="81">
        <v>0</v>
      </c>
      <c r="V211" s="82">
        <v>123187</v>
      </c>
      <c r="W211" s="80">
        <v>0</v>
      </c>
      <c r="X211" s="80">
        <v>2</v>
      </c>
      <c r="Y211" s="11" t="str">
        <f ca="1">IF(ISBLANK(BudgetsTable[[#This Row],[budg_seq_yr]]),"FY"&amp;fiscalyear,"FY"&amp;fiscalyear-1+BudgetsTable[[#This Row],[budg_seq_yr]])</f>
        <v>FY19</v>
      </c>
      <c r="Z211" s="81">
        <v>123187</v>
      </c>
      <c r="AA211" s="80" t="s">
        <v>222</v>
      </c>
      <c r="AB211" s="80" t="s">
        <v>1137</v>
      </c>
      <c r="AC211" s="80" t="s">
        <v>1176</v>
      </c>
    </row>
    <row r="212" spans="1:29" x14ac:dyDescent="0.4">
      <c r="A212" s="10" t="s">
        <v>1189</v>
      </c>
      <c r="B212" s="78" t="s">
        <v>965</v>
      </c>
      <c r="C212" s="78">
        <f>C211+(BudgetsTable[[#This Row],[lead]]&lt;&gt;K211)</f>
        <v>43</v>
      </c>
      <c r="D212" s="78">
        <f>D211*(BudgetsTable[[#This Row],[lead]]=K211)+(BudgetsTable[[#This Row],[prop_id]]&lt;&gt;A211)</f>
        <v>3</v>
      </c>
      <c r="E212" s="79">
        <v>42809.648611111108</v>
      </c>
      <c r="F212" s="80" t="s">
        <v>1136</v>
      </c>
      <c r="G212" s="80" t="s">
        <v>222</v>
      </c>
      <c r="H212" s="80" t="s">
        <v>1137</v>
      </c>
      <c r="I212" s="78" t="s">
        <v>451</v>
      </c>
      <c r="J212" s="78" t="s">
        <v>13</v>
      </c>
      <c r="K212" s="80" t="s">
        <v>1177</v>
      </c>
      <c r="L212" s="7" t="str">
        <f>IF(BudgetsTable[[#This Row],[pi_last_name]]=" ","",HYPERLINK("https://www.ejacket.nsf.gov/ej/showProposal.do?Continue=Y&amp;ID="&amp;BudgetsTable[[#This Row],[prop_id]],BudgetsTable[[#This Row],[prop_id]]))</f>
        <v/>
      </c>
      <c r="M212" s="15" t="str">
        <f>IF(BudgetsTable[[#This Row],[pi_last_name]]=" ","",HYPERLINK("https://www.ejacket.nsf.gov/ej/processReviewAnalysis.do?dispatch=add&amp;uniqId="&amp;BudgetsTable[[#This Row],[prop_id]]&amp;PO_id,"&gt;ra"))</f>
        <v/>
      </c>
      <c r="N212" s="80" t="s">
        <v>13</v>
      </c>
      <c r="O212" s="7" t="str">
        <f>IF(BudgetsTable[[#This Row],[pi_last_name]]=" ","",HYPERLINK("mailto:"&amp;BudgetsTable[[#This Row],[pi_email]]&amp;"&amp;subject=Your NSF Proposal:  "&amp;BudgetsTable[[#This Row],[prop_id]],BudgetsTable[[#This Row],[pi_email]]))</f>
        <v/>
      </c>
      <c r="P212" s="80" t="s">
        <v>13</v>
      </c>
      <c r="Q212" s="80">
        <v>4</v>
      </c>
      <c r="R212" s="80">
        <v>0.36</v>
      </c>
      <c r="S212" s="81">
        <v>52369</v>
      </c>
      <c r="T212" s="81">
        <v>0</v>
      </c>
      <c r="U212" s="81">
        <v>0</v>
      </c>
      <c r="V212" s="82">
        <v>126605</v>
      </c>
      <c r="W212" s="80">
        <v>0</v>
      </c>
      <c r="X212" s="80">
        <v>3</v>
      </c>
      <c r="Y212" s="11" t="str">
        <f ca="1">IF(ISBLANK(BudgetsTable[[#This Row],[budg_seq_yr]]),"FY"&amp;fiscalyear,"FY"&amp;fiscalyear-1+BudgetsTable[[#This Row],[budg_seq_yr]])</f>
        <v>FY20</v>
      </c>
      <c r="Z212" s="81">
        <v>126605</v>
      </c>
      <c r="AA212" s="80" t="s">
        <v>222</v>
      </c>
      <c r="AB212" s="80" t="s">
        <v>1137</v>
      </c>
      <c r="AC212" s="80" t="s">
        <v>1176</v>
      </c>
    </row>
    <row r="213" spans="1:29" x14ac:dyDescent="0.4">
      <c r="A213" s="10" t="s">
        <v>1192</v>
      </c>
      <c r="B213" s="78" t="s">
        <v>96</v>
      </c>
      <c r="C213" s="78">
        <f>C212+(BudgetsTable[[#This Row],[lead]]&lt;&gt;K212)</f>
        <v>44</v>
      </c>
      <c r="D213" s="78">
        <f>D212*(BudgetsTable[[#This Row],[lead]]=K212)+(BudgetsTable[[#This Row],[prop_id]]&lt;&gt;A212)</f>
        <v>1</v>
      </c>
      <c r="E213" s="79">
        <v>42809.441666666666</v>
      </c>
      <c r="F213" s="80" t="s">
        <v>1136</v>
      </c>
      <c r="G213" s="80" t="s">
        <v>222</v>
      </c>
      <c r="H213" s="80" t="s">
        <v>1137</v>
      </c>
      <c r="I213" s="78" t="s">
        <v>406</v>
      </c>
      <c r="J213" s="78" t="s">
        <v>1196</v>
      </c>
      <c r="K213" s="80" t="s">
        <v>1192</v>
      </c>
      <c r="L213" s="7" t="str">
        <f>IF(BudgetsTable[[#This Row],[pi_last_name]]=" ","",HYPERLINK("https://www.ejacket.nsf.gov/ej/showProposal.do?Continue=Y&amp;ID="&amp;BudgetsTable[[#This Row],[prop_id]],BudgetsTable[[#This Row],[prop_id]]))</f>
        <v>1740736</v>
      </c>
      <c r="M213" s="15" t="str">
        <f>IF(BudgetsTable[[#This Row],[pi_last_name]]=" ","",HYPERLINK("https://www.ejacket.nsf.gov/ej/processReviewAnalysis.do?dispatch=add&amp;uniqId="&amp;BudgetsTable[[#This Row],[prop_id]]&amp;PO_id,"&gt;ra"))</f>
        <v>&gt;ra</v>
      </c>
      <c r="N213" s="80" t="s">
        <v>1193</v>
      </c>
      <c r="O213" s="7" t="str">
        <f>IF(BudgetsTable[[#This Row],[pi_last_name]]=" ","",HYPERLINK("mailto:"&amp;BudgetsTable[[#This Row],[pi_email]]&amp;"&amp;subject=Your NSF Proposal:  "&amp;BudgetsTable[[#This Row],[prop_id]],BudgetsTable[[#This Row],[pi_email]]))</f>
        <v>noah_daniels@uri.edu</v>
      </c>
      <c r="P213" s="80" t="s">
        <v>1195</v>
      </c>
      <c r="Q213" s="80"/>
      <c r="R213" s="80"/>
      <c r="S213" s="81"/>
      <c r="T213" s="81"/>
      <c r="U213" s="81"/>
      <c r="V213" s="82"/>
      <c r="W213" s="80">
        <v>0</v>
      </c>
      <c r="X213" s="80"/>
      <c r="Y213" s="11" t="str">
        <f ca="1">IF(ISBLANK(BudgetsTable[[#This Row],[budg_seq_yr]]),"FY"&amp;fiscalyear,"FY"&amp;fiscalyear-1+BudgetsTable[[#This Row],[budg_seq_yr]])</f>
        <v>FY18</v>
      </c>
      <c r="Z213" s="81">
        <v>1319163</v>
      </c>
      <c r="AA213" s="80" t="s">
        <v>222</v>
      </c>
      <c r="AB213" s="80" t="s">
        <v>1137</v>
      </c>
      <c r="AC213" s="80" t="s">
        <v>1156</v>
      </c>
    </row>
    <row r="214" spans="1:29" x14ac:dyDescent="0.4">
      <c r="A214" s="10" t="s">
        <v>1192</v>
      </c>
      <c r="B214" s="78" t="s">
        <v>96</v>
      </c>
      <c r="C214" s="78">
        <f>C213+(BudgetsTable[[#This Row],[lead]]&lt;&gt;K213)</f>
        <v>44</v>
      </c>
      <c r="D214" s="78">
        <f>D213*(BudgetsTable[[#This Row],[lead]]=K213)+(BudgetsTable[[#This Row],[prop_id]]&lt;&gt;A213)</f>
        <v>1</v>
      </c>
      <c r="E214" s="79">
        <v>42809.441666666666</v>
      </c>
      <c r="F214" s="80" t="s">
        <v>1136</v>
      </c>
      <c r="G214" s="80" t="s">
        <v>222</v>
      </c>
      <c r="H214" s="80" t="s">
        <v>1137</v>
      </c>
      <c r="I214" s="78" t="s">
        <v>406</v>
      </c>
      <c r="J214" s="78" t="s">
        <v>13</v>
      </c>
      <c r="K214" s="80" t="s">
        <v>1192</v>
      </c>
      <c r="L214" s="7" t="str">
        <f>IF(BudgetsTable[[#This Row],[pi_last_name]]=" ","",HYPERLINK("https://www.ejacket.nsf.gov/ej/showProposal.do?Continue=Y&amp;ID="&amp;BudgetsTable[[#This Row],[prop_id]],BudgetsTable[[#This Row],[prop_id]]))</f>
        <v/>
      </c>
      <c r="M214" s="15" t="str">
        <f>IF(BudgetsTable[[#This Row],[pi_last_name]]=" ","",HYPERLINK("https://www.ejacket.nsf.gov/ej/processReviewAnalysis.do?dispatch=add&amp;uniqId="&amp;BudgetsTable[[#This Row],[prop_id]]&amp;PO_id,"&gt;ra"))</f>
        <v/>
      </c>
      <c r="N214" s="80" t="s">
        <v>13</v>
      </c>
      <c r="O214" s="7" t="str">
        <f>IF(BudgetsTable[[#This Row],[pi_last_name]]=" ","",HYPERLINK("mailto:"&amp;BudgetsTable[[#This Row],[pi_email]]&amp;"&amp;subject=Your NSF Proposal:  "&amp;BudgetsTable[[#This Row],[prop_id]],BudgetsTable[[#This Row],[pi_email]]))</f>
        <v/>
      </c>
      <c r="P214" s="80" t="s">
        <v>13</v>
      </c>
      <c r="Q214" s="80">
        <v>3</v>
      </c>
      <c r="R214" s="80">
        <v>6</v>
      </c>
      <c r="S214" s="81">
        <v>50350</v>
      </c>
      <c r="T214" s="81">
        <v>5000</v>
      </c>
      <c r="U214" s="81">
        <v>22000</v>
      </c>
      <c r="V214" s="82">
        <v>381507</v>
      </c>
      <c r="W214" s="80">
        <v>0</v>
      </c>
      <c r="X214" s="80">
        <v>1</v>
      </c>
      <c r="Y214" s="11" t="str">
        <f ca="1">IF(ISBLANK(BudgetsTable[[#This Row],[budg_seq_yr]]),"FY"&amp;fiscalyear,"FY"&amp;fiscalyear-1+BudgetsTable[[#This Row],[budg_seq_yr]])</f>
        <v>FY18</v>
      </c>
      <c r="Z214" s="81">
        <v>381507</v>
      </c>
      <c r="AA214" s="80" t="s">
        <v>222</v>
      </c>
      <c r="AB214" s="80" t="s">
        <v>1137</v>
      </c>
      <c r="AC214" s="80" t="s">
        <v>1156</v>
      </c>
    </row>
    <row r="215" spans="1:29" x14ac:dyDescent="0.4">
      <c r="A215" s="10" t="s">
        <v>1192</v>
      </c>
      <c r="B215" s="78" t="s">
        <v>96</v>
      </c>
      <c r="C215" s="78">
        <f>C214+(BudgetsTable[[#This Row],[lead]]&lt;&gt;K214)</f>
        <v>44</v>
      </c>
      <c r="D215" s="78">
        <f>D214*(BudgetsTable[[#This Row],[lead]]=K214)+(BudgetsTable[[#This Row],[prop_id]]&lt;&gt;A214)</f>
        <v>1</v>
      </c>
      <c r="E215" s="79">
        <v>42809.441666666666</v>
      </c>
      <c r="F215" s="80" t="s">
        <v>1136</v>
      </c>
      <c r="G215" s="80" t="s">
        <v>222</v>
      </c>
      <c r="H215" s="80" t="s">
        <v>1137</v>
      </c>
      <c r="I215" s="78" t="s">
        <v>406</v>
      </c>
      <c r="J215" s="78" t="s">
        <v>13</v>
      </c>
      <c r="K215" s="80" t="s">
        <v>1192</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80" t="s">
        <v>13</v>
      </c>
      <c r="O215" s="7" t="str">
        <f>IF(BudgetsTable[[#This Row],[pi_last_name]]=" ","",HYPERLINK("mailto:"&amp;BudgetsTable[[#This Row],[pi_email]]&amp;"&amp;subject=Your NSF Proposal:  "&amp;BudgetsTable[[#This Row],[prop_id]],BudgetsTable[[#This Row],[pi_email]]))</f>
        <v/>
      </c>
      <c r="P215" s="80" t="s">
        <v>13</v>
      </c>
      <c r="Q215" s="80">
        <v>3</v>
      </c>
      <c r="R215" s="80">
        <v>6</v>
      </c>
      <c r="S215" s="81">
        <v>51861</v>
      </c>
      <c r="T215" s="81">
        <v>5000</v>
      </c>
      <c r="U215" s="81">
        <v>22000</v>
      </c>
      <c r="V215" s="82">
        <v>459605</v>
      </c>
      <c r="W215" s="80">
        <v>0</v>
      </c>
      <c r="X215" s="80">
        <v>2</v>
      </c>
      <c r="Y215" s="11" t="str">
        <f ca="1">IF(ISBLANK(BudgetsTable[[#This Row],[budg_seq_yr]]),"FY"&amp;fiscalyear,"FY"&amp;fiscalyear-1+BudgetsTable[[#This Row],[budg_seq_yr]])</f>
        <v>FY19</v>
      </c>
      <c r="Z215" s="81">
        <v>459605</v>
      </c>
      <c r="AA215" s="80" t="s">
        <v>222</v>
      </c>
      <c r="AB215" s="80" t="s">
        <v>1137</v>
      </c>
      <c r="AC215" s="80" t="s">
        <v>1156</v>
      </c>
    </row>
    <row r="216" spans="1:29" x14ac:dyDescent="0.4">
      <c r="A216" s="10" t="s">
        <v>1192</v>
      </c>
      <c r="B216" s="78" t="s">
        <v>96</v>
      </c>
      <c r="C216" s="78">
        <f>C215+(BudgetsTable[[#This Row],[lead]]&lt;&gt;K215)</f>
        <v>44</v>
      </c>
      <c r="D216" s="78">
        <f>D215*(BudgetsTable[[#This Row],[lead]]=K215)+(BudgetsTable[[#This Row],[prop_id]]&lt;&gt;A215)</f>
        <v>1</v>
      </c>
      <c r="E216" s="79">
        <v>42809.441666666666</v>
      </c>
      <c r="F216" s="80" t="s">
        <v>1136</v>
      </c>
      <c r="G216" s="80" t="s">
        <v>222</v>
      </c>
      <c r="H216" s="80" t="s">
        <v>1137</v>
      </c>
      <c r="I216" s="78" t="s">
        <v>406</v>
      </c>
      <c r="J216" s="78" t="s">
        <v>13</v>
      </c>
      <c r="K216" s="80" t="s">
        <v>1192</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80" t="s">
        <v>13</v>
      </c>
      <c r="O216" s="7" t="str">
        <f>IF(BudgetsTable[[#This Row],[pi_last_name]]=" ","",HYPERLINK("mailto:"&amp;BudgetsTable[[#This Row],[pi_email]]&amp;"&amp;subject=Your NSF Proposal:  "&amp;BudgetsTable[[#This Row],[prop_id]],BudgetsTable[[#This Row],[pi_email]]))</f>
        <v/>
      </c>
      <c r="P216" s="80" t="s">
        <v>13</v>
      </c>
      <c r="Q216" s="80">
        <v>3</v>
      </c>
      <c r="R216" s="80">
        <v>6</v>
      </c>
      <c r="S216" s="81">
        <v>53417</v>
      </c>
      <c r="T216" s="81">
        <v>5000</v>
      </c>
      <c r="U216" s="81">
        <v>22000</v>
      </c>
      <c r="V216" s="82">
        <v>478051</v>
      </c>
      <c r="W216" s="80">
        <v>0</v>
      </c>
      <c r="X216" s="80">
        <v>3</v>
      </c>
      <c r="Y216" s="11" t="str">
        <f ca="1">IF(ISBLANK(BudgetsTable[[#This Row],[budg_seq_yr]]),"FY"&amp;fiscalyear,"FY"&amp;fiscalyear-1+BudgetsTable[[#This Row],[budg_seq_yr]])</f>
        <v>FY20</v>
      </c>
      <c r="Z216" s="81">
        <v>478051</v>
      </c>
      <c r="AA216" s="80" t="s">
        <v>222</v>
      </c>
      <c r="AB216" s="80" t="s">
        <v>1137</v>
      </c>
      <c r="AC216" s="80" t="s">
        <v>1156</v>
      </c>
    </row>
    <row r="217" spans="1:29" x14ac:dyDescent="0.4">
      <c r="A217" s="10" t="s">
        <v>1199</v>
      </c>
      <c r="B217" s="78" t="s">
        <v>96</v>
      </c>
      <c r="C217" s="78">
        <f>C216+(BudgetsTable[[#This Row],[lead]]&lt;&gt;K216)</f>
        <v>45</v>
      </c>
      <c r="D217" s="78">
        <f>D216*(BudgetsTable[[#This Row],[lead]]=K216)+(BudgetsTable[[#This Row],[prop_id]]&lt;&gt;A216)</f>
        <v>1</v>
      </c>
      <c r="E217" s="79">
        <v>42809.474999999999</v>
      </c>
      <c r="F217" s="80" t="s">
        <v>1136</v>
      </c>
      <c r="G217" s="80" t="s">
        <v>222</v>
      </c>
      <c r="H217" s="80" t="s">
        <v>1137</v>
      </c>
      <c r="I217" s="78" t="s">
        <v>406</v>
      </c>
      <c r="J217" s="78" t="s">
        <v>1203</v>
      </c>
      <c r="K217" s="80" t="s">
        <v>1199</v>
      </c>
      <c r="L217" s="7" t="str">
        <f>IF(BudgetsTable[[#This Row],[pi_last_name]]=" ","",HYPERLINK("https://www.ejacket.nsf.gov/ej/showProposal.do?Continue=Y&amp;ID="&amp;BudgetsTable[[#This Row],[prop_id]],BudgetsTable[[#This Row],[prop_id]]))</f>
        <v>1740741</v>
      </c>
      <c r="M217" s="15" t="str">
        <f>IF(BudgetsTable[[#This Row],[pi_last_name]]=" ","",HYPERLINK("https://www.ejacket.nsf.gov/ej/processReviewAnalysis.do?dispatch=add&amp;uniqId="&amp;BudgetsTable[[#This Row],[prop_id]]&amp;PO_id,"&gt;ra"))</f>
        <v>&gt;ra</v>
      </c>
      <c r="N217" s="80" t="s">
        <v>1200</v>
      </c>
      <c r="O217" s="7" t="str">
        <f>IF(BudgetsTable[[#This Row],[pi_last_name]]=" ","",HYPERLINK("mailto:"&amp;BudgetsTable[[#This Row],[pi_email]]&amp;"&amp;subject=Your NSF Proposal:  "&amp;BudgetsTable[[#This Row],[prop_id]],BudgetsTable[[#This Row],[pi_email]]))</f>
        <v>Jeff_Brock@brown.edu</v>
      </c>
      <c r="P217" s="80" t="s">
        <v>1202</v>
      </c>
      <c r="Q217" s="80"/>
      <c r="R217" s="80"/>
      <c r="S217" s="81"/>
      <c r="T217" s="81"/>
      <c r="U217" s="81"/>
      <c r="V217" s="82"/>
      <c r="W217" s="80">
        <v>0</v>
      </c>
      <c r="X217" s="80"/>
      <c r="Y217" s="11" t="str">
        <f ca="1">IF(ISBLANK(BudgetsTable[[#This Row],[budg_seq_yr]]),"FY"&amp;fiscalyear,"FY"&amp;fiscalyear-1+BudgetsTable[[#This Row],[budg_seq_yr]])</f>
        <v>FY18</v>
      </c>
      <c r="Z217" s="81">
        <v>1482177</v>
      </c>
      <c r="AA217" s="80" t="s">
        <v>222</v>
      </c>
      <c r="AB217" s="80" t="s">
        <v>1137</v>
      </c>
      <c r="AC217" s="80" t="s">
        <v>1204</v>
      </c>
    </row>
    <row r="218" spans="1:29" x14ac:dyDescent="0.4">
      <c r="A218" s="10" t="s">
        <v>1199</v>
      </c>
      <c r="B218" s="78" t="s">
        <v>96</v>
      </c>
      <c r="C218" s="78">
        <f>C217+(BudgetsTable[[#This Row],[lead]]&lt;&gt;K217)</f>
        <v>45</v>
      </c>
      <c r="D218" s="78">
        <f>D217*(BudgetsTable[[#This Row],[lead]]=K217)+(BudgetsTable[[#This Row],[prop_id]]&lt;&gt;A217)</f>
        <v>1</v>
      </c>
      <c r="E218" s="79">
        <v>42809.474999999999</v>
      </c>
      <c r="F218" s="80" t="s">
        <v>1136</v>
      </c>
      <c r="G218" s="80" t="s">
        <v>222</v>
      </c>
      <c r="H218" s="80" t="s">
        <v>1137</v>
      </c>
      <c r="I218" s="78" t="s">
        <v>406</v>
      </c>
      <c r="J218" s="78" t="s">
        <v>13</v>
      </c>
      <c r="K218" s="80" t="s">
        <v>1199</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80" t="s">
        <v>13</v>
      </c>
      <c r="O218" s="7" t="str">
        <f>IF(BudgetsTable[[#This Row],[pi_last_name]]=" ","",HYPERLINK("mailto:"&amp;BudgetsTable[[#This Row],[pi_email]]&amp;"&amp;subject=Your NSF Proposal:  "&amp;BudgetsTable[[#This Row],[prop_id]],BudgetsTable[[#This Row],[pi_email]]))</f>
        <v/>
      </c>
      <c r="P218" s="80" t="s">
        <v>13</v>
      </c>
      <c r="Q218" s="80">
        <v>5</v>
      </c>
      <c r="R218" s="80">
        <v>2.5</v>
      </c>
      <c r="S218" s="81">
        <v>68000</v>
      </c>
      <c r="T218" s="81">
        <v>0</v>
      </c>
      <c r="U218" s="81">
        <v>110000</v>
      </c>
      <c r="V218" s="82">
        <v>488794</v>
      </c>
      <c r="W218" s="80">
        <v>0</v>
      </c>
      <c r="X218" s="80">
        <v>1</v>
      </c>
      <c r="Y218" s="11" t="str">
        <f ca="1">IF(ISBLANK(BudgetsTable[[#This Row],[budg_seq_yr]]),"FY"&amp;fiscalyear,"FY"&amp;fiscalyear-1+BudgetsTable[[#This Row],[budg_seq_yr]])</f>
        <v>FY18</v>
      </c>
      <c r="Z218" s="81">
        <v>488794</v>
      </c>
      <c r="AA218" s="80" t="s">
        <v>222</v>
      </c>
      <c r="AB218" s="80" t="s">
        <v>1137</v>
      </c>
      <c r="AC218" s="80" t="s">
        <v>1204</v>
      </c>
    </row>
    <row r="219" spans="1:29" x14ac:dyDescent="0.4">
      <c r="A219" s="10" t="s">
        <v>1199</v>
      </c>
      <c r="B219" s="78" t="s">
        <v>96</v>
      </c>
      <c r="C219" s="78">
        <f>C218+(BudgetsTable[[#This Row],[lead]]&lt;&gt;K218)</f>
        <v>45</v>
      </c>
      <c r="D219" s="78">
        <f>D218*(BudgetsTable[[#This Row],[lead]]=K218)+(BudgetsTable[[#This Row],[prop_id]]&lt;&gt;A218)</f>
        <v>1</v>
      </c>
      <c r="E219" s="79">
        <v>42809.474999999999</v>
      </c>
      <c r="F219" s="80" t="s">
        <v>1136</v>
      </c>
      <c r="G219" s="80" t="s">
        <v>222</v>
      </c>
      <c r="H219" s="80" t="s">
        <v>1137</v>
      </c>
      <c r="I219" s="78" t="s">
        <v>406</v>
      </c>
      <c r="J219" s="78" t="s">
        <v>13</v>
      </c>
      <c r="K219" s="80" t="s">
        <v>1199</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80" t="s">
        <v>13</v>
      </c>
      <c r="O219" s="7" t="str">
        <f>IF(BudgetsTable[[#This Row],[pi_last_name]]=" ","",HYPERLINK("mailto:"&amp;BudgetsTable[[#This Row],[pi_email]]&amp;"&amp;subject=Your NSF Proposal:  "&amp;BudgetsTable[[#This Row],[prop_id]],BudgetsTable[[#This Row],[pi_email]]))</f>
        <v/>
      </c>
      <c r="P219" s="80" t="s">
        <v>13</v>
      </c>
      <c r="Q219" s="80">
        <v>5</v>
      </c>
      <c r="R219" s="80">
        <v>2.5</v>
      </c>
      <c r="S219" s="81">
        <v>68000</v>
      </c>
      <c r="T219" s="81">
        <v>0</v>
      </c>
      <c r="U219" s="81">
        <v>110000</v>
      </c>
      <c r="V219" s="82">
        <v>493991</v>
      </c>
      <c r="W219" s="80">
        <v>0</v>
      </c>
      <c r="X219" s="80">
        <v>2</v>
      </c>
      <c r="Y219" s="11" t="str">
        <f ca="1">IF(ISBLANK(BudgetsTable[[#This Row],[budg_seq_yr]]),"FY"&amp;fiscalyear,"FY"&amp;fiscalyear-1+BudgetsTable[[#This Row],[budg_seq_yr]])</f>
        <v>FY19</v>
      </c>
      <c r="Z219" s="81">
        <v>493991</v>
      </c>
      <c r="AA219" s="80" t="s">
        <v>222</v>
      </c>
      <c r="AB219" s="80" t="s">
        <v>1137</v>
      </c>
      <c r="AC219" s="80" t="s">
        <v>1204</v>
      </c>
    </row>
    <row r="220" spans="1:29" x14ac:dyDescent="0.4">
      <c r="A220" s="10" t="s">
        <v>1199</v>
      </c>
      <c r="B220" s="78" t="s">
        <v>96</v>
      </c>
      <c r="C220" s="78">
        <f>C219+(BudgetsTable[[#This Row],[lead]]&lt;&gt;K219)</f>
        <v>45</v>
      </c>
      <c r="D220" s="78">
        <f>D219*(BudgetsTable[[#This Row],[lead]]=K219)+(BudgetsTable[[#This Row],[prop_id]]&lt;&gt;A219)</f>
        <v>1</v>
      </c>
      <c r="E220" s="79">
        <v>42809.474999999999</v>
      </c>
      <c r="F220" s="80" t="s">
        <v>1136</v>
      </c>
      <c r="G220" s="80" t="s">
        <v>222</v>
      </c>
      <c r="H220" s="80" t="s">
        <v>1137</v>
      </c>
      <c r="I220" s="78" t="s">
        <v>406</v>
      </c>
      <c r="J220" s="78" t="s">
        <v>13</v>
      </c>
      <c r="K220" s="80" t="s">
        <v>1199</v>
      </c>
      <c r="L220" s="7" t="str">
        <f>IF(BudgetsTable[[#This Row],[pi_last_name]]=" ","",HYPERLINK("https://www.ejacket.nsf.gov/ej/showProposal.do?Continue=Y&amp;ID="&amp;BudgetsTable[[#This Row],[prop_id]],BudgetsTable[[#This Row],[prop_id]]))</f>
        <v/>
      </c>
      <c r="M220" s="15" t="str">
        <f>IF(BudgetsTable[[#This Row],[pi_last_name]]=" ","",HYPERLINK("https://www.ejacket.nsf.gov/ej/processReviewAnalysis.do?dispatch=add&amp;uniqId="&amp;BudgetsTable[[#This Row],[prop_id]]&amp;PO_id,"&gt;ra"))</f>
        <v/>
      </c>
      <c r="N220" s="80" t="s">
        <v>13</v>
      </c>
      <c r="O220" s="7" t="str">
        <f>IF(BudgetsTable[[#This Row],[pi_last_name]]=" ","",HYPERLINK("mailto:"&amp;BudgetsTable[[#This Row],[pi_email]]&amp;"&amp;subject=Your NSF Proposal:  "&amp;BudgetsTable[[#This Row],[prop_id]],BudgetsTable[[#This Row],[pi_email]]))</f>
        <v/>
      </c>
      <c r="P220" s="80" t="s">
        <v>13</v>
      </c>
      <c r="Q220" s="80">
        <v>5</v>
      </c>
      <c r="R220" s="80">
        <v>2.5</v>
      </c>
      <c r="S220" s="81">
        <v>68000</v>
      </c>
      <c r="T220" s="81">
        <v>0</v>
      </c>
      <c r="U220" s="81">
        <v>110000</v>
      </c>
      <c r="V220" s="82">
        <v>499392</v>
      </c>
      <c r="W220" s="80">
        <v>0</v>
      </c>
      <c r="X220" s="80">
        <v>3</v>
      </c>
      <c r="Y220" s="11" t="str">
        <f ca="1">IF(ISBLANK(BudgetsTable[[#This Row],[budg_seq_yr]]),"FY"&amp;fiscalyear,"FY"&amp;fiscalyear-1+BudgetsTable[[#This Row],[budg_seq_yr]])</f>
        <v>FY20</v>
      </c>
      <c r="Z220" s="81">
        <v>499392</v>
      </c>
      <c r="AA220" s="80" t="s">
        <v>222</v>
      </c>
      <c r="AB220" s="80" t="s">
        <v>1137</v>
      </c>
      <c r="AC220" s="80" t="s">
        <v>1204</v>
      </c>
    </row>
    <row r="221" spans="1:29" x14ac:dyDescent="0.4">
      <c r="A221" s="10" t="s">
        <v>1207</v>
      </c>
      <c r="B221" s="78" t="s">
        <v>1145</v>
      </c>
      <c r="C221" s="78">
        <f>C220+(BudgetsTable[[#This Row],[lead]]&lt;&gt;K220)</f>
        <v>46</v>
      </c>
      <c r="D221" s="78">
        <f>D220*(BudgetsTable[[#This Row],[lead]]=K220)+(BudgetsTable[[#This Row],[prop_id]]&lt;&gt;A220)</f>
        <v>1</v>
      </c>
      <c r="E221" s="79">
        <v>42809.494444444441</v>
      </c>
      <c r="F221" s="80" t="s">
        <v>1136</v>
      </c>
      <c r="G221" s="80" t="s">
        <v>222</v>
      </c>
      <c r="H221" s="80" t="s">
        <v>1137</v>
      </c>
      <c r="I221" s="78" t="s">
        <v>406</v>
      </c>
      <c r="J221" s="78" t="s">
        <v>1210</v>
      </c>
      <c r="K221" s="80" t="s">
        <v>1207</v>
      </c>
      <c r="L221" s="7" t="str">
        <f>IF(BudgetsTable[[#This Row],[pi_last_name]]=" ","",HYPERLINK("https://www.ejacket.nsf.gov/ej/showProposal.do?Continue=Y&amp;ID="&amp;BudgetsTable[[#This Row],[prop_id]],BudgetsTable[[#This Row],[prop_id]]))</f>
        <v>1740748</v>
      </c>
      <c r="M221" s="15" t="str">
        <f>IF(BudgetsTable[[#This Row],[pi_last_name]]=" ","",HYPERLINK("https://www.ejacket.nsf.gov/ej/processReviewAnalysis.do?dispatch=add&amp;uniqId="&amp;BudgetsTable[[#This Row],[prop_id]]&amp;PO_id,"&gt;ra"))</f>
        <v>&gt;ra</v>
      </c>
      <c r="N221" s="80" t="s">
        <v>1208</v>
      </c>
      <c r="O221" s="7" t="str">
        <f>IF(BudgetsTable[[#This Row],[pi_last_name]]=" ","",HYPERLINK("mailto:"&amp;BudgetsTable[[#This Row],[pi_email]]&amp;"&amp;subject=Your NSF Proposal:  "&amp;BudgetsTable[[#This Row],[prop_id]],BudgetsTable[[#This Row],[pi_email]]))</f>
        <v>EDELMAN@MATH.MIT.EDU</v>
      </c>
      <c r="P221" s="80" t="s">
        <v>223</v>
      </c>
      <c r="Q221" s="80"/>
      <c r="R221" s="80"/>
      <c r="S221" s="81"/>
      <c r="T221" s="81"/>
      <c r="U221" s="81"/>
      <c r="V221" s="82"/>
      <c r="W221" s="80">
        <v>0</v>
      </c>
      <c r="X221" s="80"/>
      <c r="Y221" s="11" t="str">
        <f ca="1">IF(ISBLANK(BudgetsTable[[#This Row],[budg_seq_yr]]),"FY"&amp;fiscalyear,"FY"&amp;fiscalyear-1+BudgetsTable[[#This Row],[budg_seq_yr]])</f>
        <v>FY18</v>
      </c>
      <c r="Z221" s="81">
        <v>600000</v>
      </c>
      <c r="AA221" s="80" t="s">
        <v>222</v>
      </c>
      <c r="AB221" s="80" t="s">
        <v>1137</v>
      </c>
      <c r="AC221" s="80" t="s">
        <v>1142</v>
      </c>
    </row>
    <row r="222" spans="1:29" x14ac:dyDescent="0.4">
      <c r="A222" s="10" t="s">
        <v>1207</v>
      </c>
      <c r="B222" s="78" t="s">
        <v>1145</v>
      </c>
      <c r="C222" s="78">
        <f>C221+(BudgetsTable[[#This Row],[lead]]&lt;&gt;K221)</f>
        <v>46</v>
      </c>
      <c r="D222" s="78">
        <f>D221*(BudgetsTable[[#This Row],[lead]]=K221)+(BudgetsTable[[#This Row],[prop_id]]&lt;&gt;A221)</f>
        <v>1</v>
      </c>
      <c r="E222" s="79">
        <v>42809.494444444441</v>
      </c>
      <c r="F222" s="80" t="s">
        <v>1136</v>
      </c>
      <c r="G222" s="80" t="s">
        <v>222</v>
      </c>
      <c r="H222" s="80" t="s">
        <v>1137</v>
      </c>
      <c r="I222" s="78" t="s">
        <v>406</v>
      </c>
      <c r="J222" s="78" t="s">
        <v>13</v>
      </c>
      <c r="K222" s="80" t="s">
        <v>1207</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80" t="s">
        <v>13</v>
      </c>
      <c r="O222" s="7" t="str">
        <f>IF(BudgetsTable[[#This Row],[pi_last_name]]=" ","",HYPERLINK("mailto:"&amp;BudgetsTable[[#This Row],[pi_email]]&amp;"&amp;subject=Your NSF Proposal:  "&amp;BudgetsTable[[#This Row],[prop_id]],BudgetsTable[[#This Row],[pi_email]]))</f>
        <v/>
      </c>
      <c r="P222" s="80" t="s">
        <v>13</v>
      </c>
      <c r="Q222" s="80">
        <v>0</v>
      </c>
      <c r="R222" s="80">
        <v>0</v>
      </c>
      <c r="S222" s="81">
        <v>0</v>
      </c>
      <c r="T222" s="81">
        <v>0</v>
      </c>
      <c r="U222" s="81">
        <v>0</v>
      </c>
      <c r="V222" s="82">
        <v>200000</v>
      </c>
      <c r="W222" s="80">
        <v>0</v>
      </c>
      <c r="X222" s="80">
        <v>1</v>
      </c>
      <c r="Y222" s="11" t="str">
        <f ca="1">IF(ISBLANK(BudgetsTable[[#This Row],[budg_seq_yr]]),"FY"&amp;fiscalyear,"FY"&amp;fiscalyear-1+BudgetsTable[[#This Row],[budg_seq_yr]])</f>
        <v>FY18</v>
      </c>
      <c r="Z222" s="81">
        <v>200000</v>
      </c>
      <c r="AA222" s="80" t="s">
        <v>222</v>
      </c>
      <c r="AB222" s="80" t="s">
        <v>1137</v>
      </c>
      <c r="AC222" s="80" t="s">
        <v>1142</v>
      </c>
    </row>
    <row r="223" spans="1:29" x14ac:dyDescent="0.4">
      <c r="A223" s="10" t="s">
        <v>1207</v>
      </c>
      <c r="B223" s="78" t="s">
        <v>1145</v>
      </c>
      <c r="C223" s="78">
        <f>C222+(BudgetsTable[[#This Row],[lead]]&lt;&gt;K222)</f>
        <v>46</v>
      </c>
      <c r="D223" s="78">
        <f>D222*(BudgetsTable[[#This Row],[lead]]=K222)+(BudgetsTable[[#This Row],[prop_id]]&lt;&gt;A222)</f>
        <v>1</v>
      </c>
      <c r="E223" s="79">
        <v>42809.494444444441</v>
      </c>
      <c r="F223" s="80" t="s">
        <v>1136</v>
      </c>
      <c r="G223" s="80" t="s">
        <v>222</v>
      </c>
      <c r="H223" s="80" t="s">
        <v>1137</v>
      </c>
      <c r="I223" s="78" t="s">
        <v>406</v>
      </c>
      <c r="J223" s="78" t="s">
        <v>13</v>
      </c>
      <c r="K223" s="80" t="s">
        <v>1207</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80" t="s">
        <v>13</v>
      </c>
      <c r="O223" s="7" t="str">
        <f>IF(BudgetsTable[[#This Row],[pi_last_name]]=" ","",HYPERLINK("mailto:"&amp;BudgetsTable[[#This Row],[pi_email]]&amp;"&amp;subject=Your NSF Proposal:  "&amp;BudgetsTable[[#This Row],[prop_id]],BudgetsTable[[#This Row],[pi_email]]))</f>
        <v/>
      </c>
      <c r="P223" s="80" t="s">
        <v>13</v>
      </c>
      <c r="Q223" s="80">
        <v>0</v>
      </c>
      <c r="R223" s="80">
        <v>0</v>
      </c>
      <c r="S223" s="81">
        <v>0</v>
      </c>
      <c r="T223" s="81">
        <v>0</v>
      </c>
      <c r="U223" s="81">
        <v>0</v>
      </c>
      <c r="V223" s="82">
        <v>200000</v>
      </c>
      <c r="W223" s="80">
        <v>0</v>
      </c>
      <c r="X223" s="80">
        <v>2</v>
      </c>
      <c r="Y223" s="11" t="str">
        <f ca="1">IF(ISBLANK(BudgetsTable[[#This Row],[budg_seq_yr]]),"FY"&amp;fiscalyear,"FY"&amp;fiscalyear-1+BudgetsTable[[#This Row],[budg_seq_yr]])</f>
        <v>FY19</v>
      </c>
      <c r="Z223" s="81">
        <v>200000</v>
      </c>
      <c r="AA223" s="80" t="s">
        <v>222</v>
      </c>
      <c r="AB223" s="80" t="s">
        <v>1137</v>
      </c>
      <c r="AC223" s="80" t="s">
        <v>1142</v>
      </c>
    </row>
    <row r="224" spans="1:29" x14ac:dyDescent="0.4">
      <c r="A224" s="10" t="s">
        <v>1207</v>
      </c>
      <c r="B224" s="78" t="s">
        <v>1145</v>
      </c>
      <c r="C224" s="78">
        <f>C223+(BudgetsTable[[#This Row],[lead]]&lt;&gt;K223)</f>
        <v>46</v>
      </c>
      <c r="D224" s="78">
        <f>D223*(BudgetsTable[[#This Row],[lead]]=K223)+(BudgetsTable[[#This Row],[prop_id]]&lt;&gt;A223)</f>
        <v>1</v>
      </c>
      <c r="E224" s="79">
        <v>42809.494444444441</v>
      </c>
      <c r="F224" s="80" t="s">
        <v>1136</v>
      </c>
      <c r="G224" s="80" t="s">
        <v>222</v>
      </c>
      <c r="H224" s="80" t="s">
        <v>1137</v>
      </c>
      <c r="I224" s="78" t="s">
        <v>406</v>
      </c>
      <c r="J224" s="78" t="s">
        <v>13</v>
      </c>
      <c r="K224" s="80" t="s">
        <v>1207</v>
      </c>
      <c r="L224" s="7" t="str">
        <f>IF(BudgetsTable[[#This Row],[pi_last_name]]=" ","",HYPERLINK("https://www.ejacket.nsf.gov/ej/showProposal.do?Continue=Y&amp;ID="&amp;BudgetsTable[[#This Row],[prop_id]],BudgetsTable[[#This Row],[prop_id]]))</f>
        <v/>
      </c>
      <c r="M224" s="15" t="str">
        <f>IF(BudgetsTable[[#This Row],[pi_last_name]]=" ","",HYPERLINK("https://www.ejacket.nsf.gov/ej/processReviewAnalysis.do?dispatch=add&amp;uniqId="&amp;BudgetsTable[[#This Row],[prop_id]]&amp;PO_id,"&gt;ra"))</f>
        <v/>
      </c>
      <c r="N224" s="80" t="s">
        <v>13</v>
      </c>
      <c r="O224" s="7" t="str">
        <f>IF(BudgetsTable[[#This Row],[pi_last_name]]=" ","",HYPERLINK("mailto:"&amp;BudgetsTable[[#This Row],[pi_email]]&amp;"&amp;subject=Your NSF Proposal:  "&amp;BudgetsTable[[#This Row],[prop_id]],BudgetsTable[[#This Row],[pi_email]]))</f>
        <v/>
      </c>
      <c r="P224" s="80" t="s">
        <v>13</v>
      </c>
      <c r="Q224" s="80">
        <v>0</v>
      </c>
      <c r="R224" s="80">
        <v>0</v>
      </c>
      <c r="S224" s="81">
        <v>0</v>
      </c>
      <c r="T224" s="81">
        <v>0</v>
      </c>
      <c r="U224" s="81">
        <v>0</v>
      </c>
      <c r="V224" s="82">
        <v>200000</v>
      </c>
      <c r="W224" s="80">
        <v>0</v>
      </c>
      <c r="X224" s="80">
        <v>3</v>
      </c>
      <c r="Y224" s="11" t="str">
        <f ca="1">IF(ISBLANK(BudgetsTable[[#This Row],[budg_seq_yr]]),"FY"&amp;fiscalyear,"FY"&amp;fiscalyear-1+BudgetsTable[[#This Row],[budg_seq_yr]])</f>
        <v>FY20</v>
      </c>
      <c r="Z224" s="81">
        <v>200000</v>
      </c>
      <c r="AA224" s="80" t="s">
        <v>222</v>
      </c>
      <c r="AB224" s="80" t="s">
        <v>1137</v>
      </c>
      <c r="AC224" s="80" t="s">
        <v>1142</v>
      </c>
    </row>
    <row r="225" spans="1:29" x14ac:dyDescent="0.4">
      <c r="A225" s="10" t="s">
        <v>1212</v>
      </c>
      <c r="B225" s="78" t="s">
        <v>965</v>
      </c>
      <c r="C225" s="78">
        <f>C224+(BudgetsTable[[#This Row],[lead]]&lt;&gt;K224)</f>
        <v>46</v>
      </c>
      <c r="D225" s="78">
        <f>D224*(BudgetsTable[[#This Row],[lead]]=K224)+(BudgetsTable[[#This Row],[prop_id]]&lt;&gt;A224)</f>
        <v>2</v>
      </c>
      <c r="E225" s="79">
        <v>42808.49722222222</v>
      </c>
      <c r="F225" s="80" t="s">
        <v>1136</v>
      </c>
      <c r="G225" s="80" t="s">
        <v>222</v>
      </c>
      <c r="H225" s="80" t="s">
        <v>1137</v>
      </c>
      <c r="I225" s="78" t="s">
        <v>406</v>
      </c>
      <c r="J225" s="78" t="s">
        <v>1216</v>
      </c>
      <c r="K225" s="80" t="s">
        <v>1207</v>
      </c>
      <c r="L225" s="7" t="str">
        <f>IF(BudgetsTable[[#This Row],[pi_last_name]]=" ","",HYPERLINK("https://www.ejacket.nsf.gov/ej/showProposal.do?Continue=Y&amp;ID="&amp;BudgetsTable[[#This Row],[prop_id]],BudgetsTable[[#This Row],[prop_id]]))</f>
        <v>1740642</v>
      </c>
      <c r="M225" s="15" t="str">
        <f>IF(BudgetsTable[[#This Row],[pi_last_name]]=" ","",HYPERLINK("https://www.ejacket.nsf.gov/ej/processReviewAnalysis.do?dispatch=add&amp;uniqId="&amp;BudgetsTable[[#This Row],[prop_id]]&amp;PO_id,"&gt;ra"))</f>
        <v>&gt;ra</v>
      </c>
      <c r="N225" s="80" t="s">
        <v>1213</v>
      </c>
      <c r="O225" s="7" t="str">
        <f>IF(BudgetsTable[[#This Row],[pi_last_name]]=" ","",HYPERLINK("mailto:"&amp;BudgetsTable[[#This Row],[pi_email]]&amp;"&amp;subject=Your NSF Proposal:  "&amp;BudgetsTable[[#This Row],[prop_id]],BudgetsTable[[#This Row],[pi_email]]))</f>
        <v>johnq@jimmy.harvard.edu</v>
      </c>
      <c r="P225" s="80" t="s">
        <v>1215</v>
      </c>
      <c r="Q225" s="80"/>
      <c r="R225" s="80"/>
      <c r="S225" s="81"/>
      <c r="T225" s="81"/>
      <c r="U225" s="81"/>
      <c r="V225" s="82"/>
      <c r="W225" s="80">
        <v>0</v>
      </c>
      <c r="X225" s="80"/>
      <c r="Y225" s="11" t="str">
        <f ca="1">IF(ISBLANK(BudgetsTable[[#This Row],[budg_seq_yr]]),"FY"&amp;fiscalyear,"FY"&amp;fiscalyear-1+BudgetsTable[[#This Row],[budg_seq_yr]])</f>
        <v>FY18</v>
      </c>
      <c r="Z225" s="81">
        <v>450000</v>
      </c>
      <c r="AA225" s="80" t="s">
        <v>222</v>
      </c>
      <c r="AB225" s="80" t="s">
        <v>1137</v>
      </c>
      <c r="AC225" s="80" t="s">
        <v>1142</v>
      </c>
    </row>
    <row r="226" spans="1:29" x14ac:dyDescent="0.4">
      <c r="A226" s="10" t="s">
        <v>1212</v>
      </c>
      <c r="B226" s="78" t="s">
        <v>965</v>
      </c>
      <c r="C226" s="78">
        <f>C225+(BudgetsTable[[#This Row],[lead]]&lt;&gt;K225)</f>
        <v>46</v>
      </c>
      <c r="D226" s="78">
        <f>D225*(BudgetsTable[[#This Row],[lead]]=K225)+(BudgetsTable[[#This Row],[prop_id]]&lt;&gt;A225)</f>
        <v>2</v>
      </c>
      <c r="E226" s="79">
        <v>42808.49722222222</v>
      </c>
      <c r="F226" s="80" t="s">
        <v>1136</v>
      </c>
      <c r="G226" s="80" t="s">
        <v>222</v>
      </c>
      <c r="H226" s="80" t="s">
        <v>1137</v>
      </c>
      <c r="I226" s="78" t="s">
        <v>406</v>
      </c>
      <c r="J226" s="78" t="s">
        <v>13</v>
      </c>
      <c r="K226" s="80" t="s">
        <v>1207</v>
      </c>
      <c r="L226" s="7" t="str">
        <f>IF(BudgetsTable[[#This Row],[pi_last_name]]=" ","",HYPERLINK("https://www.ejacket.nsf.gov/ej/showProposal.do?Continue=Y&amp;ID="&amp;BudgetsTable[[#This Row],[prop_id]],BudgetsTable[[#This Row],[prop_id]]))</f>
        <v/>
      </c>
      <c r="M226" s="15" t="str">
        <f>IF(BudgetsTable[[#This Row],[pi_last_name]]=" ","",HYPERLINK("https://www.ejacket.nsf.gov/ej/processReviewAnalysis.do?dispatch=add&amp;uniqId="&amp;BudgetsTable[[#This Row],[prop_id]]&amp;PO_id,"&gt;ra"))</f>
        <v/>
      </c>
      <c r="N226" s="80" t="s">
        <v>13</v>
      </c>
      <c r="O226" s="7" t="str">
        <f>IF(BudgetsTable[[#This Row],[pi_last_name]]=" ","",HYPERLINK("mailto:"&amp;BudgetsTable[[#This Row],[pi_email]]&amp;"&amp;subject=Your NSF Proposal:  "&amp;BudgetsTable[[#This Row],[prop_id]],BudgetsTable[[#This Row],[pi_email]]))</f>
        <v/>
      </c>
      <c r="P226" s="80" t="s">
        <v>13</v>
      </c>
      <c r="Q226" s="80">
        <v>1</v>
      </c>
      <c r="R226" s="80">
        <v>0</v>
      </c>
      <c r="S226" s="81">
        <v>37358</v>
      </c>
      <c r="T226" s="81">
        <v>0</v>
      </c>
      <c r="U226" s="81">
        <v>0</v>
      </c>
      <c r="V226" s="82">
        <v>150000</v>
      </c>
      <c r="W226" s="80">
        <v>0</v>
      </c>
      <c r="X226" s="80">
        <v>1</v>
      </c>
      <c r="Y226" s="11" t="str">
        <f ca="1">IF(ISBLANK(BudgetsTable[[#This Row],[budg_seq_yr]]),"FY"&amp;fiscalyear,"FY"&amp;fiscalyear-1+BudgetsTable[[#This Row],[budg_seq_yr]])</f>
        <v>FY18</v>
      </c>
      <c r="Z226" s="81">
        <v>150000</v>
      </c>
      <c r="AA226" s="80" t="s">
        <v>222</v>
      </c>
      <c r="AB226" s="80" t="s">
        <v>1137</v>
      </c>
      <c r="AC226" s="80" t="s">
        <v>1142</v>
      </c>
    </row>
    <row r="227" spans="1:29" x14ac:dyDescent="0.4">
      <c r="A227" s="10" t="s">
        <v>1212</v>
      </c>
      <c r="B227" s="78" t="s">
        <v>965</v>
      </c>
      <c r="C227" s="78">
        <f>C226+(BudgetsTable[[#This Row],[lead]]&lt;&gt;K226)</f>
        <v>46</v>
      </c>
      <c r="D227" s="78">
        <f>D226*(BudgetsTable[[#This Row],[lead]]=K226)+(BudgetsTable[[#This Row],[prop_id]]&lt;&gt;A226)</f>
        <v>2</v>
      </c>
      <c r="E227" s="79">
        <v>42808.49722222222</v>
      </c>
      <c r="F227" s="80" t="s">
        <v>1136</v>
      </c>
      <c r="G227" s="80" t="s">
        <v>222</v>
      </c>
      <c r="H227" s="80" t="s">
        <v>1137</v>
      </c>
      <c r="I227" s="78" t="s">
        <v>406</v>
      </c>
      <c r="J227" s="78" t="s">
        <v>13</v>
      </c>
      <c r="K227" s="80" t="s">
        <v>1207</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80" t="s">
        <v>13</v>
      </c>
      <c r="O227" s="7" t="str">
        <f>IF(BudgetsTable[[#This Row],[pi_last_name]]=" ","",HYPERLINK("mailto:"&amp;BudgetsTable[[#This Row],[pi_email]]&amp;"&amp;subject=Your NSF Proposal:  "&amp;BudgetsTable[[#This Row],[prop_id]],BudgetsTable[[#This Row],[pi_email]]))</f>
        <v/>
      </c>
      <c r="P227" s="80" t="s">
        <v>13</v>
      </c>
      <c r="Q227" s="80">
        <v>1</v>
      </c>
      <c r="R227" s="80">
        <v>0</v>
      </c>
      <c r="S227" s="81">
        <v>38479</v>
      </c>
      <c r="T227" s="81">
        <v>0</v>
      </c>
      <c r="U227" s="81">
        <v>0</v>
      </c>
      <c r="V227" s="82">
        <v>150000</v>
      </c>
      <c r="W227" s="80">
        <v>0</v>
      </c>
      <c r="X227" s="80">
        <v>2</v>
      </c>
      <c r="Y227" s="11" t="str">
        <f ca="1">IF(ISBLANK(BudgetsTable[[#This Row],[budg_seq_yr]]),"FY"&amp;fiscalyear,"FY"&amp;fiscalyear-1+BudgetsTable[[#This Row],[budg_seq_yr]])</f>
        <v>FY19</v>
      </c>
      <c r="Z227" s="81">
        <v>150000</v>
      </c>
      <c r="AA227" s="80" t="s">
        <v>222</v>
      </c>
      <c r="AB227" s="80" t="s">
        <v>1137</v>
      </c>
      <c r="AC227" s="80" t="s">
        <v>1142</v>
      </c>
    </row>
    <row r="228" spans="1:29" x14ac:dyDescent="0.4">
      <c r="A228" s="10" t="s">
        <v>1212</v>
      </c>
      <c r="B228" s="78" t="s">
        <v>965</v>
      </c>
      <c r="C228" s="78">
        <f>C227+(BudgetsTable[[#This Row],[lead]]&lt;&gt;K227)</f>
        <v>46</v>
      </c>
      <c r="D228" s="78">
        <f>D227*(BudgetsTable[[#This Row],[lead]]=K227)+(BudgetsTable[[#This Row],[prop_id]]&lt;&gt;A227)</f>
        <v>2</v>
      </c>
      <c r="E228" s="79">
        <v>42808.49722222222</v>
      </c>
      <c r="F228" s="80" t="s">
        <v>1136</v>
      </c>
      <c r="G228" s="80" t="s">
        <v>222</v>
      </c>
      <c r="H228" s="80" t="s">
        <v>1137</v>
      </c>
      <c r="I228" s="78" t="s">
        <v>406</v>
      </c>
      <c r="J228" s="78" t="s">
        <v>13</v>
      </c>
      <c r="K228" s="80" t="s">
        <v>1207</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80" t="s">
        <v>13</v>
      </c>
      <c r="O228" s="7" t="str">
        <f>IF(BudgetsTable[[#This Row],[pi_last_name]]=" ","",HYPERLINK("mailto:"&amp;BudgetsTable[[#This Row],[pi_email]]&amp;"&amp;subject=Your NSF Proposal:  "&amp;BudgetsTable[[#This Row],[prop_id]],BudgetsTable[[#This Row],[pi_email]]))</f>
        <v/>
      </c>
      <c r="P228" s="80" t="s">
        <v>13</v>
      </c>
      <c r="Q228" s="80">
        <v>1</v>
      </c>
      <c r="R228" s="80">
        <v>0</v>
      </c>
      <c r="S228" s="81">
        <v>39633</v>
      </c>
      <c r="T228" s="81">
        <v>0</v>
      </c>
      <c r="U228" s="81">
        <v>0</v>
      </c>
      <c r="V228" s="82">
        <v>150000</v>
      </c>
      <c r="W228" s="80">
        <v>0</v>
      </c>
      <c r="X228" s="80">
        <v>3</v>
      </c>
      <c r="Y228" s="11" t="str">
        <f ca="1">IF(ISBLANK(BudgetsTable[[#This Row],[budg_seq_yr]]),"FY"&amp;fiscalyear,"FY"&amp;fiscalyear-1+BudgetsTable[[#This Row],[budg_seq_yr]])</f>
        <v>FY20</v>
      </c>
      <c r="Z228" s="81">
        <v>150000</v>
      </c>
      <c r="AA228" s="80" t="s">
        <v>222</v>
      </c>
      <c r="AB228" s="80" t="s">
        <v>1137</v>
      </c>
      <c r="AC228" s="80" t="s">
        <v>1142</v>
      </c>
    </row>
    <row r="229" spans="1:29" x14ac:dyDescent="0.4">
      <c r="A229" s="10" t="s">
        <v>1217</v>
      </c>
      <c r="B229" s="78" t="s">
        <v>965</v>
      </c>
      <c r="C229" s="78">
        <f>C228+(BudgetsTable[[#This Row],[lead]]&lt;&gt;K228)</f>
        <v>46</v>
      </c>
      <c r="D229" s="78">
        <f>D228*(BudgetsTable[[#This Row],[lead]]=K228)+(BudgetsTable[[#This Row],[prop_id]]&lt;&gt;A228)</f>
        <v>3</v>
      </c>
      <c r="E229" s="79">
        <v>42809.477083333331</v>
      </c>
      <c r="F229" s="80" t="s">
        <v>1136</v>
      </c>
      <c r="G229" s="80" t="s">
        <v>222</v>
      </c>
      <c r="H229" s="80" t="s">
        <v>1137</v>
      </c>
      <c r="I229" s="78" t="s">
        <v>406</v>
      </c>
      <c r="J229" s="78" t="s">
        <v>1221</v>
      </c>
      <c r="K229" s="80" t="s">
        <v>1207</v>
      </c>
      <c r="L229" s="7" t="str">
        <f>IF(BudgetsTable[[#This Row],[pi_last_name]]=" ","",HYPERLINK("https://www.ejacket.nsf.gov/ej/showProposal.do?Continue=Y&amp;ID="&amp;BudgetsTable[[#This Row],[prop_id]],BudgetsTable[[#This Row],[prop_id]]))</f>
        <v>1740744</v>
      </c>
      <c r="M229" s="15" t="str">
        <f>IF(BudgetsTable[[#This Row],[pi_last_name]]=" ","",HYPERLINK("https://www.ejacket.nsf.gov/ej/processReviewAnalysis.do?dispatch=add&amp;uniqId="&amp;BudgetsTable[[#This Row],[prop_id]]&amp;PO_id,"&gt;ra"))</f>
        <v>&gt;ra</v>
      </c>
      <c r="N229" s="80" t="s">
        <v>1218</v>
      </c>
      <c r="O229" s="7" t="str">
        <f>IF(BudgetsTable[[#This Row],[pi_last_name]]=" ","",HYPERLINK("mailto:"&amp;BudgetsTable[[#This Row],[pi_email]]&amp;"&amp;subject=Your NSF Proposal:  "&amp;BudgetsTable[[#This Row],[prop_id]],BudgetsTable[[#This Row],[pi_email]]))</f>
        <v>gelman@stat.columbia.edu</v>
      </c>
      <c r="P229" s="80" t="s">
        <v>1220</v>
      </c>
      <c r="Q229" s="80"/>
      <c r="R229" s="80"/>
      <c r="S229" s="81"/>
      <c r="T229" s="81"/>
      <c r="U229" s="81"/>
      <c r="V229" s="82"/>
      <c r="W229" s="80">
        <v>1</v>
      </c>
      <c r="X229" s="80"/>
      <c r="Y229" s="11" t="str">
        <f ca="1">IF(ISBLANK(BudgetsTable[[#This Row],[budg_seq_yr]]),"FY"&amp;fiscalyear,"FY"&amp;fiscalyear-1+BudgetsTable[[#This Row],[budg_seq_yr]])</f>
        <v>FY18</v>
      </c>
      <c r="Z229" s="81">
        <v>438059</v>
      </c>
      <c r="AA229" s="80" t="s">
        <v>222</v>
      </c>
      <c r="AB229" s="80" t="s">
        <v>1137</v>
      </c>
      <c r="AC229" s="80" t="s">
        <v>1142</v>
      </c>
    </row>
    <row r="230" spans="1:29" x14ac:dyDescent="0.4">
      <c r="A230" s="10" t="s">
        <v>1217</v>
      </c>
      <c r="B230" s="78" t="s">
        <v>965</v>
      </c>
      <c r="C230" s="78">
        <f>C229+(BudgetsTable[[#This Row],[lead]]&lt;&gt;K229)</f>
        <v>46</v>
      </c>
      <c r="D230" s="78">
        <f>D229*(BudgetsTable[[#This Row],[lead]]=K229)+(BudgetsTable[[#This Row],[prop_id]]&lt;&gt;A229)</f>
        <v>3</v>
      </c>
      <c r="E230" s="79">
        <v>42809.477083333331</v>
      </c>
      <c r="F230" s="80" t="s">
        <v>1136</v>
      </c>
      <c r="G230" s="80" t="s">
        <v>222</v>
      </c>
      <c r="H230" s="80" t="s">
        <v>1137</v>
      </c>
      <c r="I230" s="78" t="s">
        <v>406</v>
      </c>
      <c r="J230" s="78" t="s">
        <v>13</v>
      </c>
      <c r="K230" s="80" t="s">
        <v>1207</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80" t="s">
        <v>13</v>
      </c>
      <c r="O230" s="7" t="str">
        <f>IF(BudgetsTable[[#This Row],[pi_last_name]]=" ","",HYPERLINK("mailto:"&amp;BudgetsTable[[#This Row],[pi_email]]&amp;"&amp;subject=Your NSF Proposal:  "&amp;BudgetsTable[[#This Row],[prop_id]],BudgetsTable[[#This Row],[pi_email]]))</f>
        <v/>
      </c>
      <c r="P230" s="80" t="s">
        <v>13</v>
      </c>
      <c r="Q230" s="80">
        <v>1</v>
      </c>
      <c r="R230" s="80">
        <v>0.25</v>
      </c>
      <c r="S230" s="81">
        <v>0</v>
      </c>
      <c r="T230" s="81">
        <v>0</v>
      </c>
      <c r="U230" s="81">
        <v>0</v>
      </c>
      <c r="V230" s="82">
        <v>142438</v>
      </c>
      <c r="W230" s="80">
        <v>1</v>
      </c>
      <c r="X230" s="80">
        <v>1</v>
      </c>
      <c r="Y230" s="11" t="str">
        <f ca="1">IF(ISBLANK(BudgetsTable[[#This Row],[budg_seq_yr]]),"FY"&amp;fiscalyear,"FY"&amp;fiscalyear-1+BudgetsTable[[#This Row],[budg_seq_yr]])</f>
        <v>FY18</v>
      </c>
      <c r="Z230" s="81">
        <v>142438</v>
      </c>
      <c r="AA230" s="80" t="s">
        <v>222</v>
      </c>
      <c r="AB230" s="80" t="s">
        <v>1137</v>
      </c>
      <c r="AC230" s="80" t="s">
        <v>1142</v>
      </c>
    </row>
    <row r="231" spans="1:29" x14ac:dyDescent="0.4">
      <c r="A231" s="10" t="s">
        <v>1217</v>
      </c>
      <c r="B231" s="78" t="s">
        <v>965</v>
      </c>
      <c r="C231" s="78">
        <f>C230+(BudgetsTable[[#This Row],[lead]]&lt;&gt;K230)</f>
        <v>46</v>
      </c>
      <c r="D231" s="78">
        <f>D230*(BudgetsTable[[#This Row],[lead]]=K230)+(BudgetsTable[[#This Row],[prop_id]]&lt;&gt;A230)</f>
        <v>3</v>
      </c>
      <c r="E231" s="79">
        <v>42809.477083333331</v>
      </c>
      <c r="F231" s="80" t="s">
        <v>1136</v>
      </c>
      <c r="G231" s="80" t="s">
        <v>222</v>
      </c>
      <c r="H231" s="80" t="s">
        <v>1137</v>
      </c>
      <c r="I231" s="78" t="s">
        <v>406</v>
      </c>
      <c r="J231" s="78" t="s">
        <v>13</v>
      </c>
      <c r="K231" s="80" t="s">
        <v>1207</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80" t="s">
        <v>13</v>
      </c>
      <c r="O231" s="7" t="str">
        <f>IF(BudgetsTable[[#This Row],[pi_last_name]]=" ","",HYPERLINK("mailto:"&amp;BudgetsTable[[#This Row],[pi_email]]&amp;"&amp;subject=Your NSF Proposal:  "&amp;BudgetsTable[[#This Row],[prop_id]],BudgetsTable[[#This Row],[pi_email]]))</f>
        <v/>
      </c>
      <c r="P231" s="80" t="s">
        <v>13</v>
      </c>
      <c r="Q231" s="80">
        <v>1</v>
      </c>
      <c r="R231" s="80">
        <v>0.25</v>
      </c>
      <c r="S231" s="81">
        <v>0</v>
      </c>
      <c r="T231" s="81">
        <v>0</v>
      </c>
      <c r="U231" s="81">
        <v>0</v>
      </c>
      <c r="V231" s="82">
        <v>146563</v>
      </c>
      <c r="W231" s="80">
        <v>1</v>
      </c>
      <c r="X231" s="80">
        <v>2</v>
      </c>
      <c r="Y231" s="11" t="str">
        <f ca="1">IF(ISBLANK(BudgetsTable[[#This Row],[budg_seq_yr]]),"FY"&amp;fiscalyear,"FY"&amp;fiscalyear-1+BudgetsTable[[#This Row],[budg_seq_yr]])</f>
        <v>FY19</v>
      </c>
      <c r="Z231" s="81">
        <v>146563</v>
      </c>
      <c r="AA231" s="80" t="s">
        <v>222</v>
      </c>
      <c r="AB231" s="80" t="s">
        <v>1137</v>
      </c>
      <c r="AC231" s="80" t="s">
        <v>1142</v>
      </c>
    </row>
    <row r="232" spans="1:29" x14ac:dyDescent="0.4">
      <c r="A232" s="10" t="s">
        <v>1217</v>
      </c>
      <c r="B232" s="78" t="s">
        <v>965</v>
      </c>
      <c r="C232" s="78">
        <f>C231+(BudgetsTable[[#This Row],[lead]]&lt;&gt;K231)</f>
        <v>46</v>
      </c>
      <c r="D232" s="78">
        <f>D231*(BudgetsTable[[#This Row],[lead]]=K231)+(BudgetsTable[[#This Row],[prop_id]]&lt;&gt;A231)</f>
        <v>3</v>
      </c>
      <c r="E232" s="79">
        <v>42809.477083333331</v>
      </c>
      <c r="F232" s="80" t="s">
        <v>1136</v>
      </c>
      <c r="G232" s="80" t="s">
        <v>222</v>
      </c>
      <c r="H232" s="80" t="s">
        <v>1137</v>
      </c>
      <c r="I232" s="78" t="s">
        <v>406</v>
      </c>
      <c r="J232" s="78" t="s">
        <v>13</v>
      </c>
      <c r="K232" s="80" t="s">
        <v>1207</v>
      </c>
      <c r="L232" s="7" t="str">
        <f>IF(BudgetsTable[[#This Row],[pi_last_name]]=" ","",HYPERLINK("https://www.ejacket.nsf.gov/ej/showProposal.do?Continue=Y&amp;ID="&amp;BudgetsTable[[#This Row],[prop_id]],BudgetsTable[[#This Row],[prop_id]]))</f>
        <v/>
      </c>
      <c r="M232" s="15" t="str">
        <f>IF(BudgetsTable[[#This Row],[pi_last_name]]=" ","",HYPERLINK("https://www.ejacket.nsf.gov/ej/processReviewAnalysis.do?dispatch=add&amp;uniqId="&amp;BudgetsTable[[#This Row],[prop_id]]&amp;PO_id,"&gt;ra"))</f>
        <v/>
      </c>
      <c r="N232" s="80" t="s">
        <v>13</v>
      </c>
      <c r="O232" s="7" t="str">
        <f>IF(BudgetsTable[[#This Row],[pi_last_name]]=" ","",HYPERLINK("mailto:"&amp;BudgetsTable[[#This Row],[pi_email]]&amp;"&amp;subject=Your NSF Proposal:  "&amp;BudgetsTable[[#This Row],[prop_id]],BudgetsTable[[#This Row],[pi_email]]))</f>
        <v/>
      </c>
      <c r="P232" s="80" t="s">
        <v>13</v>
      </c>
      <c r="Q232" s="80">
        <v>1</v>
      </c>
      <c r="R232" s="80">
        <v>0.25</v>
      </c>
      <c r="S232" s="81">
        <v>0</v>
      </c>
      <c r="T232" s="81">
        <v>0</v>
      </c>
      <c r="U232" s="81">
        <v>0</v>
      </c>
      <c r="V232" s="82">
        <v>149058</v>
      </c>
      <c r="W232" s="80">
        <v>1</v>
      </c>
      <c r="X232" s="80">
        <v>3</v>
      </c>
      <c r="Y232" s="11" t="str">
        <f ca="1">IF(ISBLANK(BudgetsTable[[#This Row],[budg_seq_yr]]),"FY"&amp;fiscalyear,"FY"&amp;fiscalyear-1+BudgetsTable[[#This Row],[budg_seq_yr]])</f>
        <v>FY20</v>
      </c>
      <c r="Z232" s="81">
        <v>149058</v>
      </c>
      <c r="AA232" s="80" t="s">
        <v>222</v>
      </c>
      <c r="AB232" s="80" t="s">
        <v>1137</v>
      </c>
      <c r="AC232" s="80" t="s">
        <v>1142</v>
      </c>
    </row>
    <row r="233" spans="1:29" x14ac:dyDescent="0.4">
      <c r="A233" s="10" t="s">
        <v>1222</v>
      </c>
      <c r="B233" s="78" t="s">
        <v>96</v>
      </c>
      <c r="C233" s="78">
        <f>C232+(BudgetsTable[[#This Row],[lead]]&lt;&gt;K232)</f>
        <v>47</v>
      </c>
      <c r="D233" s="78">
        <f>D232*(BudgetsTable[[#This Row],[lead]]=K232)+(BudgetsTable[[#This Row],[prop_id]]&lt;&gt;A232)</f>
        <v>1</v>
      </c>
      <c r="E233" s="79">
        <v>42809.505555555559</v>
      </c>
      <c r="F233" s="80" t="s">
        <v>1136</v>
      </c>
      <c r="G233" s="80" t="s">
        <v>222</v>
      </c>
      <c r="H233" s="80" t="s">
        <v>1137</v>
      </c>
      <c r="I233" s="78" t="s">
        <v>451</v>
      </c>
      <c r="J233" s="78" t="s">
        <v>1225</v>
      </c>
      <c r="K233" s="80" t="s">
        <v>1222</v>
      </c>
      <c r="L233" s="7" t="str">
        <f>IF(BudgetsTable[[#This Row],[pi_last_name]]=" ","",HYPERLINK("https://www.ejacket.nsf.gov/ej/showProposal.do?Continue=Y&amp;ID="&amp;BudgetsTable[[#This Row],[prop_id]],BudgetsTable[[#This Row],[prop_id]]))</f>
        <v>1740751</v>
      </c>
      <c r="M233" s="15" t="str">
        <f>IF(BudgetsTable[[#This Row],[pi_last_name]]=" ","",HYPERLINK("https://www.ejacket.nsf.gov/ej/processReviewAnalysis.do?dispatch=add&amp;uniqId="&amp;BudgetsTable[[#This Row],[prop_id]]&amp;PO_id,"&gt;ra"))</f>
        <v>&gt;ra</v>
      </c>
      <c r="N233" s="80" t="s">
        <v>1223</v>
      </c>
      <c r="O233" s="7" t="str">
        <f>IF(BudgetsTable[[#This Row],[pi_last_name]]=" ","",HYPERLINK("mailto:"&amp;BudgetsTable[[#This Row],[pi_email]]&amp;"&amp;subject=Your NSF Proposal:  "&amp;BudgetsTable[[#This Row],[prop_id]],BudgetsTable[[#This Row],[pi_email]]))</f>
        <v>indyk@mit.edu</v>
      </c>
      <c r="P233" s="80" t="s">
        <v>223</v>
      </c>
      <c r="Q233" s="80"/>
      <c r="R233" s="80"/>
      <c r="S233" s="81"/>
      <c r="T233" s="81"/>
      <c r="U233" s="81"/>
      <c r="V233" s="82"/>
      <c r="W233" s="80">
        <v>1</v>
      </c>
      <c r="X233" s="80"/>
      <c r="Y233" s="11" t="str">
        <f ca="1">IF(ISBLANK(BudgetsTable[[#This Row],[budg_seq_yr]]),"FY"&amp;fiscalyear,"FY"&amp;fiscalyear-1+BudgetsTable[[#This Row],[budg_seq_yr]])</f>
        <v>FY18</v>
      </c>
      <c r="Z233" s="81">
        <v>1368500</v>
      </c>
      <c r="AA233" s="80" t="s">
        <v>222</v>
      </c>
      <c r="AB233" s="80" t="s">
        <v>1137</v>
      </c>
      <c r="AC233" s="80" t="s">
        <v>1142</v>
      </c>
    </row>
    <row r="234" spans="1:29" x14ac:dyDescent="0.4">
      <c r="A234" s="10" t="s">
        <v>1222</v>
      </c>
      <c r="B234" s="78" t="s">
        <v>96</v>
      </c>
      <c r="C234" s="78">
        <f>C233+(BudgetsTable[[#This Row],[lead]]&lt;&gt;K233)</f>
        <v>47</v>
      </c>
      <c r="D234" s="78">
        <f>D233*(BudgetsTable[[#This Row],[lead]]=K233)+(BudgetsTable[[#This Row],[prop_id]]&lt;&gt;A233)</f>
        <v>1</v>
      </c>
      <c r="E234" s="79">
        <v>42809.505555555559</v>
      </c>
      <c r="F234" s="80" t="s">
        <v>1136</v>
      </c>
      <c r="G234" s="80" t="s">
        <v>222</v>
      </c>
      <c r="H234" s="80" t="s">
        <v>1137</v>
      </c>
      <c r="I234" s="78" t="s">
        <v>451</v>
      </c>
      <c r="J234" s="78" t="s">
        <v>13</v>
      </c>
      <c r="K234" s="80" t="s">
        <v>1222</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80" t="s">
        <v>13</v>
      </c>
      <c r="O234" s="7" t="str">
        <f>IF(BudgetsTable[[#This Row],[pi_last_name]]=" ","",HYPERLINK("mailto:"&amp;BudgetsTable[[#This Row],[pi_email]]&amp;"&amp;subject=Your NSF Proposal:  "&amp;BudgetsTable[[#This Row],[prop_id]],BudgetsTable[[#This Row],[pi_email]]))</f>
        <v/>
      </c>
      <c r="P234" s="80" t="s">
        <v>13</v>
      </c>
      <c r="Q234" s="80">
        <v>5</v>
      </c>
      <c r="R234" s="80">
        <v>4</v>
      </c>
      <c r="S234" s="81">
        <v>44129</v>
      </c>
      <c r="T234" s="81">
        <v>0</v>
      </c>
      <c r="U234" s="81">
        <v>0</v>
      </c>
      <c r="V234" s="82">
        <v>368500</v>
      </c>
      <c r="W234" s="80">
        <v>1</v>
      </c>
      <c r="X234" s="80">
        <v>1</v>
      </c>
      <c r="Y234" s="11" t="str">
        <f ca="1">IF(ISBLANK(BudgetsTable[[#This Row],[budg_seq_yr]]),"FY"&amp;fiscalyear,"FY"&amp;fiscalyear-1+BudgetsTable[[#This Row],[budg_seq_yr]])</f>
        <v>FY18</v>
      </c>
      <c r="Z234" s="81">
        <v>368500</v>
      </c>
      <c r="AA234" s="80" t="s">
        <v>222</v>
      </c>
      <c r="AB234" s="80" t="s">
        <v>1137</v>
      </c>
      <c r="AC234" s="80" t="s">
        <v>1142</v>
      </c>
    </row>
    <row r="235" spans="1:29" x14ac:dyDescent="0.4">
      <c r="A235" s="10" t="s">
        <v>1222</v>
      </c>
      <c r="B235" s="78" t="s">
        <v>96</v>
      </c>
      <c r="C235" s="78">
        <f>C234+(BudgetsTable[[#This Row],[lead]]&lt;&gt;K234)</f>
        <v>47</v>
      </c>
      <c r="D235" s="78">
        <f>D234*(BudgetsTable[[#This Row],[lead]]=K234)+(BudgetsTable[[#This Row],[prop_id]]&lt;&gt;A234)</f>
        <v>1</v>
      </c>
      <c r="E235" s="79">
        <v>42809.505555555559</v>
      </c>
      <c r="F235" s="80" t="s">
        <v>1136</v>
      </c>
      <c r="G235" s="80" t="s">
        <v>222</v>
      </c>
      <c r="H235" s="80" t="s">
        <v>1137</v>
      </c>
      <c r="I235" s="78" t="s">
        <v>451</v>
      </c>
      <c r="J235" s="78" t="s">
        <v>13</v>
      </c>
      <c r="K235" s="80" t="s">
        <v>1222</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80" t="s">
        <v>13</v>
      </c>
      <c r="O235" s="7" t="str">
        <f>IF(BudgetsTable[[#This Row],[pi_last_name]]=" ","",HYPERLINK("mailto:"&amp;BudgetsTable[[#This Row],[pi_email]]&amp;"&amp;subject=Your NSF Proposal:  "&amp;BudgetsTable[[#This Row],[prop_id]],BudgetsTable[[#This Row],[pi_email]]))</f>
        <v/>
      </c>
      <c r="P235" s="80" t="s">
        <v>13</v>
      </c>
      <c r="Q235" s="80">
        <v>5</v>
      </c>
      <c r="R235" s="80">
        <v>4</v>
      </c>
      <c r="S235" s="81">
        <v>102088</v>
      </c>
      <c r="T235" s="81">
        <v>0</v>
      </c>
      <c r="U235" s="81">
        <v>0</v>
      </c>
      <c r="V235" s="82">
        <v>500000</v>
      </c>
      <c r="W235" s="80">
        <v>1</v>
      </c>
      <c r="X235" s="80">
        <v>2</v>
      </c>
      <c r="Y235" s="11" t="str">
        <f ca="1">IF(ISBLANK(BudgetsTable[[#This Row],[budg_seq_yr]]),"FY"&amp;fiscalyear,"FY"&amp;fiscalyear-1+BudgetsTable[[#This Row],[budg_seq_yr]])</f>
        <v>FY19</v>
      </c>
      <c r="Z235" s="81">
        <v>500000</v>
      </c>
      <c r="AA235" s="80" t="s">
        <v>222</v>
      </c>
      <c r="AB235" s="80" t="s">
        <v>1137</v>
      </c>
      <c r="AC235" s="80" t="s">
        <v>1142</v>
      </c>
    </row>
    <row r="236" spans="1:29" x14ac:dyDescent="0.4">
      <c r="A236" s="10" t="s">
        <v>1222</v>
      </c>
      <c r="B236" s="78" t="s">
        <v>96</v>
      </c>
      <c r="C236" s="78">
        <f>C235+(BudgetsTable[[#This Row],[lead]]&lt;&gt;K235)</f>
        <v>47</v>
      </c>
      <c r="D236" s="78">
        <f>D235*(BudgetsTable[[#This Row],[lead]]=K235)+(BudgetsTable[[#This Row],[prop_id]]&lt;&gt;A235)</f>
        <v>1</v>
      </c>
      <c r="E236" s="79">
        <v>42809.505555555559</v>
      </c>
      <c r="F236" s="80" t="s">
        <v>1136</v>
      </c>
      <c r="G236" s="80" t="s">
        <v>222</v>
      </c>
      <c r="H236" s="80" t="s">
        <v>1137</v>
      </c>
      <c r="I236" s="78" t="s">
        <v>451</v>
      </c>
      <c r="J236" s="78" t="s">
        <v>13</v>
      </c>
      <c r="K236" s="80" t="s">
        <v>1222</v>
      </c>
      <c r="L236" s="7" t="str">
        <f>IF(BudgetsTable[[#This Row],[pi_last_name]]=" ","",HYPERLINK("https://www.ejacket.nsf.gov/ej/showProposal.do?Continue=Y&amp;ID="&amp;BudgetsTable[[#This Row],[prop_id]],BudgetsTable[[#This Row],[prop_id]]))</f>
        <v/>
      </c>
      <c r="M236" s="15" t="str">
        <f>IF(BudgetsTable[[#This Row],[pi_last_name]]=" ","",HYPERLINK("https://www.ejacket.nsf.gov/ej/processReviewAnalysis.do?dispatch=add&amp;uniqId="&amp;BudgetsTable[[#This Row],[prop_id]]&amp;PO_id,"&gt;ra"))</f>
        <v/>
      </c>
      <c r="N236" s="80" t="s">
        <v>13</v>
      </c>
      <c r="O236" s="7" t="str">
        <f>IF(BudgetsTable[[#This Row],[pi_last_name]]=" ","",HYPERLINK("mailto:"&amp;BudgetsTable[[#This Row],[pi_email]]&amp;"&amp;subject=Your NSF Proposal:  "&amp;BudgetsTable[[#This Row],[prop_id]],BudgetsTable[[#This Row],[pi_email]]))</f>
        <v/>
      </c>
      <c r="P236" s="80" t="s">
        <v>13</v>
      </c>
      <c r="Q236" s="80">
        <v>5</v>
      </c>
      <c r="R236" s="80">
        <v>4</v>
      </c>
      <c r="S236" s="81">
        <v>102734</v>
      </c>
      <c r="T236" s="81">
        <v>0</v>
      </c>
      <c r="U236" s="81">
        <v>0</v>
      </c>
      <c r="V236" s="82">
        <v>500000</v>
      </c>
      <c r="W236" s="80">
        <v>1</v>
      </c>
      <c r="X236" s="80">
        <v>3</v>
      </c>
      <c r="Y236" s="11" t="str">
        <f ca="1">IF(ISBLANK(BudgetsTable[[#This Row],[budg_seq_yr]]),"FY"&amp;fiscalyear,"FY"&amp;fiscalyear-1+BudgetsTable[[#This Row],[budg_seq_yr]])</f>
        <v>FY20</v>
      </c>
      <c r="Z236" s="81">
        <v>500000</v>
      </c>
      <c r="AA236" s="80" t="s">
        <v>222</v>
      </c>
      <c r="AB236" s="80" t="s">
        <v>1137</v>
      </c>
      <c r="AC236" s="80" t="s">
        <v>1142</v>
      </c>
    </row>
    <row r="237" spans="1:29" x14ac:dyDescent="0.4">
      <c r="A237" s="10" t="s">
        <v>1228</v>
      </c>
      <c r="B237" s="78" t="s">
        <v>96</v>
      </c>
      <c r="C237" s="78">
        <f>C236+(BudgetsTable[[#This Row],[lead]]&lt;&gt;K236)</f>
        <v>48</v>
      </c>
      <c r="D237" s="78">
        <f>D236*(BudgetsTable[[#This Row],[lead]]=K236)+(BudgetsTable[[#This Row],[prop_id]]&lt;&gt;A236)</f>
        <v>1</v>
      </c>
      <c r="E237" s="79">
        <v>42809.513194444444</v>
      </c>
      <c r="F237" s="80" t="s">
        <v>1136</v>
      </c>
      <c r="G237" s="80" t="s">
        <v>222</v>
      </c>
      <c r="H237" s="80" t="s">
        <v>1137</v>
      </c>
      <c r="I237" s="78" t="s">
        <v>406</v>
      </c>
      <c r="J237" s="78" t="s">
        <v>1232</v>
      </c>
      <c r="K237" s="80" t="s">
        <v>1228</v>
      </c>
      <c r="L237" s="7" t="str">
        <f>IF(BudgetsTable[[#This Row],[pi_last_name]]=" ","",HYPERLINK("https://www.ejacket.nsf.gov/ej/showProposal.do?Continue=Y&amp;ID="&amp;BudgetsTable[[#This Row],[prop_id]],BudgetsTable[[#This Row],[prop_id]]))</f>
        <v>1740752</v>
      </c>
      <c r="M237" s="15" t="str">
        <f>IF(BudgetsTable[[#This Row],[pi_last_name]]=" ","",HYPERLINK("https://www.ejacket.nsf.gov/ej/processReviewAnalysis.do?dispatch=add&amp;uniqId="&amp;BudgetsTable[[#This Row],[prop_id]]&amp;PO_id,"&gt;ra"))</f>
        <v>&gt;ra</v>
      </c>
      <c r="N237" s="80" t="s">
        <v>1229</v>
      </c>
      <c r="O237" s="7" t="str">
        <f>IF(BudgetsTable[[#This Row],[pi_last_name]]=" ","",HYPERLINK("mailto:"&amp;BudgetsTable[[#This Row],[pi_email]]&amp;"&amp;subject=Your NSF Proposal:  "&amp;BudgetsTable[[#This Row],[prop_id]],BudgetsTable[[#This Row],[pi_email]]))</f>
        <v>brian@cse.lehigh.edu</v>
      </c>
      <c r="P237" s="80" t="s">
        <v>1231</v>
      </c>
      <c r="Q237" s="80"/>
      <c r="R237" s="80"/>
      <c r="S237" s="81"/>
      <c r="T237" s="81"/>
      <c r="U237" s="81"/>
      <c r="V237" s="82"/>
      <c r="W237" s="80">
        <v>0</v>
      </c>
      <c r="X237" s="80"/>
      <c r="Y237" s="11" t="str">
        <f ca="1">IF(ISBLANK(BudgetsTable[[#This Row],[budg_seq_yr]]),"FY"&amp;fiscalyear,"FY"&amp;fiscalyear-1+BudgetsTable[[#This Row],[budg_seq_yr]])</f>
        <v>FY18</v>
      </c>
      <c r="Z237" s="81">
        <v>1499915</v>
      </c>
      <c r="AA237" s="80" t="s">
        <v>222</v>
      </c>
      <c r="AB237" s="80" t="s">
        <v>1137</v>
      </c>
      <c r="AC237" s="80" t="s">
        <v>1142</v>
      </c>
    </row>
    <row r="238" spans="1:29" x14ac:dyDescent="0.4">
      <c r="A238" s="10" t="s">
        <v>1228</v>
      </c>
      <c r="B238" s="78" t="s">
        <v>96</v>
      </c>
      <c r="C238" s="78">
        <f>C237+(BudgetsTable[[#This Row],[lead]]&lt;&gt;K237)</f>
        <v>48</v>
      </c>
      <c r="D238" s="78">
        <f>D237*(BudgetsTable[[#This Row],[lead]]=K237)+(BudgetsTable[[#This Row],[prop_id]]&lt;&gt;A237)</f>
        <v>1</v>
      </c>
      <c r="E238" s="79">
        <v>42809.513194444444</v>
      </c>
      <c r="F238" s="80" t="s">
        <v>1136</v>
      </c>
      <c r="G238" s="80" t="s">
        <v>222</v>
      </c>
      <c r="H238" s="80" t="s">
        <v>1137</v>
      </c>
      <c r="I238" s="78" t="s">
        <v>406</v>
      </c>
      <c r="J238" s="78" t="s">
        <v>13</v>
      </c>
      <c r="K238" s="80" t="s">
        <v>1228</v>
      </c>
      <c r="L238" s="7" t="str">
        <f>IF(BudgetsTable[[#This Row],[pi_last_name]]=" ","",HYPERLINK("https://www.ejacket.nsf.gov/ej/showProposal.do?Continue=Y&amp;ID="&amp;BudgetsTable[[#This Row],[prop_id]],BudgetsTable[[#This Row],[prop_id]]))</f>
        <v/>
      </c>
      <c r="M238" s="15" t="str">
        <f>IF(BudgetsTable[[#This Row],[pi_last_name]]=" ","",HYPERLINK("https://www.ejacket.nsf.gov/ej/processReviewAnalysis.do?dispatch=add&amp;uniqId="&amp;BudgetsTable[[#This Row],[prop_id]]&amp;PO_id,"&gt;ra"))</f>
        <v/>
      </c>
      <c r="N238" s="80" t="s">
        <v>13</v>
      </c>
      <c r="O238" s="7" t="str">
        <f>IF(BudgetsTable[[#This Row],[pi_last_name]]=" ","",HYPERLINK("mailto:"&amp;BudgetsTable[[#This Row],[pi_email]]&amp;"&amp;subject=Your NSF Proposal:  "&amp;BudgetsTable[[#This Row],[prop_id]],BudgetsTable[[#This Row],[pi_email]]))</f>
        <v/>
      </c>
      <c r="P238" s="80" t="s">
        <v>13</v>
      </c>
      <c r="Q238" s="80">
        <v>12</v>
      </c>
      <c r="R238" s="80">
        <v>4</v>
      </c>
      <c r="S238" s="81">
        <v>55000</v>
      </c>
      <c r="T238" s="81">
        <v>14500</v>
      </c>
      <c r="U238" s="81">
        <v>0</v>
      </c>
      <c r="V238" s="82">
        <v>499988</v>
      </c>
      <c r="W238" s="80">
        <v>0</v>
      </c>
      <c r="X238" s="80">
        <v>1</v>
      </c>
      <c r="Y238" s="11" t="str">
        <f ca="1">IF(ISBLANK(BudgetsTable[[#This Row],[budg_seq_yr]]),"FY"&amp;fiscalyear,"FY"&amp;fiscalyear-1+BudgetsTable[[#This Row],[budg_seq_yr]])</f>
        <v>FY18</v>
      </c>
      <c r="Z238" s="81">
        <v>499988</v>
      </c>
      <c r="AA238" s="80" t="s">
        <v>222</v>
      </c>
      <c r="AB238" s="80" t="s">
        <v>1137</v>
      </c>
      <c r="AC238" s="80" t="s">
        <v>1142</v>
      </c>
    </row>
    <row r="239" spans="1:29" x14ac:dyDescent="0.4">
      <c r="A239" s="10" t="s">
        <v>1228</v>
      </c>
      <c r="B239" s="78" t="s">
        <v>96</v>
      </c>
      <c r="C239" s="78">
        <f>C238+(BudgetsTable[[#This Row],[lead]]&lt;&gt;K238)</f>
        <v>48</v>
      </c>
      <c r="D239" s="78">
        <f>D238*(BudgetsTable[[#This Row],[lead]]=K238)+(BudgetsTable[[#This Row],[prop_id]]&lt;&gt;A238)</f>
        <v>1</v>
      </c>
      <c r="E239" s="79">
        <v>42809.513194444444</v>
      </c>
      <c r="F239" s="80" t="s">
        <v>1136</v>
      </c>
      <c r="G239" s="80" t="s">
        <v>222</v>
      </c>
      <c r="H239" s="80" t="s">
        <v>1137</v>
      </c>
      <c r="I239" s="78" t="s">
        <v>406</v>
      </c>
      <c r="J239" s="78" t="s">
        <v>13</v>
      </c>
      <c r="K239" s="80" t="s">
        <v>1228</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80" t="s">
        <v>13</v>
      </c>
      <c r="O239" s="7" t="str">
        <f>IF(BudgetsTable[[#This Row],[pi_last_name]]=" ","",HYPERLINK("mailto:"&amp;BudgetsTable[[#This Row],[pi_email]]&amp;"&amp;subject=Your NSF Proposal:  "&amp;BudgetsTable[[#This Row],[prop_id]],BudgetsTable[[#This Row],[pi_email]]))</f>
        <v/>
      </c>
      <c r="P239" s="80" t="s">
        <v>13</v>
      </c>
      <c r="Q239" s="80">
        <v>12</v>
      </c>
      <c r="R239" s="80">
        <v>4</v>
      </c>
      <c r="S239" s="81">
        <v>56650</v>
      </c>
      <c r="T239" s="81">
        <v>8700</v>
      </c>
      <c r="U239" s="81">
        <v>4000</v>
      </c>
      <c r="V239" s="82">
        <v>499987</v>
      </c>
      <c r="W239" s="80">
        <v>0</v>
      </c>
      <c r="X239" s="80">
        <v>2</v>
      </c>
      <c r="Y239" s="11" t="str">
        <f ca="1">IF(ISBLANK(BudgetsTable[[#This Row],[budg_seq_yr]]),"FY"&amp;fiscalyear,"FY"&amp;fiscalyear-1+BudgetsTable[[#This Row],[budg_seq_yr]])</f>
        <v>FY19</v>
      </c>
      <c r="Z239" s="81">
        <v>499987</v>
      </c>
      <c r="AA239" s="80" t="s">
        <v>222</v>
      </c>
      <c r="AB239" s="80" t="s">
        <v>1137</v>
      </c>
      <c r="AC239" s="80" t="s">
        <v>1142</v>
      </c>
    </row>
    <row r="240" spans="1:29" x14ac:dyDescent="0.4">
      <c r="A240" s="10" t="s">
        <v>1228</v>
      </c>
      <c r="B240" s="78" t="s">
        <v>96</v>
      </c>
      <c r="C240" s="78">
        <f>C239+(BudgetsTable[[#This Row],[lead]]&lt;&gt;K239)</f>
        <v>48</v>
      </c>
      <c r="D240" s="78">
        <f>D239*(BudgetsTable[[#This Row],[lead]]=K239)+(BudgetsTable[[#This Row],[prop_id]]&lt;&gt;A239)</f>
        <v>1</v>
      </c>
      <c r="E240" s="79">
        <v>42809.513194444444</v>
      </c>
      <c r="F240" s="80" t="s">
        <v>1136</v>
      </c>
      <c r="G240" s="80" t="s">
        <v>222</v>
      </c>
      <c r="H240" s="80" t="s">
        <v>1137</v>
      </c>
      <c r="I240" s="78" t="s">
        <v>406</v>
      </c>
      <c r="J240" s="78" t="s">
        <v>13</v>
      </c>
      <c r="K240" s="80" t="s">
        <v>1228</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80" t="s">
        <v>13</v>
      </c>
      <c r="O240" s="7" t="str">
        <f>IF(BudgetsTable[[#This Row],[pi_last_name]]=" ","",HYPERLINK("mailto:"&amp;BudgetsTable[[#This Row],[pi_email]]&amp;"&amp;subject=Your NSF Proposal:  "&amp;BudgetsTable[[#This Row],[prop_id]],BudgetsTable[[#This Row],[pi_email]]))</f>
        <v/>
      </c>
      <c r="P240" s="80" t="s">
        <v>13</v>
      </c>
      <c r="Q240" s="80">
        <v>12</v>
      </c>
      <c r="R240" s="80">
        <v>4</v>
      </c>
      <c r="S240" s="81">
        <v>58350</v>
      </c>
      <c r="T240" s="81">
        <v>5800</v>
      </c>
      <c r="U240" s="81">
        <v>4000</v>
      </c>
      <c r="V240" s="82">
        <v>499940</v>
      </c>
      <c r="W240" s="80">
        <v>0</v>
      </c>
      <c r="X240" s="80">
        <v>3</v>
      </c>
      <c r="Y240" s="11" t="str">
        <f ca="1">IF(ISBLANK(BudgetsTable[[#This Row],[budg_seq_yr]]),"FY"&amp;fiscalyear,"FY"&amp;fiscalyear-1+BudgetsTable[[#This Row],[budg_seq_yr]])</f>
        <v>FY20</v>
      </c>
      <c r="Z240" s="81">
        <v>499940</v>
      </c>
      <c r="AA240" s="80" t="s">
        <v>222</v>
      </c>
      <c r="AB240" s="80" t="s">
        <v>1137</v>
      </c>
      <c r="AC240" s="80" t="s">
        <v>1142</v>
      </c>
    </row>
    <row r="241" spans="1:29" x14ac:dyDescent="0.4">
      <c r="A241" s="10" t="s">
        <v>1235</v>
      </c>
      <c r="B241" s="78" t="s">
        <v>96</v>
      </c>
      <c r="C241" s="78">
        <f>C240+(BudgetsTable[[#This Row],[lead]]&lt;&gt;K240)</f>
        <v>49</v>
      </c>
      <c r="D241" s="78">
        <f>D240*(BudgetsTable[[#This Row],[lead]]=K240)+(BudgetsTable[[#This Row],[prop_id]]&lt;&gt;A240)</f>
        <v>1</v>
      </c>
      <c r="E241" s="79">
        <v>42809.573611111111</v>
      </c>
      <c r="F241" s="80" t="s">
        <v>1136</v>
      </c>
      <c r="G241" s="80" t="s">
        <v>222</v>
      </c>
      <c r="H241" s="80" t="s">
        <v>1137</v>
      </c>
      <c r="I241" s="78" t="s">
        <v>451</v>
      </c>
      <c r="J241" s="78" t="s">
        <v>1238</v>
      </c>
      <c r="K241" s="80" t="s">
        <v>1235</v>
      </c>
      <c r="L241" s="7" t="str">
        <f>IF(BudgetsTable[[#This Row],[pi_last_name]]=" ","",HYPERLINK("https://www.ejacket.nsf.gov/ej/showProposal.do?Continue=Y&amp;ID="&amp;BudgetsTable[[#This Row],[prop_id]],BudgetsTable[[#This Row],[prop_id]]))</f>
        <v>1740769</v>
      </c>
      <c r="M241" s="15" t="str">
        <f>IF(BudgetsTable[[#This Row],[pi_last_name]]=" ","",HYPERLINK("https://www.ejacket.nsf.gov/ej/processReviewAnalysis.do?dispatch=add&amp;uniqId="&amp;BudgetsTable[[#This Row],[prop_id]]&amp;PO_id,"&gt;ra"))</f>
        <v>&gt;ra</v>
      </c>
      <c r="N241" s="80" t="s">
        <v>1236</v>
      </c>
      <c r="O241" s="7" t="str">
        <f>IF(BudgetsTable[[#This Row],[pi_last_name]]=" ","",HYPERLINK("mailto:"&amp;BudgetsTable[[#This Row],[pi_email]]&amp;"&amp;subject=Your NSF Proposal:  "&amp;BudgetsTable[[#This Row],[prop_id]],BudgetsTable[[#This Row],[pi_email]]))</f>
        <v>larry@stat.cmu.edu</v>
      </c>
      <c r="P241" s="80" t="s">
        <v>424</v>
      </c>
      <c r="Q241" s="80"/>
      <c r="R241" s="80"/>
      <c r="S241" s="81"/>
      <c r="T241" s="81"/>
      <c r="U241" s="81"/>
      <c r="V241" s="82"/>
      <c r="W241" s="80">
        <v>0</v>
      </c>
      <c r="X241" s="80"/>
      <c r="Y241" s="11" t="str">
        <f ca="1">IF(ISBLANK(BudgetsTable[[#This Row],[budg_seq_yr]]),"FY"&amp;fiscalyear,"FY"&amp;fiscalyear-1+BudgetsTable[[#This Row],[budg_seq_yr]])</f>
        <v>FY18</v>
      </c>
      <c r="Z241" s="81">
        <v>1500000</v>
      </c>
      <c r="AA241" s="80" t="s">
        <v>222</v>
      </c>
      <c r="AB241" s="80" t="s">
        <v>1137</v>
      </c>
      <c r="AC241" s="80" t="s">
        <v>1142</v>
      </c>
    </row>
    <row r="242" spans="1:29" x14ac:dyDescent="0.4">
      <c r="A242" s="10" t="s">
        <v>1235</v>
      </c>
      <c r="B242" s="78" t="s">
        <v>96</v>
      </c>
      <c r="C242" s="78">
        <f>C241+(BudgetsTable[[#This Row],[lead]]&lt;&gt;K241)</f>
        <v>49</v>
      </c>
      <c r="D242" s="78">
        <f>D241*(BudgetsTable[[#This Row],[lead]]=K241)+(BudgetsTable[[#This Row],[prop_id]]&lt;&gt;A241)</f>
        <v>1</v>
      </c>
      <c r="E242" s="79">
        <v>42809.573611111111</v>
      </c>
      <c r="F242" s="80" t="s">
        <v>1136</v>
      </c>
      <c r="G242" s="80" t="s">
        <v>222</v>
      </c>
      <c r="H242" s="80" t="s">
        <v>1137</v>
      </c>
      <c r="I242" s="78" t="s">
        <v>451</v>
      </c>
      <c r="J242" s="78" t="s">
        <v>13</v>
      </c>
      <c r="K242" s="80" t="s">
        <v>1235</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80" t="s">
        <v>13</v>
      </c>
      <c r="O242" s="7" t="str">
        <f>IF(BudgetsTable[[#This Row],[pi_last_name]]=" ","",HYPERLINK("mailto:"&amp;BudgetsTable[[#This Row],[pi_email]]&amp;"&amp;subject=Your NSF Proposal:  "&amp;BudgetsTable[[#This Row],[prop_id]],BudgetsTable[[#This Row],[pi_email]]))</f>
        <v/>
      </c>
      <c r="P242" s="80" t="s">
        <v>13</v>
      </c>
      <c r="Q242" s="80">
        <v>5</v>
      </c>
      <c r="R242" s="80">
        <v>1</v>
      </c>
      <c r="S242" s="81">
        <v>0</v>
      </c>
      <c r="T242" s="81">
        <v>0</v>
      </c>
      <c r="U242" s="81">
        <v>33270</v>
      </c>
      <c r="V242" s="82">
        <v>500000</v>
      </c>
      <c r="W242" s="80">
        <v>0</v>
      </c>
      <c r="X242" s="80">
        <v>1</v>
      </c>
      <c r="Y242" s="11" t="str">
        <f ca="1">IF(ISBLANK(BudgetsTable[[#This Row],[budg_seq_yr]]),"FY"&amp;fiscalyear,"FY"&amp;fiscalyear-1+BudgetsTable[[#This Row],[budg_seq_yr]])</f>
        <v>FY18</v>
      </c>
      <c r="Z242" s="81">
        <v>500000</v>
      </c>
      <c r="AA242" s="80" t="s">
        <v>222</v>
      </c>
      <c r="AB242" s="80" t="s">
        <v>1137</v>
      </c>
      <c r="AC242" s="80" t="s">
        <v>1142</v>
      </c>
    </row>
    <row r="243" spans="1:29" x14ac:dyDescent="0.4">
      <c r="A243" s="10" t="s">
        <v>1235</v>
      </c>
      <c r="B243" s="78" t="s">
        <v>96</v>
      </c>
      <c r="C243" s="78">
        <f>C242+(BudgetsTable[[#This Row],[lead]]&lt;&gt;K242)</f>
        <v>49</v>
      </c>
      <c r="D243" s="78">
        <f>D242*(BudgetsTable[[#This Row],[lead]]=K242)+(BudgetsTable[[#This Row],[prop_id]]&lt;&gt;A242)</f>
        <v>1</v>
      </c>
      <c r="E243" s="79">
        <v>42809.573611111111</v>
      </c>
      <c r="F243" s="80" t="s">
        <v>1136</v>
      </c>
      <c r="G243" s="80" t="s">
        <v>222</v>
      </c>
      <c r="H243" s="80" t="s">
        <v>1137</v>
      </c>
      <c r="I243" s="78" t="s">
        <v>451</v>
      </c>
      <c r="J243" s="78" t="s">
        <v>13</v>
      </c>
      <c r="K243" s="80" t="s">
        <v>1235</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80" t="s">
        <v>13</v>
      </c>
      <c r="O243" s="7" t="str">
        <f>IF(BudgetsTable[[#This Row],[pi_last_name]]=" ","",HYPERLINK("mailto:"&amp;BudgetsTable[[#This Row],[pi_email]]&amp;"&amp;subject=Your NSF Proposal:  "&amp;BudgetsTable[[#This Row],[prop_id]],BudgetsTable[[#This Row],[pi_email]]))</f>
        <v/>
      </c>
      <c r="P243" s="80" t="s">
        <v>13</v>
      </c>
      <c r="Q243" s="80">
        <v>5</v>
      </c>
      <c r="R243" s="80">
        <v>1</v>
      </c>
      <c r="S243" s="81">
        <v>0</v>
      </c>
      <c r="T243" s="81">
        <v>0</v>
      </c>
      <c r="U243" s="81">
        <v>10000</v>
      </c>
      <c r="V243" s="82">
        <v>500000</v>
      </c>
      <c r="W243" s="80">
        <v>0</v>
      </c>
      <c r="X243" s="80">
        <v>2</v>
      </c>
      <c r="Y243" s="11" t="str">
        <f ca="1">IF(ISBLANK(BudgetsTable[[#This Row],[budg_seq_yr]]),"FY"&amp;fiscalyear,"FY"&amp;fiscalyear-1+BudgetsTable[[#This Row],[budg_seq_yr]])</f>
        <v>FY19</v>
      </c>
      <c r="Z243" s="81">
        <v>500000</v>
      </c>
      <c r="AA243" s="80" t="s">
        <v>222</v>
      </c>
      <c r="AB243" s="80" t="s">
        <v>1137</v>
      </c>
      <c r="AC243" s="80" t="s">
        <v>1142</v>
      </c>
    </row>
    <row r="244" spans="1:29" x14ac:dyDescent="0.4">
      <c r="A244" s="10" t="s">
        <v>1235</v>
      </c>
      <c r="B244" s="78" t="s">
        <v>96</v>
      </c>
      <c r="C244" s="78">
        <f>C243+(BudgetsTable[[#This Row],[lead]]&lt;&gt;K243)</f>
        <v>49</v>
      </c>
      <c r="D244" s="78">
        <f>D243*(BudgetsTable[[#This Row],[lead]]=K243)+(BudgetsTable[[#This Row],[prop_id]]&lt;&gt;A243)</f>
        <v>1</v>
      </c>
      <c r="E244" s="79">
        <v>42809.573611111111</v>
      </c>
      <c r="F244" s="80" t="s">
        <v>1136</v>
      </c>
      <c r="G244" s="80" t="s">
        <v>222</v>
      </c>
      <c r="H244" s="80" t="s">
        <v>1137</v>
      </c>
      <c r="I244" s="78" t="s">
        <v>451</v>
      </c>
      <c r="J244" s="78" t="s">
        <v>13</v>
      </c>
      <c r="K244" s="80" t="s">
        <v>1235</v>
      </c>
      <c r="L244" s="7" t="str">
        <f>IF(BudgetsTable[[#This Row],[pi_last_name]]=" ","",HYPERLINK("https://www.ejacket.nsf.gov/ej/showProposal.do?Continue=Y&amp;ID="&amp;BudgetsTable[[#This Row],[prop_id]],BudgetsTable[[#This Row],[prop_id]]))</f>
        <v/>
      </c>
      <c r="M244" s="15" t="str">
        <f>IF(BudgetsTable[[#This Row],[pi_last_name]]=" ","",HYPERLINK("https://www.ejacket.nsf.gov/ej/processReviewAnalysis.do?dispatch=add&amp;uniqId="&amp;BudgetsTable[[#This Row],[prop_id]]&amp;PO_id,"&gt;ra"))</f>
        <v/>
      </c>
      <c r="N244" s="80" t="s">
        <v>13</v>
      </c>
      <c r="O244" s="7" t="str">
        <f>IF(BudgetsTable[[#This Row],[pi_last_name]]=" ","",HYPERLINK("mailto:"&amp;BudgetsTable[[#This Row],[pi_email]]&amp;"&amp;subject=Your NSF Proposal:  "&amp;BudgetsTable[[#This Row],[prop_id]],BudgetsTable[[#This Row],[pi_email]]))</f>
        <v/>
      </c>
      <c r="P244" s="80" t="s">
        <v>13</v>
      </c>
      <c r="Q244" s="80">
        <v>5</v>
      </c>
      <c r="R244" s="80">
        <v>1</v>
      </c>
      <c r="S244" s="81">
        <v>0</v>
      </c>
      <c r="T244" s="81">
        <v>0</v>
      </c>
      <c r="U244" s="81">
        <v>23270</v>
      </c>
      <c r="V244" s="82">
        <v>500000</v>
      </c>
      <c r="W244" s="80">
        <v>0</v>
      </c>
      <c r="X244" s="80">
        <v>3</v>
      </c>
      <c r="Y244" s="11" t="str">
        <f ca="1">IF(ISBLANK(BudgetsTable[[#This Row],[budg_seq_yr]]),"FY"&amp;fiscalyear,"FY"&amp;fiscalyear-1+BudgetsTable[[#This Row],[budg_seq_yr]])</f>
        <v>FY20</v>
      </c>
      <c r="Z244" s="81">
        <v>500000</v>
      </c>
      <c r="AA244" s="80" t="s">
        <v>222</v>
      </c>
      <c r="AB244" s="80" t="s">
        <v>1137</v>
      </c>
      <c r="AC244" s="80" t="s">
        <v>1142</v>
      </c>
    </row>
    <row r="245" spans="1:29" x14ac:dyDescent="0.4">
      <c r="A245" s="10" t="s">
        <v>1242</v>
      </c>
      <c r="B245" s="78" t="s">
        <v>96</v>
      </c>
      <c r="C245" s="78">
        <f>C244+(BudgetsTable[[#This Row],[lead]]&lt;&gt;K244)</f>
        <v>50</v>
      </c>
      <c r="D245" s="78">
        <f>D244*(BudgetsTable[[#This Row],[lead]]=K244)+(BudgetsTable[[#This Row],[prop_id]]&lt;&gt;A244)</f>
        <v>1</v>
      </c>
      <c r="E245" s="79">
        <v>42809.593055555553</v>
      </c>
      <c r="F245" s="80" t="s">
        <v>1136</v>
      </c>
      <c r="G245" s="80" t="s">
        <v>222</v>
      </c>
      <c r="H245" s="80" t="s">
        <v>1137</v>
      </c>
      <c r="I245" s="78" t="s">
        <v>1241</v>
      </c>
      <c r="J245" s="78" t="s">
        <v>1245</v>
      </c>
      <c r="K245" s="80" t="s">
        <v>1242</v>
      </c>
      <c r="L245" s="7" t="str">
        <f>IF(BudgetsTable[[#This Row],[pi_last_name]]=" ","",HYPERLINK("https://www.ejacket.nsf.gov/ej/showProposal.do?Continue=Y&amp;ID="&amp;BudgetsTable[[#This Row],[prop_id]],BudgetsTable[[#This Row],[prop_id]]))</f>
        <v>1740776</v>
      </c>
      <c r="M245" s="15" t="str">
        <f>IF(BudgetsTable[[#This Row],[pi_last_name]]=" ","",HYPERLINK("https://www.ejacket.nsf.gov/ej/processReviewAnalysis.do?dispatch=add&amp;uniqId="&amp;BudgetsTable[[#This Row],[prop_id]]&amp;PO_id,"&gt;ra"))</f>
        <v>&gt;ra</v>
      </c>
      <c r="N245" s="80" t="s">
        <v>1243</v>
      </c>
      <c r="O245" s="7" t="str">
        <f>IF(BudgetsTable[[#This Row],[pi_last_name]]=" ","",HYPERLINK("mailto:"&amp;BudgetsTable[[#This Row],[pi_email]]&amp;"&amp;subject=Your NSF Proposal:  "&amp;BudgetsTable[[#This Row],[prop_id]],BudgetsTable[[#This Row],[pi_email]]))</f>
        <v>xiaoming@isye.gatech.edu</v>
      </c>
      <c r="P245" s="80" t="s">
        <v>1040</v>
      </c>
      <c r="Q245" s="80"/>
      <c r="R245" s="80"/>
      <c r="S245" s="81"/>
      <c r="T245" s="81"/>
      <c r="U245" s="81"/>
      <c r="V245" s="82"/>
      <c r="W245" s="80">
        <v>0</v>
      </c>
      <c r="X245" s="80"/>
      <c r="Y245" s="11" t="str">
        <f ca="1">IF(ISBLANK(BudgetsTable[[#This Row],[budg_seq_yr]]),"FY"&amp;fiscalyear,"FY"&amp;fiscalyear-1+BudgetsTable[[#This Row],[budg_seq_yr]])</f>
        <v>FY18</v>
      </c>
      <c r="Z245" s="81">
        <v>1500000</v>
      </c>
      <c r="AA245" s="80" t="s">
        <v>222</v>
      </c>
      <c r="AB245" s="80" t="s">
        <v>1137</v>
      </c>
      <c r="AC245" s="80" t="s">
        <v>1142</v>
      </c>
    </row>
    <row r="246" spans="1:29" x14ac:dyDescent="0.4">
      <c r="A246" s="10" t="s">
        <v>1242</v>
      </c>
      <c r="B246" s="78" t="s">
        <v>96</v>
      </c>
      <c r="C246" s="78">
        <f>C245+(BudgetsTable[[#This Row],[lead]]&lt;&gt;K245)</f>
        <v>50</v>
      </c>
      <c r="D246" s="78">
        <f>D245*(BudgetsTable[[#This Row],[lead]]=K245)+(BudgetsTable[[#This Row],[prop_id]]&lt;&gt;A245)</f>
        <v>1</v>
      </c>
      <c r="E246" s="79">
        <v>42809.593055555553</v>
      </c>
      <c r="F246" s="80" t="s">
        <v>1136</v>
      </c>
      <c r="G246" s="80" t="s">
        <v>222</v>
      </c>
      <c r="H246" s="80" t="s">
        <v>1137</v>
      </c>
      <c r="I246" s="78" t="s">
        <v>1241</v>
      </c>
      <c r="J246" s="78" t="s">
        <v>13</v>
      </c>
      <c r="K246" s="80" t="s">
        <v>1242</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80" t="s">
        <v>13</v>
      </c>
      <c r="O246" s="7" t="str">
        <f>IF(BudgetsTable[[#This Row],[pi_last_name]]=" ","",HYPERLINK("mailto:"&amp;BudgetsTable[[#This Row],[pi_email]]&amp;"&amp;subject=Your NSF Proposal:  "&amp;BudgetsTable[[#This Row],[prop_id]],BudgetsTable[[#This Row],[pi_email]]))</f>
        <v/>
      </c>
      <c r="P246" s="80" t="s">
        <v>13</v>
      </c>
      <c r="Q246" s="80">
        <v>8</v>
      </c>
      <c r="R246" s="80">
        <v>0</v>
      </c>
      <c r="S246" s="81">
        <v>60000</v>
      </c>
      <c r="T246" s="81">
        <v>7500</v>
      </c>
      <c r="U246" s="81">
        <v>56250</v>
      </c>
      <c r="V246" s="82">
        <v>500000</v>
      </c>
      <c r="W246" s="80">
        <v>0</v>
      </c>
      <c r="X246" s="80">
        <v>1</v>
      </c>
      <c r="Y246" s="11" t="str">
        <f ca="1">IF(ISBLANK(BudgetsTable[[#This Row],[budg_seq_yr]]),"FY"&amp;fiscalyear,"FY"&amp;fiscalyear-1+BudgetsTable[[#This Row],[budg_seq_yr]])</f>
        <v>FY18</v>
      </c>
      <c r="Z246" s="81">
        <v>500000</v>
      </c>
      <c r="AA246" s="80" t="s">
        <v>222</v>
      </c>
      <c r="AB246" s="80" t="s">
        <v>1137</v>
      </c>
      <c r="AC246" s="80" t="s">
        <v>1142</v>
      </c>
    </row>
    <row r="247" spans="1:29" x14ac:dyDescent="0.4">
      <c r="A247" s="10" t="s">
        <v>1242</v>
      </c>
      <c r="B247" s="78" t="s">
        <v>96</v>
      </c>
      <c r="C247" s="78">
        <f>C246+(BudgetsTable[[#This Row],[lead]]&lt;&gt;K246)</f>
        <v>50</v>
      </c>
      <c r="D247" s="78">
        <f>D246*(BudgetsTable[[#This Row],[lead]]=K246)+(BudgetsTable[[#This Row],[prop_id]]&lt;&gt;A246)</f>
        <v>1</v>
      </c>
      <c r="E247" s="79">
        <v>42809.593055555553</v>
      </c>
      <c r="F247" s="80" t="s">
        <v>1136</v>
      </c>
      <c r="G247" s="80" t="s">
        <v>222</v>
      </c>
      <c r="H247" s="80" t="s">
        <v>1137</v>
      </c>
      <c r="I247" s="78" t="s">
        <v>1241</v>
      </c>
      <c r="J247" s="78" t="s">
        <v>13</v>
      </c>
      <c r="K247" s="80" t="s">
        <v>1242</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80" t="s">
        <v>13</v>
      </c>
      <c r="O247" s="7" t="str">
        <f>IF(BudgetsTable[[#This Row],[pi_last_name]]=" ","",HYPERLINK("mailto:"&amp;BudgetsTable[[#This Row],[pi_email]]&amp;"&amp;subject=Your NSF Proposal:  "&amp;BudgetsTable[[#This Row],[prop_id]],BudgetsTable[[#This Row],[pi_email]]))</f>
        <v/>
      </c>
      <c r="P247" s="80" t="s">
        <v>13</v>
      </c>
      <c r="Q247" s="80">
        <v>8</v>
      </c>
      <c r="R247" s="80">
        <v>0</v>
      </c>
      <c r="S247" s="81">
        <v>61800</v>
      </c>
      <c r="T247" s="81">
        <v>7500</v>
      </c>
      <c r="U247" s="81">
        <v>56250</v>
      </c>
      <c r="V247" s="82">
        <v>500000</v>
      </c>
      <c r="W247" s="80">
        <v>0</v>
      </c>
      <c r="X247" s="80">
        <v>2</v>
      </c>
      <c r="Y247" s="11" t="str">
        <f ca="1">IF(ISBLANK(BudgetsTable[[#This Row],[budg_seq_yr]]),"FY"&amp;fiscalyear,"FY"&amp;fiscalyear-1+BudgetsTable[[#This Row],[budg_seq_yr]])</f>
        <v>FY19</v>
      </c>
      <c r="Z247" s="81">
        <v>500000</v>
      </c>
      <c r="AA247" s="80" t="s">
        <v>222</v>
      </c>
      <c r="AB247" s="80" t="s">
        <v>1137</v>
      </c>
      <c r="AC247" s="80" t="s">
        <v>1142</v>
      </c>
    </row>
    <row r="248" spans="1:29" x14ac:dyDescent="0.4">
      <c r="A248" s="10" t="s">
        <v>1242</v>
      </c>
      <c r="B248" s="78" t="s">
        <v>96</v>
      </c>
      <c r="C248" s="78">
        <f>C247+(BudgetsTable[[#This Row],[lead]]&lt;&gt;K247)</f>
        <v>50</v>
      </c>
      <c r="D248" s="78">
        <f>D247*(BudgetsTable[[#This Row],[lead]]=K247)+(BudgetsTable[[#This Row],[prop_id]]&lt;&gt;A247)</f>
        <v>1</v>
      </c>
      <c r="E248" s="79">
        <v>42809.593055555553</v>
      </c>
      <c r="F248" s="80" t="s">
        <v>1136</v>
      </c>
      <c r="G248" s="80" t="s">
        <v>222</v>
      </c>
      <c r="H248" s="80" t="s">
        <v>1137</v>
      </c>
      <c r="I248" s="78" t="s">
        <v>1241</v>
      </c>
      <c r="J248" s="78" t="s">
        <v>13</v>
      </c>
      <c r="K248" s="80" t="s">
        <v>1242</v>
      </c>
      <c r="L248" s="7" t="str">
        <f>IF(BudgetsTable[[#This Row],[pi_last_name]]=" ","",HYPERLINK("https://www.ejacket.nsf.gov/ej/showProposal.do?Continue=Y&amp;ID="&amp;BudgetsTable[[#This Row],[prop_id]],BudgetsTable[[#This Row],[prop_id]]))</f>
        <v/>
      </c>
      <c r="M248" s="15" t="str">
        <f>IF(BudgetsTable[[#This Row],[pi_last_name]]=" ","",HYPERLINK("https://www.ejacket.nsf.gov/ej/processReviewAnalysis.do?dispatch=add&amp;uniqId="&amp;BudgetsTable[[#This Row],[prop_id]]&amp;PO_id,"&gt;ra"))</f>
        <v/>
      </c>
      <c r="N248" s="80" t="s">
        <v>13</v>
      </c>
      <c r="O248" s="7" t="str">
        <f>IF(BudgetsTable[[#This Row],[pi_last_name]]=" ","",HYPERLINK("mailto:"&amp;BudgetsTable[[#This Row],[pi_email]]&amp;"&amp;subject=Your NSF Proposal:  "&amp;BudgetsTable[[#This Row],[prop_id]],BudgetsTable[[#This Row],[pi_email]]))</f>
        <v/>
      </c>
      <c r="P248" s="80" t="s">
        <v>13</v>
      </c>
      <c r="Q248" s="80">
        <v>8</v>
      </c>
      <c r="R248" s="80">
        <v>0</v>
      </c>
      <c r="S248" s="81">
        <v>63654</v>
      </c>
      <c r="T248" s="81">
        <v>7500</v>
      </c>
      <c r="U248" s="81">
        <v>56250</v>
      </c>
      <c r="V248" s="82">
        <v>500000</v>
      </c>
      <c r="W248" s="80">
        <v>0</v>
      </c>
      <c r="X248" s="80">
        <v>3</v>
      </c>
      <c r="Y248" s="11" t="str">
        <f ca="1">IF(ISBLANK(BudgetsTable[[#This Row],[budg_seq_yr]]),"FY"&amp;fiscalyear,"FY"&amp;fiscalyear-1+BudgetsTable[[#This Row],[budg_seq_yr]])</f>
        <v>FY20</v>
      </c>
      <c r="Z248" s="81">
        <v>500000</v>
      </c>
      <c r="AA248" s="80" t="s">
        <v>222</v>
      </c>
      <c r="AB248" s="80" t="s">
        <v>1137</v>
      </c>
      <c r="AC248" s="80" t="s">
        <v>1142</v>
      </c>
    </row>
    <row r="249" spans="1:29" x14ac:dyDescent="0.4">
      <c r="A249" s="10" t="s">
        <v>1247</v>
      </c>
      <c r="B249" s="78" t="s">
        <v>1145</v>
      </c>
      <c r="C249" s="78">
        <f>C248+(BudgetsTable[[#This Row],[lead]]&lt;&gt;K248)</f>
        <v>51</v>
      </c>
      <c r="D249" s="78">
        <f>D248*(BudgetsTable[[#This Row],[lead]]=K248)+(BudgetsTable[[#This Row],[prop_id]]&lt;&gt;A248)</f>
        <v>1</v>
      </c>
      <c r="E249" s="79">
        <v>42809.597916666666</v>
      </c>
      <c r="F249" s="80" t="s">
        <v>1136</v>
      </c>
      <c r="G249" s="80" t="s">
        <v>222</v>
      </c>
      <c r="H249" s="80" t="s">
        <v>1137</v>
      </c>
      <c r="I249" s="78" t="s">
        <v>406</v>
      </c>
      <c r="J249" s="78" t="s">
        <v>1251</v>
      </c>
      <c r="K249" s="80" t="s">
        <v>1247</v>
      </c>
      <c r="L249" s="7" t="str">
        <f>IF(BudgetsTable[[#This Row],[pi_last_name]]=" ","",HYPERLINK("https://www.ejacket.nsf.gov/ej/showProposal.do?Continue=Y&amp;ID="&amp;BudgetsTable[[#This Row],[prop_id]],BudgetsTable[[#This Row],[prop_id]]))</f>
        <v>1740779</v>
      </c>
      <c r="M249" s="15" t="str">
        <f>IF(BudgetsTable[[#This Row],[pi_last_name]]=" ","",HYPERLINK("https://www.ejacket.nsf.gov/ej/processReviewAnalysis.do?dispatch=add&amp;uniqId="&amp;BudgetsTable[[#This Row],[prop_id]]&amp;PO_id,"&gt;ra"))</f>
        <v>&gt;ra</v>
      </c>
      <c r="N249" s="80" t="s">
        <v>1248</v>
      </c>
      <c r="O249" s="7" t="str">
        <f>IF(BudgetsTable[[#This Row],[pi_last_name]]=" ","",HYPERLINK("mailto:"&amp;BudgetsTable[[#This Row],[pi_email]]&amp;"&amp;subject=Your NSF Proposal:  "&amp;BudgetsTable[[#This Row],[prop_id]],BudgetsTable[[#This Row],[pi_email]]))</f>
        <v>carbonjo@buffalostate.edu</v>
      </c>
      <c r="P249" s="80" t="s">
        <v>1250</v>
      </c>
      <c r="Q249" s="80"/>
      <c r="R249" s="80"/>
      <c r="S249" s="81"/>
      <c r="T249" s="81"/>
      <c r="U249" s="81"/>
      <c r="V249" s="82"/>
      <c r="W249" s="80">
        <v>0</v>
      </c>
      <c r="X249" s="80"/>
      <c r="Y249" s="11" t="str">
        <f ca="1">IF(ISBLANK(BudgetsTable[[#This Row],[budg_seq_yr]]),"FY"&amp;fiscalyear,"FY"&amp;fiscalyear-1+BudgetsTable[[#This Row],[budg_seq_yr]])</f>
        <v>FY18</v>
      </c>
      <c r="Z249" s="81">
        <v>285964</v>
      </c>
      <c r="AA249" s="80" t="s">
        <v>222</v>
      </c>
      <c r="AB249" s="80" t="s">
        <v>1137</v>
      </c>
      <c r="AC249" s="80" t="s">
        <v>1176</v>
      </c>
    </row>
    <row r="250" spans="1:29" x14ac:dyDescent="0.4">
      <c r="A250" s="10" t="s">
        <v>1247</v>
      </c>
      <c r="B250" s="78" t="s">
        <v>1145</v>
      </c>
      <c r="C250" s="78">
        <f>C249+(BudgetsTable[[#This Row],[lead]]&lt;&gt;K249)</f>
        <v>51</v>
      </c>
      <c r="D250" s="78">
        <f>D249*(BudgetsTable[[#This Row],[lead]]=K249)+(BudgetsTable[[#This Row],[prop_id]]&lt;&gt;A249)</f>
        <v>1</v>
      </c>
      <c r="E250" s="79">
        <v>42809.597916666666</v>
      </c>
      <c r="F250" s="80" t="s">
        <v>1136</v>
      </c>
      <c r="G250" s="80" t="s">
        <v>222</v>
      </c>
      <c r="H250" s="80" t="s">
        <v>1137</v>
      </c>
      <c r="I250" s="78" t="s">
        <v>406</v>
      </c>
      <c r="J250" s="78" t="s">
        <v>13</v>
      </c>
      <c r="K250" s="80" t="s">
        <v>1247</v>
      </c>
      <c r="L250" s="7" t="str">
        <f>IF(BudgetsTable[[#This Row],[pi_last_name]]=" ","",HYPERLINK("https://www.ejacket.nsf.gov/ej/showProposal.do?Continue=Y&amp;ID="&amp;BudgetsTable[[#This Row],[prop_id]],BudgetsTable[[#This Row],[prop_id]]))</f>
        <v/>
      </c>
      <c r="M250" s="15" t="str">
        <f>IF(BudgetsTable[[#This Row],[pi_last_name]]=" ","",HYPERLINK("https://www.ejacket.nsf.gov/ej/processReviewAnalysis.do?dispatch=add&amp;uniqId="&amp;BudgetsTable[[#This Row],[prop_id]]&amp;PO_id,"&gt;ra"))</f>
        <v/>
      </c>
      <c r="N250" s="80" t="s">
        <v>13</v>
      </c>
      <c r="O250" s="7" t="str">
        <f>IF(BudgetsTable[[#This Row],[pi_last_name]]=" ","",HYPERLINK("mailto:"&amp;BudgetsTable[[#This Row],[pi_email]]&amp;"&amp;subject=Your NSF Proposal:  "&amp;BudgetsTable[[#This Row],[prop_id]],BudgetsTable[[#This Row],[pi_email]]))</f>
        <v/>
      </c>
      <c r="P250" s="80" t="s">
        <v>13</v>
      </c>
      <c r="Q250" s="80">
        <v>2</v>
      </c>
      <c r="R250" s="80">
        <v>2</v>
      </c>
      <c r="S250" s="81">
        <v>0</v>
      </c>
      <c r="T250" s="81">
        <v>0</v>
      </c>
      <c r="U250" s="81">
        <v>5000</v>
      </c>
      <c r="V250" s="82">
        <v>92941</v>
      </c>
      <c r="W250" s="80">
        <v>0</v>
      </c>
      <c r="X250" s="80">
        <v>1</v>
      </c>
      <c r="Y250" s="11" t="str">
        <f ca="1">IF(ISBLANK(BudgetsTable[[#This Row],[budg_seq_yr]]),"FY"&amp;fiscalyear,"FY"&amp;fiscalyear-1+BudgetsTable[[#This Row],[budg_seq_yr]])</f>
        <v>FY18</v>
      </c>
      <c r="Z250" s="81">
        <v>92941</v>
      </c>
      <c r="AA250" s="80" t="s">
        <v>222</v>
      </c>
      <c r="AB250" s="80" t="s">
        <v>1137</v>
      </c>
      <c r="AC250" s="80" t="s">
        <v>1176</v>
      </c>
    </row>
    <row r="251" spans="1:29" x14ac:dyDescent="0.4">
      <c r="A251" s="10" t="s">
        <v>1247</v>
      </c>
      <c r="B251" s="78" t="s">
        <v>1145</v>
      </c>
      <c r="C251" s="78">
        <f>C250+(BudgetsTable[[#This Row],[lead]]&lt;&gt;K250)</f>
        <v>51</v>
      </c>
      <c r="D251" s="78">
        <f>D250*(BudgetsTable[[#This Row],[lead]]=K250)+(BudgetsTable[[#This Row],[prop_id]]&lt;&gt;A250)</f>
        <v>1</v>
      </c>
      <c r="E251" s="79">
        <v>42809.597916666666</v>
      </c>
      <c r="F251" s="80" t="s">
        <v>1136</v>
      </c>
      <c r="G251" s="80" t="s">
        <v>222</v>
      </c>
      <c r="H251" s="80" t="s">
        <v>1137</v>
      </c>
      <c r="I251" s="78" t="s">
        <v>406</v>
      </c>
      <c r="J251" s="78" t="s">
        <v>13</v>
      </c>
      <c r="K251" s="80" t="s">
        <v>1247</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80" t="s">
        <v>13</v>
      </c>
      <c r="O251" s="7" t="str">
        <f>IF(BudgetsTable[[#This Row],[pi_last_name]]=" ","",HYPERLINK("mailto:"&amp;BudgetsTable[[#This Row],[pi_email]]&amp;"&amp;subject=Your NSF Proposal:  "&amp;BudgetsTable[[#This Row],[prop_id]],BudgetsTable[[#This Row],[pi_email]]))</f>
        <v/>
      </c>
      <c r="P251" s="80" t="s">
        <v>13</v>
      </c>
      <c r="Q251" s="80">
        <v>2</v>
      </c>
      <c r="R251" s="80">
        <v>2</v>
      </c>
      <c r="S251" s="81">
        <v>0</v>
      </c>
      <c r="T251" s="81">
        <v>0</v>
      </c>
      <c r="U251" s="81">
        <v>0</v>
      </c>
      <c r="V251" s="82">
        <v>96688</v>
      </c>
      <c r="W251" s="80">
        <v>0</v>
      </c>
      <c r="X251" s="80">
        <v>2</v>
      </c>
      <c r="Y251" s="11" t="str">
        <f ca="1">IF(ISBLANK(BudgetsTable[[#This Row],[budg_seq_yr]]),"FY"&amp;fiscalyear,"FY"&amp;fiscalyear-1+BudgetsTable[[#This Row],[budg_seq_yr]])</f>
        <v>FY19</v>
      </c>
      <c r="Z251" s="81">
        <v>96688</v>
      </c>
      <c r="AA251" s="80" t="s">
        <v>222</v>
      </c>
      <c r="AB251" s="80" t="s">
        <v>1137</v>
      </c>
      <c r="AC251" s="80" t="s">
        <v>1176</v>
      </c>
    </row>
    <row r="252" spans="1:29" x14ac:dyDescent="0.4">
      <c r="A252" s="10" t="s">
        <v>1247</v>
      </c>
      <c r="B252" s="78" t="s">
        <v>1145</v>
      </c>
      <c r="C252" s="78">
        <f>C251+(BudgetsTable[[#This Row],[lead]]&lt;&gt;K251)</f>
        <v>51</v>
      </c>
      <c r="D252" s="78">
        <f>D251*(BudgetsTable[[#This Row],[lead]]=K251)+(BudgetsTable[[#This Row],[prop_id]]&lt;&gt;A251)</f>
        <v>1</v>
      </c>
      <c r="E252" s="79">
        <v>42809.597916666666</v>
      </c>
      <c r="F252" s="80" t="s">
        <v>1136</v>
      </c>
      <c r="G252" s="80" t="s">
        <v>222</v>
      </c>
      <c r="H252" s="80" t="s">
        <v>1137</v>
      </c>
      <c r="I252" s="78" t="s">
        <v>406</v>
      </c>
      <c r="J252" s="78" t="s">
        <v>13</v>
      </c>
      <c r="K252" s="80" t="s">
        <v>1247</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80" t="s">
        <v>13</v>
      </c>
      <c r="O252" s="7" t="str">
        <f>IF(BudgetsTable[[#This Row],[pi_last_name]]=" ","",HYPERLINK("mailto:"&amp;BudgetsTable[[#This Row],[pi_email]]&amp;"&amp;subject=Your NSF Proposal:  "&amp;BudgetsTable[[#This Row],[prop_id]],BudgetsTable[[#This Row],[pi_email]]))</f>
        <v/>
      </c>
      <c r="P252" s="80" t="s">
        <v>13</v>
      </c>
      <c r="Q252" s="80">
        <v>2</v>
      </c>
      <c r="R252" s="80">
        <v>2</v>
      </c>
      <c r="S252" s="81">
        <v>0</v>
      </c>
      <c r="T252" s="81">
        <v>0</v>
      </c>
      <c r="U252" s="81">
        <v>5000</v>
      </c>
      <c r="V252" s="82">
        <v>96335</v>
      </c>
      <c r="W252" s="80">
        <v>0</v>
      </c>
      <c r="X252" s="80">
        <v>3</v>
      </c>
      <c r="Y252" s="11" t="str">
        <f ca="1">IF(ISBLANK(BudgetsTable[[#This Row],[budg_seq_yr]]),"FY"&amp;fiscalyear,"FY"&amp;fiscalyear-1+BudgetsTable[[#This Row],[budg_seq_yr]])</f>
        <v>FY20</v>
      </c>
      <c r="Z252" s="81">
        <v>96335</v>
      </c>
      <c r="AA252" s="80" t="s">
        <v>222</v>
      </c>
      <c r="AB252" s="80" t="s">
        <v>1137</v>
      </c>
      <c r="AC252" s="80" t="s">
        <v>1176</v>
      </c>
    </row>
    <row r="253" spans="1:29" x14ac:dyDescent="0.4">
      <c r="A253" s="10" t="s">
        <v>1254</v>
      </c>
      <c r="B253" s="78" t="s">
        <v>965</v>
      </c>
      <c r="C253" s="78">
        <f>C252+(BudgetsTable[[#This Row],[lead]]&lt;&gt;K252)</f>
        <v>51</v>
      </c>
      <c r="D253" s="78">
        <f>D252*(BudgetsTable[[#This Row],[lead]]=K252)+(BudgetsTable[[#This Row],[prop_id]]&lt;&gt;A252)</f>
        <v>2</v>
      </c>
      <c r="E253" s="79">
        <v>42809.414583333331</v>
      </c>
      <c r="F253" s="80" t="s">
        <v>1136</v>
      </c>
      <c r="G253" s="80" t="s">
        <v>222</v>
      </c>
      <c r="H253" s="80" t="s">
        <v>1137</v>
      </c>
      <c r="I253" s="78" t="s">
        <v>406</v>
      </c>
      <c r="J253" s="78" t="s">
        <v>1257</v>
      </c>
      <c r="K253" s="80" t="s">
        <v>1247</v>
      </c>
      <c r="L253" s="7" t="str">
        <f>IF(BudgetsTable[[#This Row],[pi_last_name]]=" ","",HYPERLINK("https://www.ejacket.nsf.gov/ej/showProposal.do?Continue=Y&amp;ID="&amp;BudgetsTable[[#This Row],[prop_id]],BudgetsTable[[#This Row],[prop_id]]))</f>
        <v>1740731</v>
      </c>
      <c r="M253" s="15" t="str">
        <f>IF(BudgetsTable[[#This Row],[pi_last_name]]=" ","",HYPERLINK("https://www.ejacket.nsf.gov/ej/processReviewAnalysis.do?dispatch=add&amp;uniqId="&amp;BudgetsTable[[#This Row],[prop_id]]&amp;PO_id,"&gt;ra"))</f>
        <v>&gt;ra</v>
      </c>
      <c r="N253" s="80" t="s">
        <v>1255</v>
      </c>
      <c r="O253" s="7" t="str">
        <f>IF(BudgetsTable[[#This Row],[pi_last_name]]=" ","",HYPERLINK("mailto:"&amp;BudgetsTable[[#This Row],[pi_email]]&amp;"&amp;subject=Your NSF Proposal:  "&amp;BudgetsTable[[#This Row],[prop_id]],BudgetsTable[[#This Row],[pi_email]]))</f>
        <v>jsperhac@buffalo.edu</v>
      </c>
      <c r="P253" s="80" t="s">
        <v>220</v>
      </c>
      <c r="Q253" s="80"/>
      <c r="R253" s="80"/>
      <c r="S253" s="81"/>
      <c r="T253" s="81"/>
      <c r="U253" s="81"/>
      <c r="V253" s="82"/>
      <c r="W253" s="80">
        <v>0</v>
      </c>
      <c r="X253" s="80"/>
      <c r="Y253" s="11" t="str">
        <f ca="1">IF(ISBLANK(BudgetsTable[[#This Row],[budg_seq_yr]]),"FY"&amp;fiscalyear,"FY"&amp;fiscalyear-1+BudgetsTable[[#This Row],[budg_seq_yr]])</f>
        <v>FY18</v>
      </c>
      <c r="Z253" s="81">
        <v>209549</v>
      </c>
      <c r="AA253" s="80" t="s">
        <v>222</v>
      </c>
      <c r="AB253" s="80" t="s">
        <v>1137</v>
      </c>
      <c r="AC253" s="80" t="s">
        <v>1176</v>
      </c>
    </row>
    <row r="254" spans="1:29" x14ac:dyDescent="0.4">
      <c r="A254" s="10" t="s">
        <v>1254</v>
      </c>
      <c r="B254" s="78" t="s">
        <v>965</v>
      </c>
      <c r="C254" s="78">
        <f>C253+(BudgetsTable[[#This Row],[lead]]&lt;&gt;K253)</f>
        <v>51</v>
      </c>
      <c r="D254" s="78">
        <f>D253*(BudgetsTable[[#This Row],[lead]]=K253)+(BudgetsTable[[#This Row],[prop_id]]&lt;&gt;A253)</f>
        <v>2</v>
      </c>
      <c r="E254" s="79">
        <v>42809.414583333331</v>
      </c>
      <c r="F254" s="80" t="s">
        <v>1136</v>
      </c>
      <c r="G254" s="80" t="s">
        <v>222</v>
      </c>
      <c r="H254" s="80" t="s">
        <v>1137</v>
      </c>
      <c r="I254" s="78" t="s">
        <v>406</v>
      </c>
      <c r="J254" s="78" t="s">
        <v>13</v>
      </c>
      <c r="K254" s="80" t="s">
        <v>1247</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80" t="s">
        <v>13</v>
      </c>
      <c r="O254" s="7" t="str">
        <f>IF(BudgetsTable[[#This Row],[pi_last_name]]=" ","",HYPERLINK("mailto:"&amp;BudgetsTable[[#This Row],[pi_email]]&amp;"&amp;subject=Your NSF Proposal:  "&amp;BudgetsTable[[#This Row],[prop_id]],BudgetsTable[[#This Row],[pi_email]]))</f>
        <v/>
      </c>
      <c r="P254" s="80" t="s">
        <v>13</v>
      </c>
      <c r="Q254" s="80">
        <v>1</v>
      </c>
      <c r="R254" s="80">
        <v>0</v>
      </c>
      <c r="S254" s="81">
        <v>0</v>
      </c>
      <c r="T254" s="81">
        <v>0</v>
      </c>
      <c r="U254" s="81">
        <v>0</v>
      </c>
      <c r="V254" s="82">
        <v>85655</v>
      </c>
      <c r="W254" s="80">
        <v>0</v>
      </c>
      <c r="X254" s="80">
        <v>1</v>
      </c>
      <c r="Y254" s="11" t="str">
        <f ca="1">IF(ISBLANK(BudgetsTable[[#This Row],[budg_seq_yr]]),"FY"&amp;fiscalyear,"FY"&amp;fiscalyear-1+BudgetsTable[[#This Row],[budg_seq_yr]])</f>
        <v>FY18</v>
      </c>
      <c r="Z254" s="81">
        <v>85655</v>
      </c>
      <c r="AA254" s="80" t="s">
        <v>222</v>
      </c>
      <c r="AB254" s="80" t="s">
        <v>1137</v>
      </c>
      <c r="AC254" s="80" t="s">
        <v>1176</v>
      </c>
    </row>
    <row r="255" spans="1:29" x14ac:dyDescent="0.4">
      <c r="A255" s="10" t="s">
        <v>1254</v>
      </c>
      <c r="B255" s="78" t="s">
        <v>965</v>
      </c>
      <c r="C255" s="78">
        <f>C254+(BudgetsTable[[#This Row],[lead]]&lt;&gt;K254)</f>
        <v>51</v>
      </c>
      <c r="D255" s="78">
        <f>D254*(BudgetsTable[[#This Row],[lead]]=K254)+(BudgetsTable[[#This Row],[prop_id]]&lt;&gt;A254)</f>
        <v>2</v>
      </c>
      <c r="E255" s="79">
        <v>42809.414583333331</v>
      </c>
      <c r="F255" s="80" t="s">
        <v>1136</v>
      </c>
      <c r="G255" s="80" t="s">
        <v>222</v>
      </c>
      <c r="H255" s="80" t="s">
        <v>1137</v>
      </c>
      <c r="I255" s="78" t="s">
        <v>406</v>
      </c>
      <c r="J255" s="78" t="s">
        <v>13</v>
      </c>
      <c r="K255" s="80" t="s">
        <v>1247</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80" t="s">
        <v>13</v>
      </c>
      <c r="O255" s="7" t="str">
        <f>IF(BudgetsTable[[#This Row],[pi_last_name]]=" ","",HYPERLINK("mailto:"&amp;BudgetsTable[[#This Row],[pi_email]]&amp;"&amp;subject=Your NSF Proposal:  "&amp;BudgetsTable[[#This Row],[prop_id]],BudgetsTable[[#This Row],[pi_email]]))</f>
        <v/>
      </c>
      <c r="P255" s="80" t="s">
        <v>13</v>
      </c>
      <c r="Q255" s="80">
        <v>1</v>
      </c>
      <c r="R255" s="80">
        <v>0</v>
      </c>
      <c r="S255" s="81">
        <v>0</v>
      </c>
      <c r="T255" s="81">
        <v>0</v>
      </c>
      <c r="U255" s="81">
        <v>0</v>
      </c>
      <c r="V255" s="82">
        <v>37211</v>
      </c>
      <c r="W255" s="80">
        <v>0</v>
      </c>
      <c r="X255" s="80">
        <v>2</v>
      </c>
      <c r="Y255" s="11" t="str">
        <f ca="1">IF(ISBLANK(BudgetsTable[[#This Row],[budg_seq_yr]]),"FY"&amp;fiscalyear,"FY"&amp;fiscalyear-1+BudgetsTable[[#This Row],[budg_seq_yr]])</f>
        <v>FY19</v>
      </c>
      <c r="Z255" s="81">
        <v>37211</v>
      </c>
      <c r="AA255" s="80" t="s">
        <v>222</v>
      </c>
      <c r="AB255" s="80" t="s">
        <v>1137</v>
      </c>
      <c r="AC255" s="80" t="s">
        <v>1176</v>
      </c>
    </row>
    <row r="256" spans="1:29" x14ac:dyDescent="0.4">
      <c r="A256" s="10" t="s">
        <v>1254</v>
      </c>
      <c r="B256" s="78" t="s">
        <v>965</v>
      </c>
      <c r="C256" s="78">
        <f>C255+(BudgetsTable[[#This Row],[lead]]&lt;&gt;K255)</f>
        <v>51</v>
      </c>
      <c r="D256" s="78">
        <f>D255*(BudgetsTable[[#This Row],[lead]]=K255)+(BudgetsTable[[#This Row],[prop_id]]&lt;&gt;A255)</f>
        <v>2</v>
      </c>
      <c r="E256" s="79">
        <v>42809.414583333331</v>
      </c>
      <c r="F256" s="80" t="s">
        <v>1136</v>
      </c>
      <c r="G256" s="80" t="s">
        <v>222</v>
      </c>
      <c r="H256" s="80" t="s">
        <v>1137</v>
      </c>
      <c r="I256" s="78" t="s">
        <v>406</v>
      </c>
      <c r="J256" s="78" t="s">
        <v>13</v>
      </c>
      <c r="K256" s="80" t="s">
        <v>1247</v>
      </c>
      <c r="L256" s="7" t="str">
        <f>IF(BudgetsTable[[#This Row],[pi_last_name]]=" ","",HYPERLINK("https://www.ejacket.nsf.gov/ej/showProposal.do?Continue=Y&amp;ID="&amp;BudgetsTable[[#This Row],[prop_id]],BudgetsTable[[#This Row],[prop_id]]))</f>
        <v/>
      </c>
      <c r="M256" s="15" t="str">
        <f>IF(BudgetsTable[[#This Row],[pi_last_name]]=" ","",HYPERLINK("https://www.ejacket.nsf.gov/ej/processReviewAnalysis.do?dispatch=add&amp;uniqId="&amp;BudgetsTable[[#This Row],[prop_id]]&amp;PO_id,"&gt;ra"))</f>
        <v/>
      </c>
      <c r="N256" s="80" t="s">
        <v>13</v>
      </c>
      <c r="O256" s="7" t="str">
        <f>IF(BudgetsTable[[#This Row],[pi_last_name]]=" ","",HYPERLINK("mailto:"&amp;BudgetsTable[[#This Row],[pi_email]]&amp;"&amp;subject=Your NSF Proposal:  "&amp;BudgetsTable[[#This Row],[prop_id]],BudgetsTable[[#This Row],[pi_email]]))</f>
        <v/>
      </c>
      <c r="P256" s="80" t="s">
        <v>13</v>
      </c>
      <c r="Q256" s="80">
        <v>1</v>
      </c>
      <c r="R256" s="80">
        <v>0</v>
      </c>
      <c r="S256" s="81">
        <v>0</v>
      </c>
      <c r="T256" s="81">
        <v>0</v>
      </c>
      <c r="U256" s="81">
        <v>0</v>
      </c>
      <c r="V256" s="82">
        <v>86683</v>
      </c>
      <c r="W256" s="80">
        <v>0</v>
      </c>
      <c r="X256" s="80">
        <v>3</v>
      </c>
      <c r="Y256" s="11" t="str">
        <f ca="1">IF(ISBLANK(BudgetsTable[[#This Row],[budg_seq_yr]]),"FY"&amp;fiscalyear,"FY"&amp;fiscalyear-1+BudgetsTable[[#This Row],[budg_seq_yr]])</f>
        <v>FY20</v>
      </c>
      <c r="Z256" s="81">
        <v>86683</v>
      </c>
      <c r="AA256" s="80" t="s">
        <v>222</v>
      </c>
      <c r="AB256" s="80" t="s">
        <v>1137</v>
      </c>
      <c r="AC256" s="80" t="s">
        <v>1176</v>
      </c>
    </row>
    <row r="257" spans="1:29" x14ac:dyDescent="0.4">
      <c r="A257" s="10" t="s">
        <v>1258</v>
      </c>
      <c r="B257" s="78" t="s">
        <v>965</v>
      </c>
      <c r="C257" s="78">
        <f>C256+(BudgetsTable[[#This Row],[lead]]&lt;&gt;K256)</f>
        <v>51</v>
      </c>
      <c r="D257" s="78">
        <f>D256*(BudgetsTable[[#This Row],[lead]]=K256)+(BudgetsTable[[#This Row],[prop_id]]&lt;&gt;A256)</f>
        <v>3</v>
      </c>
      <c r="E257" s="79">
        <v>42809.475694444445</v>
      </c>
      <c r="F257" s="80" t="s">
        <v>1136</v>
      </c>
      <c r="G257" s="80" t="s">
        <v>222</v>
      </c>
      <c r="H257" s="80" t="s">
        <v>1137</v>
      </c>
      <c r="I257" s="78" t="s">
        <v>406</v>
      </c>
      <c r="J257" s="78" t="s">
        <v>1262</v>
      </c>
      <c r="K257" s="80" t="s">
        <v>1247</v>
      </c>
      <c r="L257" s="7" t="str">
        <f>IF(BudgetsTable[[#This Row],[pi_last_name]]=" ","",HYPERLINK("https://www.ejacket.nsf.gov/ej/showProposal.do?Continue=Y&amp;ID="&amp;BudgetsTable[[#This Row],[prop_id]],BudgetsTable[[#This Row],[prop_id]]))</f>
        <v>1740743</v>
      </c>
      <c r="M257" s="15" t="str">
        <f>IF(BudgetsTable[[#This Row],[pi_last_name]]=" ","",HYPERLINK("https://www.ejacket.nsf.gov/ej/processReviewAnalysis.do?dispatch=add&amp;uniqId="&amp;BudgetsTable[[#This Row],[prop_id]]&amp;PO_id,"&gt;ra"))</f>
        <v>&gt;ra</v>
      </c>
      <c r="N257" s="80" t="s">
        <v>1259</v>
      </c>
      <c r="O257" s="7" t="str">
        <f>IF(BudgetsTable[[#This Row],[pi_last_name]]=" ","",HYPERLINK("mailto:"&amp;BudgetsTable[[#This Row],[pi_email]]&amp;"&amp;subject=Your NSF Proposal:  "&amp;BudgetsTable[[#This Row],[prop_id]],BudgetsTable[[#This Row],[pi_email]]))</f>
        <v>ibichind@oswego.edu</v>
      </c>
      <c r="P257" s="80" t="s">
        <v>1261</v>
      </c>
      <c r="Q257" s="80"/>
      <c r="R257" s="80"/>
      <c r="S257" s="81"/>
      <c r="T257" s="81"/>
      <c r="U257" s="81"/>
      <c r="V257" s="82"/>
      <c r="W257" s="80">
        <v>0</v>
      </c>
      <c r="X257" s="80"/>
      <c r="Y257" s="11" t="str">
        <f ca="1">IF(ISBLANK(BudgetsTable[[#This Row],[budg_seq_yr]]),"FY"&amp;fiscalyear,"FY"&amp;fiscalyear-1+BudgetsTable[[#This Row],[budg_seq_yr]])</f>
        <v>FY18</v>
      </c>
      <c r="Z257" s="81">
        <v>361729</v>
      </c>
      <c r="AA257" s="80" t="s">
        <v>222</v>
      </c>
      <c r="AB257" s="80" t="s">
        <v>1137</v>
      </c>
      <c r="AC257" s="80" t="s">
        <v>1176</v>
      </c>
    </row>
    <row r="258" spans="1:29" x14ac:dyDescent="0.4">
      <c r="A258" s="10" t="s">
        <v>1258</v>
      </c>
      <c r="B258" s="78" t="s">
        <v>965</v>
      </c>
      <c r="C258" s="78">
        <f>C257+(BudgetsTable[[#This Row],[lead]]&lt;&gt;K257)</f>
        <v>51</v>
      </c>
      <c r="D258" s="78">
        <f>D257*(BudgetsTable[[#This Row],[lead]]=K257)+(BudgetsTable[[#This Row],[prop_id]]&lt;&gt;A257)</f>
        <v>3</v>
      </c>
      <c r="E258" s="79">
        <v>42809.475694444445</v>
      </c>
      <c r="F258" s="80" t="s">
        <v>1136</v>
      </c>
      <c r="G258" s="80" t="s">
        <v>222</v>
      </c>
      <c r="H258" s="80" t="s">
        <v>1137</v>
      </c>
      <c r="I258" s="78" t="s">
        <v>406</v>
      </c>
      <c r="J258" s="78" t="s">
        <v>13</v>
      </c>
      <c r="K258" s="80" t="s">
        <v>1247</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80" t="s">
        <v>13</v>
      </c>
      <c r="O258" s="7" t="str">
        <f>IF(BudgetsTable[[#This Row],[pi_last_name]]=" ","",HYPERLINK("mailto:"&amp;BudgetsTable[[#This Row],[pi_email]]&amp;"&amp;subject=Your NSF Proposal:  "&amp;BudgetsTable[[#This Row],[prop_id]],BudgetsTable[[#This Row],[pi_email]]))</f>
        <v/>
      </c>
      <c r="P258" s="80" t="s">
        <v>13</v>
      </c>
      <c r="Q258" s="80">
        <v>3</v>
      </c>
      <c r="R258" s="80">
        <v>1.71</v>
      </c>
      <c r="S258" s="81">
        <v>0</v>
      </c>
      <c r="T258" s="81">
        <v>6000</v>
      </c>
      <c r="U258" s="81">
        <v>0</v>
      </c>
      <c r="V258" s="82">
        <v>107056</v>
      </c>
      <c r="W258" s="80">
        <v>0</v>
      </c>
      <c r="X258" s="80">
        <v>1</v>
      </c>
      <c r="Y258" s="11" t="str">
        <f ca="1">IF(ISBLANK(BudgetsTable[[#This Row],[budg_seq_yr]]),"FY"&amp;fiscalyear,"FY"&amp;fiscalyear-1+BudgetsTable[[#This Row],[budg_seq_yr]])</f>
        <v>FY18</v>
      </c>
      <c r="Z258" s="81">
        <v>107056</v>
      </c>
      <c r="AA258" s="80" t="s">
        <v>222</v>
      </c>
      <c r="AB258" s="80" t="s">
        <v>1137</v>
      </c>
      <c r="AC258" s="80" t="s">
        <v>1176</v>
      </c>
    </row>
    <row r="259" spans="1:29" x14ac:dyDescent="0.4">
      <c r="A259" s="10" t="s">
        <v>1258</v>
      </c>
      <c r="B259" s="78" t="s">
        <v>965</v>
      </c>
      <c r="C259" s="78">
        <f>C258+(BudgetsTable[[#This Row],[lead]]&lt;&gt;K258)</f>
        <v>51</v>
      </c>
      <c r="D259" s="78">
        <f>D258*(BudgetsTable[[#This Row],[lead]]=K258)+(BudgetsTable[[#This Row],[prop_id]]&lt;&gt;A258)</f>
        <v>3</v>
      </c>
      <c r="E259" s="79">
        <v>42809.475694444445</v>
      </c>
      <c r="F259" s="80" t="s">
        <v>1136</v>
      </c>
      <c r="G259" s="80" t="s">
        <v>222</v>
      </c>
      <c r="H259" s="80" t="s">
        <v>1137</v>
      </c>
      <c r="I259" s="78" t="s">
        <v>406</v>
      </c>
      <c r="J259" s="78" t="s">
        <v>13</v>
      </c>
      <c r="K259" s="80" t="s">
        <v>1247</v>
      </c>
      <c r="L259" s="7" t="str">
        <f>IF(BudgetsTable[[#This Row],[pi_last_name]]=" ","",HYPERLINK("https://www.ejacket.nsf.gov/ej/showProposal.do?Continue=Y&amp;ID="&amp;BudgetsTable[[#This Row],[prop_id]],BudgetsTable[[#This Row],[prop_id]]))</f>
        <v/>
      </c>
      <c r="M259" s="15" t="str">
        <f>IF(BudgetsTable[[#This Row],[pi_last_name]]=" ","",HYPERLINK("https://www.ejacket.nsf.gov/ej/processReviewAnalysis.do?dispatch=add&amp;uniqId="&amp;BudgetsTable[[#This Row],[prop_id]]&amp;PO_id,"&gt;ra"))</f>
        <v/>
      </c>
      <c r="N259" s="80" t="s">
        <v>13</v>
      </c>
      <c r="O259" s="7" t="str">
        <f>IF(BudgetsTable[[#This Row],[pi_last_name]]=" ","",HYPERLINK("mailto:"&amp;BudgetsTable[[#This Row],[pi_email]]&amp;"&amp;subject=Your NSF Proposal:  "&amp;BudgetsTable[[#This Row],[prop_id]],BudgetsTable[[#This Row],[pi_email]]))</f>
        <v/>
      </c>
      <c r="P259" s="80" t="s">
        <v>13</v>
      </c>
      <c r="Q259" s="80">
        <v>3</v>
      </c>
      <c r="R259" s="80">
        <v>1.71</v>
      </c>
      <c r="S259" s="81">
        <v>0</v>
      </c>
      <c r="T259" s="81">
        <v>6000</v>
      </c>
      <c r="U259" s="81">
        <v>0</v>
      </c>
      <c r="V259" s="82">
        <v>145771</v>
      </c>
      <c r="W259" s="80">
        <v>0</v>
      </c>
      <c r="X259" s="80">
        <v>2</v>
      </c>
      <c r="Y259" s="11" t="str">
        <f ca="1">IF(ISBLANK(BudgetsTable[[#This Row],[budg_seq_yr]]),"FY"&amp;fiscalyear,"FY"&amp;fiscalyear-1+BudgetsTable[[#This Row],[budg_seq_yr]])</f>
        <v>FY19</v>
      </c>
      <c r="Z259" s="81">
        <v>145771</v>
      </c>
      <c r="AA259" s="80" t="s">
        <v>222</v>
      </c>
      <c r="AB259" s="80" t="s">
        <v>1137</v>
      </c>
      <c r="AC259" s="80" t="s">
        <v>1176</v>
      </c>
    </row>
    <row r="260" spans="1:29" x14ac:dyDescent="0.4">
      <c r="A260" s="10" t="s">
        <v>1258</v>
      </c>
      <c r="B260" s="78" t="s">
        <v>965</v>
      </c>
      <c r="C260" s="78">
        <f>C259+(BudgetsTable[[#This Row],[lead]]&lt;&gt;K259)</f>
        <v>51</v>
      </c>
      <c r="D260" s="78">
        <f>D259*(BudgetsTable[[#This Row],[lead]]=K259)+(BudgetsTable[[#This Row],[prop_id]]&lt;&gt;A259)</f>
        <v>3</v>
      </c>
      <c r="E260" s="79">
        <v>42809.475694444445</v>
      </c>
      <c r="F260" s="80" t="s">
        <v>1136</v>
      </c>
      <c r="G260" s="80" t="s">
        <v>222</v>
      </c>
      <c r="H260" s="80" t="s">
        <v>1137</v>
      </c>
      <c r="I260" s="78" t="s">
        <v>406</v>
      </c>
      <c r="J260" s="78" t="s">
        <v>13</v>
      </c>
      <c r="K260" s="80" t="s">
        <v>1247</v>
      </c>
      <c r="L260" s="7" t="str">
        <f>IF(BudgetsTable[[#This Row],[pi_last_name]]=" ","",HYPERLINK("https://www.ejacket.nsf.gov/ej/showProposal.do?Continue=Y&amp;ID="&amp;BudgetsTable[[#This Row],[prop_id]],BudgetsTable[[#This Row],[prop_id]]))</f>
        <v/>
      </c>
      <c r="M260" s="15" t="str">
        <f>IF(BudgetsTable[[#This Row],[pi_last_name]]=" ","",HYPERLINK("https://www.ejacket.nsf.gov/ej/processReviewAnalysis.do?dispatch=add&amp;uniqId="&amp;BudgetsTable[[#This Row],[prop_id]]&amp;PO_id,"&gt;ra"))</f>
        <v/>
      </c>
      <c r="N260" s="80" t="s">
        <v>13</v>
      </c>
      <c r="O260" s="7" t="str">
        <f>IF(BudgetsTable[[#This Row],[pi_last_name]]=" ","",HYPERLINK("mailto:"&amp;BudgetsTable[[#This Row],[pi_email]]&amp;"&amp;subject=Your NSF Proposal:  "&amp;BudgetsTable[[#This Row],[prop_id]],BudgetsTable[[#This Row],[pi_email]]))</f>
        <v/>
      </c>
      <c r="P260" s="80" t="s">
        <v>13</v>
      </c>
      <c r="Q260" s="80">
        <v>3</v>
      </c>
      <c r="R260" s="80">
        <v>1.71</v>
      </c>
      <c r="S260" s="81">
        <v>0</v>
      </c>
      <c r="T260" s="81">
        <v>6000</v>
      </c>
      <c r="U260" s="81">
        <v>0</v>
      </c>
      <c r="V260" s="82">
        <v>108902</v>
      </c>
      <c r="W260" s="80">
        <v>0</v>
      </c>
      <c r="X260" s="80">
        <v>3</v>
      </c>
      <c r="Y260" s="11" t="str">
        <f ca="1">IF(ISBLANK(BudgetsTable[[#This Row],[budg_seq_yr]]),"FY"&amp;fiscalyear,"FY"&amp;fiscalyear-1+BudgetsTable[[#This Row],[budg_seq_yr]])</f>
        <v>FY20</v>
      </c>
      <c r="Z260" s="81">
        <v>108902</v>
      </c>
      <c r="AA260" s="80" t="s">
        <v>222</v>
      </c>
      <c r="AB260" s="80" t="s">
        <v>1137</v>
      </c>
      <c r="AC260" s="80" t="s">
        <v>1176</v>
      </c>
    </row>
    <row r="261" spans="1:29" x14ac:dyDescent="0.4">
      <c r="A261" s="10" t="s">
        <v>1263</v>
      </c>
      <c r="B261" s="78" t="s">
        <v>965</v>
      </c>
      <c r="C261" s="78">
        <f>C260+(BudgetsTable[[#This Row],[lead]]&lt;&gt;K260)</f>
        <v>51</v>
      </c>
      <c r="D261" s="78">
        <f>D260*(BudgetsTable[[#This Row],[lead]]=K260)+(BudgetsTable[[#This Row],[prop_id]]&lt;&gt;A260)</f>
        <v>4</v>
      </c>
      <c r="E261" s="79">
        <v>42809.482638888891</v>
      </c>
      <c r="F261" s="80" t="s">
        <v>1136</v>
      </c>
      <c r="G261" s="80" t="s">
        <v>222</v>
      </c>
      <c r="H261" s="80" t="s">
        <v>1137</v>
      </c>
      <c r="I261" s="78" t="s">
        <v>406</v>
      </c>
      <c r="J261" s="78" t="s">
        <v>1267</v>
      </c>
      <c r="K261" s="80" t="s">
        <v>1247</v>
      </c>
      <c r="L261" s="7" t="str">
        <f>IF(BudgetsTable[[#This Row],[pi_last_name]]=" ","",HYPERLINK("https://www.ejacket.nsf.gov/ej/showProposal.do?Continue=Y&amp;ID="&amp;BudgetsTable[[#This Row],[prop_id]],BudgetsTable[[#This Row],[prop_id]]))</f>
        <v>1740745</v>
      </c>
      <c r="M261" s="15" t="str">
        <f>IF(BudgetsTable[[#This Row],[pi_last_name]]=" ","",HYPERLINK("https://www.ejacket.nsf.gov/ej/processReviewAnalysis.do?dispatch=add&amp;uniqId="&amp;BudgetsTable[[#This Row],[prop_id]]&amp;PO_id,"&gt;ra"))</f>
        <v>&gt;ra</v>
      </c>
      <c r="N261" s="80" t="s">
        <v>1264</v>
      </c>
      <c r="O261" s="7" t="str">
        <f>IF(BudgetsTable[[#This Row],[pi_last_name]]=" ","",HYPERLINK("mailto:"&amp;BudgetsTable[[#This Row],[pi_email]]&amp;"&amp;subject=Your NSF Proposal:  "&amp;BudgetsTable[[#This Row],[prop_id]],BudgetsTable[[#This Row],[pi_email]]))</f>
        <v>lisa.walters@fredonia.edu</v>
      </c>
      <c r="P261" s="80" t="s">
        <v>1266</v>
      </c>
      <c r="Q261" s="80"/>
      <c r="R261" s="80"/>
      <c r="S261" s="81"/>
      <c r="T261" s="81"/>
      <c r="U261" s="81"/>
      <c r="V261" s="82"/>
      <c r="W261" s="80">
        <v>0</v>
      </c>
      <c r="X261" s="80"/>
      <c r="Y261" s="11" t="str">
        <f ca="1">IF(ISBLANK(BudgetsTable[[#This Row],[budg_seq_yr]]),"FY"&amp;fiscalyear,"FY"&amp;fiscalyear-1+BudgetsTable[[#This Row],[budg_seq_yr]])</f>
        <v>FY18</v>
      </c>
      <c r="Z261" s="81">
        <v>248472</v>
      </c>
      <c r="AA261" s="80" t="s">
        <v>222</v>
      </c>
      <c r="AB261" s="80" t="s">
        <v>1137</v>
      </c>
      <c r="AC261" s="80" t="s">
        <v>1142</v>
      </c>
    </row>
    <row r="262" spans="1:29" x14ac:dyDescent="0.4">
      <c r="A262" s="10" t="s">
        <v>1263</v>
      </c>
      <c r="B262" s="78" t="s">
        <v>965</v>
      </c>
      <c r="C262" s="78">
        <f>C261+(BudgetsTable[[#This Row],[lead]]&lt;&gt;K261)</f>
        <v>51</v>
      </c>
      <c r="D262" s="78">
        <f>D261*(BudgetsTable[[#This Row],[lead]]=K261)+(BudgetsTable[[#This Row],[prop_id]]&lt;&gt;A261)</f>
        <v>4</v>
      </c>
      <c r="E262" s="79">
        <v>42809.482638888891</v>
      </c>
      <c r="F262" s="80" t="s">
        <v>1136</v>
      </c>
      <c r="G262" s="80" t="s">
        <v>222</v>
      </c>
      <c r="H262" s="80" t="s">
        <v>1137</v>
      </c>
      <c r="I262" s="78" t="s">
        <v>406</v>
      </c>
      <c r="J262" s="78" t="s">
        <v>13</v>
      </c>
      <c r="K262" s="80" t="s">
        <v>1247</v>
      </c>
      <c r="L262" s="7" t="str">
        <f>IF(BudgetsTable[[#This Row],[pi_last_name]]=" ","",HYPERLINK("https://www.ejacket.nsf.gov/ej/showProposal.do?Continue=Y&amp;ID="&amp;BudgetsTable[[#This Row],[prop_id]],BudgetsTable[[#This Row],[prop_id]]))</f>
        <v/>
      </c>
      <c r="M262" s="15" t="str">
        <f>IF(BudgetsTable[[#This Row],[pi_last_name]]=" ","",HYPERLINK("https://www.ejacket.nsf.gov/ej/processReviewAnalysis.do?dispatch=add&amp;uniqId="&amp;BudgetsTable[[#This Row],[prop_id]]&amp;PO_id,"&gt;ra"))</f>
        <v/>
      </c>
      <c r="N262" s="80" t="s">
        <v>13</v>
      </c>
      <c r="O262" s="7" t="str">
        <f>IF(BudgetsTable[[#This Row],[pi_last_name]]=" ","",HYPERLINK("mailto:"&amp;BudgetsTable[[#This Row],[pi_email]]&amp;"&amp;subject=Your NSF Proposal:  "&amp;BudgetsTable[[#This Row],[prop_id]],BudgetsTable[[#This Row],[pi_email]]))</f>
        <v/>
      </c>
      <c r="P262" s="80" t="s">
        <v>13</v>
      </c>
      <c r="Q262" s="80">
        <v>2</v>
      </c>
      <c r="R262" s="80">
        <v>2</v>
      </c>
      <c r="S262" s="81">
        <v>0</v>
      </c>
      <c r="T262" s="81">
        <v>3500</v>
      </c>
      <c r="U262" s="81">
        <v>10000</v>
      </c>
      <c r="V262" s="82">
        <v>81442</v>
      </c>
      <c r="W262" s="80">
        <v>0</v>
      </c>
      <c r="X262" s="80">
        <v>1</v>
      </c>
      <c r="Y262" s="11" t="str">
        <f ca="1">IF(ISBLANK(BudgetsTable[[#This Row],[budg_seq_yr]]),"FY"&amp;fiscalyear,"FY"&amp;fiscalyear-1+BudgetsTable[[#This Row],[budg_seq_yr]])</f>
        <v>FY18</v>
      </c>
      <c r="Z262" s="81">
        <v>81442</v>
      </c>
      <c r="AA262" s="80" t="s">
        <v>222</v>
      </c>
      <c r="AB262" s="80" t="s">
        <v>1137</v>
      </c>
      <c r="AC262" s="80" t="s">
        <v>1142</v>
      </c>
    </row>
    <row r="263" spans="1:29" x14ac:dyDescent="0.4">
      <c r="A263" s="10" t="s">
        <v>1263</v>
      </c>
      <c r="B263" s="78" t="s">
        <v>965</v>
      </c>
      <c r="C263" s="78">
        <f>C262+(BudgetsTable[[#This Row],[lead]]&lt;&gt;K262)</f>
        <v>51</v>
      </c>
      <c r="D263" s="78">
        <f>D262*(BudgetsTable[[#This Row],[lead]]=K262)+(BudgetsTable[[#This Row],[prop_id]]&lt;&gt;A262)</f>
        <v>4</v>
      </c>
      <c r="E263" s="79">
        <v>42809.482638888891</v>
      </c>
      <c r="F263" s="80" t="s">
        <v>1136</v>
      </c>
      <c r="G263" s="80" t="s">
        <v>222</v>
      </c>
      <c r="H263" s="80" t="s">
        <v>1137</v>
      </c>
      <c r="I263" s="78" t="s">
        <v>406</v>
      </c>
      <c r="J263" s="78" t="s">
        <v>13</v>
      </c>
      <c r="K263" s="80" t="s">
        <v>1247</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80" t="s">
        <v>13</v>
      </c>
      <c r="O263" s="7" t="str">
        <f>IF(BudgetsTable[[#This Row],[pi_last_name]]=" ","",HYPERLINK("mailto:"&amp;BudgetsTable[[#This Row],[pi_email]]&amp;"&amp;subject=Your NSF Proposal:  "&amp;BudgetsTable[[#This Row],[prop_id]],BudgetsTable[[#This Row],[pi_email]]))</f>
        <v/>
      </c>
      <c r="P263" s="80" t="s">
        <v>13</v>
      </c>
      <c r="Q263" s="80">
        <v>2</v>
      </c>
      <c r="R263" s="80">
        <v>2</v>
      </c>
      <c r="S263" s="81">
        <v>0</v>
      </c>
      <c r="T263" s="81">
        <v>3500</v>
      </c>
      <c r="U263" s="81">
        <v>10000</v>
      </c>
      <c r="V263" s="82">
        <v>82939</v>
      </c>
      <c r="W263" s="80">
        <v>0</v>
      </c>
      <c r="X263" s="80">
        <v>2</v>
      </c>
      <c r="Y263" s="11" t="str">
        <f ca="1">IF(ISBLANK(BudgetsTable[[#This Row],[budg_seq_yr]]),"FY"&amp;fiscalyear,"FY"&amp;fiscalyear-1+BudgetsTable[[#This Row],[budg_seq_yr]])</f>
        <v>FY19</v>
      </c>
      <c r="Z263" s="81">
        <v>82939</v>
      </c>
      <c r="AA263" s="80" t="s">
        <v>222</v>
      </c>
      <c r="AB263" s="80" t="s">
        <v>1137</v>
      </c>
      <c r="AC263" s="80" t="s">
        <v>1142</v>
      </c>
    </row>
    <row r="264" spans="1:29" x14ac:dyDescent="0.4">
      <c r="A264" s="10" t="s">
        <v>1263</v>
      </c>
      <c r="B264" s="78" t="s">
        <v>965</v>
      </c>
      <c r="C264" s="78">
        <f>C263+(BudgetsTable[[#This Row],[lead]]&lt;&gt;K263)</f>
        <v>51</v>
      </c>
      <c r="D264" s="78">
        <f>D263*(BudgetsTable[[#This Row],[lead]]=K263)+(BudgetsTable[[#This Row],[prop_id]]&lt;&gt;A263)</f>
        <v>4</v>
      </c>
      <c r="E264" s="79">
        <v>42809.482638888891</v>
      </c>
      <c r="F264" s="80" t="s">
        <v>1136</v>
      </c>
      <c r="G264" s="80" t="s">
        <v>222</v>
      </c>
      <c r="H264" s="80" t="s">
        <v>1137</v>
      </c>
      <c r="I264" s="78" t="s">
        <v>406</v>
      </c>
      <c r="J264" s="78" t="s">
        <v>13</v>
      </c>
      <c r="K264" s="80" t="s">
        <v>1247</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80" t="s">
        <v>13</v>
      </c>
      <c r="O264" s="7" t="str">
        <f>IF(BudgetsTable[[#This Row],[pi_last_name]]=" ","",HYPERLINK("mailto:"&amp;BudgetsTable[[#This Row],[pi_email]]&amp;"&amp;subject=Your NSF Proposal:  "&amp;BudgetsTable[[#This Row],[prop_id]],BudgetsTable[[#This Row],[pi_email]]))</f>
        <v/>
      </c>
      <c r="P264" s="80" t="s">
        <v>13</v>
      </c>
      <c r="Q264" s="80">
        <v>2</v>
      </c>
      <c r="R264" s="80">
        <v>2</v>
      </c>
      <c r="S264" s="81">
        <v>0</v>
      </c>
      <c r="T264" s="81">
        <v>3500</v>
      </c>
      <c r="U264" s="81">
        <v>0</v>
      </c>
      <c r="V264" s="82">
        <v>84091</v>
      </c>
      <c r="W264" s="80">
        <v>0</v>
      </c>
      <c r="X264" s="80">
        <v>3</v>
      </c>
      <c r="Y264" s="11" t="str">
        <f ca="1">IF(ISBLANK(BudgetsTable[[#This Row],[budg_seq_yr]]),"FY"&amp;fiscalyear,"FY"&amp;fiscalyear-1+BudgetsTable[[#This Row],[budg_seq_yr]])</f>
        <v>FY20</v>
      </c>
      <c r="Z264" s="81">
        <v>84091</v>
      </c>
      <c r="AA264" s="80" t="s">
        <v>222</v>
      </c>
      <c r="AB264" s="80" t="s">
        <v>1137</v>
      </c>
      <c r="AC264" s="80" t="s">
        <v>1142</v>
      </c>
    </row>
    <row r="265" spans="1:29" x14ac:dyDescent="0.4">
      <c r="A265" s="10" t="s">
        <v>1269</v>
      </c>
      <c r="B265" s="78" t="s">
        <v>965</v>
      </c>
      <c r="C265" s="78">
        <f>C264+(BudgetsTable[[#This Row],[lead]]&lt;&gt;K264)</f>
        <v>51</v>
      </c>
      <c r="D265" s="78">
        <f>D264*(BudgetsTable[[#This Row],[lead]]=K264)+(BudgetsTable[[#This Row],[prop_id]]&lt;&gt;A264)</f>
        <v>5</v>
      </c>
      <c r="E265" s="79">
        <v>42809.584722222222</v>
      </c>
      <c r="F265" s="80" t="s">
        <v>1136</v>
      </c>
      <c r="G265" s="80" t="s">
        <v>222</v>
      </c>
      <c r="H265" s="80" t="s">
        <v>1137</v>
      </c>
      <c r="I265" s="78" t="s">
        <v>406</v>
      </c>
      <c r="J265" s="78" t="s">
        <v>1273</v>
      </c>
      <c r="K265" s="80" t="s">
        <v>1247</v>
      </c>
      <c r="L265" s="7" t="str">
        <f>IF(BudgetsTable[[#This Row],[pi_last_name]]=" ","",HYPERLINK("https://www.ejacket.nsf.gov/ej/showProposal.do?Continue=Y&amp;ID="&amp;BudgetsTable[[#This Row],[prop_id]],BudgetsTable[[#This Row],[prop_id]]))</f>
        <v>1740774</v>
      </c>
      <c r="M265" s="15" t="str">
        <f>IF(BudgetsTable[[#This Row],[pi_last_name]]=" ","",HYPERLINK("https://www.ejacket.nsf.gov/ej/processReviewAnalysis.do?dispatch=add&amp;uniqId="&amp;BudgetsTable[[#This Row],[prop_id]]&amp;PO_id,"&gt;ra"))</f>
        <v>&gt;ra</v>
      </c>
      <c r="N265" s="80" t="s">
        <v>1270</v>
      </c>
      <c r="O265" s="7" t="str">
        <f>IF(BudgetsTable[[#This Row],[pi_last_name]]=" ","",HYPERLINK("mailto:"&amp;BudgetsTable[[#This Row],[pi_email]]&amp;"&amp;subject=Your NSF Proposal:  "&amp;BudgetsTable[[#This Row],[prop_id]],BudgetsTable[[#This Row],[pi_email]]))</f>
        <v>sdang@binghamton.edu</v>
      </c>
      <c r="P265" s="80" t="s">
        <v>1272</v>
      </c>
      <c r="Q265" s="80"/>
      <c r="R265" s="80"/>
      <c r="S265" s="81"/>
      <c r="T265" s="81"/>
      <c r="U265" s="81"/>
      <c r="V265" s="82"/>
      <c r="W265" s="80">
        <v>0</v>
      </c>
      <c r="X265" s="80"/>
      <c r="Y265" s="11" t="str">
        <f ca="1">IF(ISBLANK(BudgetsTable[[#This Row],[budg_seq_yr]]),"FY"&amp;fiscalyear,"FY"&amp;fiscalyear-1+BudgetsTable[[#This Row],[budg_seq_yr]])</f>
        <v>FY18</v>
      </c>
      <c r="Z265" s="81">
        <v>393365</v>
      </c>
      <c r="AA265" s="80" t="s">
        <v>222</v>
      </c>
      <c r="AB265" s="80" t="s">
        <v>1137</v>
      </c>
      <c r="AC265" s="80" t="s">
        <v>1142</v>
      </c>
    </row>
    <row r="266" spans="1:29" x14ac:dyDescent="0.4">
      <c r="A266" s="10" t="s">
        <v>1269</v>
      </c>
      <c r="B266" s="78" t="s">
        <v>965</v>
      </c>
      <c r="C266" s="78">
        <f>C265+(BudgetsTable[[#This Row],[lead]]&lt;&gt;K265)</f>
        <v>51</v>
      </c>
      <c r="D266" s="78">
        <f>D265*(BudgetsTable[[#This Row],[lead]]=K265)+(BudgetsTable[[#This Row],[prop_id]]&lt;&gt;A265)</f>
        <v>5</v>
      </c>
      <c r="E266" s="79">
        <v>42809.584722222222</v>
      </c>
      <c r="F266" s="80" t="s">
        <v>1136</v>
      </c>
      <c r="G266" s="80" t="s">
        <v>222</v>
      </c>
      <c r="H266" s="80" t="s">
        <v>1137</v>
      </c>
      <c r="I266" s="78" t="s">
        <v>406</v>
      </c>
      <c r="J266" s="78" t="s">
        <v>13</v>
      </c>
      <c r="K266" s="80" t="s">
        <v>1247</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80" t="s">
        <v>13</v>
      </c>
      <c r="O266" s="7" t="str">
        <f>IF(BudgetsTable[[#This Row],[pi_last_name]]=" ","",HYPERLINK("mailto:"&amp;BudgetsTable[[#This Row],[pi_email]]&amp;"&amp;subject=Your NSF Proposal:  "&amp;BudgetsTable[[#This Row],[prop_id]],BudgetsTable[[#This Row],[pi_email]]))</f>
        <v/>
      </c>
      <c r="P266" s="80" t="s">
        <v>13</v>
      </c>
      <c r="Q266" s="80">
        <v>3</v>
      </c>
      <c r="R266" s="80">
        <v>3</v>
      </c>
      <c r="S266" s="81">
        <v>0</v>
      </c>
      <c r="T266" s="81">
        <v>0</v>
      </c>
      <c r="U266" s="81">
        <v>0</v>
      </c>
      <c r="V266" s="82">
        <v>132714</v>
      </c>
      <c r="W266" s="80">
        <v>0</v>
      </c>
      <c r="X266" s="80">
        <v>1</v>
      </c>
      <c r="Y266" s="11" t="str">
        <f ca="1">IF(ISBLANK(BudgetsTable[[#This Row],[budg_seq_yr]]),"FY"&amp;fiscalyear,"FY"&amp;fiscalyear-1+BudgetsTable[[#This Row],[budg_seq_yr]])</f>
        <v>FY18</v>
      </c>
      <c r="Z266" s="81">
        <v>132714</v>
      </c>
      <c r="AA266" s="80" t="s">
        <v>222</v>
      </c>
      <c r="AB266" s="80" t="s">
        <v>1137</v>
      </c>
      <c r="AC266" s="80" t="s">
        <v>1142</v>
      </c>
    </row>
    <row r="267" spans="1:29" x14ac:dyDescent="0.4">
      <c r="A267" s="10" t="s">
        <v>1269</v>
      </c>
      <c r="B267" s="78" t="s">
        <v>965</v>
      </c>
      <c r="C267" s="78">
        <f>C266+(BudgetsTable[[#This Row],[lead]]&lt;&gt;K266)</f>
        <v>51</v>
      </c>
      <c r="D267" s="78">
        <f>D266*(BudgetsTable[[#This Row],[lead]]=K266)+(BudgetsTable[[#This Row],[prop_id]]&lt;&gt;A266)</f>
        <v>5</v>
      </c>
      <c r="E267" s="79">
        <v>42809.584722222222</v>
      </c>
      <c r="F267" s="80" t="s">
        <v>1136</v>
      </c>
      <c r="G267" s="80" t="s">
        <v>222</v>
      </c>
      <c r="H267" s="80" t="s">
        <v>1137</v>
      </c>
      <c r="I267" s="78" t="s">
        <v>406</v>
      </c>
      <c r="J267" s="78" t="s">
        <v>13</v>
      </c>
      <c r="K267" s="80" t="s">
        <v>1247</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80" t="s">
        <v>13</v>
      </c>
      <c r="O267" s="7" t="str">
        <f>IF(BudgetsTable[[#This Row],[pi_last_name]]=" ","",HYPERLINK("mailto:"&amp;BudgetsTable[[#This Row],[pi_email]]&amp;"&amp;subject=Your NSF Proposal:  "&amp;BudgetsTable[[#This Row],[prop_id]],BudgetsTable[[#This Row],[pi_email]]))</f>
        <v/>
      </c>
      <c r="P267" s="80" t="s">
        <v>13</v>
      </c>
      <c r="Q267" s="80">
        <v>3</v>
      </c>
      <c r="R267" s="80">
        <v>3</v>
      </c>
      <c r="S267" s="81">
        <v>0</v>
      </c>
      <c r="T267" s="81">
        <v>0</v>
      </c>
      <c r="U267" s="81">
        <v>0</v>
      </c>
      <c r="V267" s="82">
        <v>136997</v>
      </c>
      <c r="W267" s="80">
        <v>0</v>
      </c>
      <c r="X267" s="80">
        <v>2</v>
      </c>
      <c r="Y267" s="11" t="str">
        <f ca="1">IF(ISBLANK(BudgetsTable[[#This Row],[budg_seq_yr]]),"FY"&amp;fiscalyear,"FY"&amp;fiscalyear-1+BudgetsTable[[#This Row],[budg_seq_yr]])</f>
        <v>FY19</v>
      </c>
      <c r="Z267" s="81">
        <v>136997</v>
      </c>
      <c r="AA267" s="80" t="s">
        <v>222</v>
      </c>
      <c r="AB267" s="80" t="s">
        <v>1137</v>
      </c>
      <c r="AC267" s="80" t="s">
        <v>1142</v>
      </c>
    </row>
    <row r="268" spans="1:29" x14ac:dyDescent="0.4">
      <c r="A268" s="10" t="s">
        <v>1269</v>
      </c>
      <c r="B268" s="78" t="s">
        <v>965</v>
      </c>
      <c r="C268" s="78">
        <f>C267+(BudgetsTable[[#This Row],[lead]]&lt;&gt;K267)</f>
        <v>51</v>
      </c>
      <c r="D268" s="78">
        <f>D267*(BudgetsTable[[#This Row],[lead]]=K267)+(BudgetsTable[[#This Row],[prop_id]]&lt;&gt;A267)</f>
        <v>5</v>
      </c>
      <c r="E268" s="79">
        <v>42809.584722222222</v>
      </c>
      <c r="F268" s="80" t="s">
        <v>1136</v>
      </c>
      <c r="G268" s="80" t="s">
        <v>222</v>
      </c>
      <c r="H268" s="80" t="s">
        <v>1137</v>
      </c>
      <c r="I268" s="78" t="s">
        <v>406</v>
      </c>
      <c r="J268" s="78" t="s">
        <v>13</v>
      </c>
      <c r="K268" s="80" t="s">
        <v>1247</v>
      </c>
      <c r="L268" s="7" t="str">
        <f>IF(BudgetsTable[[#This Row],[pi_last_name]]=" ","",HYPERLINK("https://www.ejacket.nsf.gov/ej/showProposal.do?Continue=Y&amp;ID="&amp;BudgetsTable[[#This Row],[prop_id]],BudgetsTable[[#This Row],[prop_id]]))</f>
        <v/>
      </c>
      <c r="M268" s="15" t="str">
        <f>IF(BudgetsTable[[#This Row],[pi_last_name]]=" ","",HYPERLINK("https://www.ejacket.nsf.gov/ej/processReviewAnalysis.do?dispatch=add&amp;uniqId="&amp;BudgetsTable[[#This Row],[prop_id]]&amp;PO_id,"&gt;ra"))</f>
        <v/>
      </c>
      <c r="N268" s="80" t="s">
        <v>13</v>
      </c>
      <c r="O268" s="7" t="str">
        <f>IF(BudgetsTable[[#This Row],[pi_last_name]]=" ","",HYPERLINK("mailto:"&amp;BudgetsTable[[#This Row],[pi_email]]&amp;"&amp;subject=Your NSF Proposal:  "&amp;BudgetsTable[[#This Row],[prop_id]],BudgetsTable[[#This Row],[pi_email]]))</f>
        <v/>
      </c>
      <c r="P268" s="80" t="s">
        <v>13</v>
      </c>
      <c r="Q268" s="80">
        <v>3</v>
      </c>
      <c r="R268" s="80">
        <v>3</v>
      </c>
      <c r="S268" s="81">
        <v>0</v>
      </c>
      <c r="T268" s="81">
        <v>0</v>
      </c>
      <c r="U268" s="81">
        <v>0</v>
      </c>
      <c r="V268" s="82">
        <v>123654</v>
      </c>
      <c r="W268" s="80">
        <v>0</v>
      </c>
      <c r="X268" s="80">
        <v>3</v>
      </c>
      <c r="Y268" s="11" t="str">
        <f ca="1">IF(ISBLANK(BudgetsTable[[#This Row],[budg_seq_yr]]),"FY"&amp;fiscalyear,"FY"&amp;fiscalyear-1+BudgetsTable[[#This Row],[budg_seq_yr]])</f>
        <v>FY20</v>
      </c>
      <c r="Z268" s="81">
        <v>123654</v>
      </c>
      <c r="AA268" s="80" t="s">
        <v>222</v>
      </c>
      <c r="AB268" s="80" t="s">
        <v>1137</v>
      </c>
      <c r="AC268" s="80" t="s">
        <v>1142</v>
      </c>
    </row>
    <row r="269" spans="1:29" x14ac:dyDescent="0.4">
      <c r="A269" s="10" t="s">
        <v>1274</v>
      </c>
      <c r="B269" s="78" t="s">
        <v>96</v>
      </c>
      <c r="C269" s="78">
        <f>C268+(BudgetsTable[[#This Row],[lead]]&lt;&gt;K268)</f>
        <v>52</v>
      </c>
      <c r="D269" s="78">
        <f>D268*(BudgetsTable[[#This Row],[lead]]=K268)+(BudgetsTable[[#This Row],[prop_id]]&lt;&gt;A268)</f>
        <v>1</v>
      </c>
      <c r="E269" s="79">
        <v>42809.598611111112</v>
      </c>
      <c r="F269" s="80" t="s">
        <v>1136</v>
      </c>
      <c r="G269" s="80" t="s">
        <v>222</v>
      </c>
      <c r="H269" s="80" t="s">
        <v>1137</v>
      </c>
      <c r="I269" s="78" t="s">
        <v>406</v>
      </c>
      <c r="J269" s="78" t="s">
        <v>1278</v>
      </c>
      <c r="K269" s="80" t="s">
        <v>1274</v>
      </c>
      <c r="L269" s="7" t="str">
        <f>IF(BudgetsTable[[#This Row],[pi_last_name]]=" ","",HYPERLINK("https://www.ejacket.nsf.gov/ej/showProposal.do?Continue=Y&amp;ID="&amp;BudgetsTable[[#This Row],[prop_id]],BudgetsTable[[#This Row],[prop_id]]))</f>
        <v>1740780</v>
      </c>
      <c r="M269" s="15" t="str">
        <f>IF(BudgetsTable[[#This Row],[pi_last_name]]=" ","",HYPERLINK("https://www.ejacket.nsf.gov/ej/processReviewAnalysis.do?dispatch=add&amp;uniqId="&amp;BudgetsTable[[#This Row],[prop_id]]&amp;PO_id,"&gt;ra"))</f>
        <v>&gt;ra</v>
      </c>
      <c r="N269" s="80" t="s">
        <v>1275</v>
      </c>
      <c r="O269" s="7" t="str">
        <f>IF(BudgetsTable[[#This Row],[pi_last_name]]=" ","",HYPERLINK("mailto:"&amp;BudgetsTable[[#This Row],[pi_email]]&amp;"&amp;subject=Your NSF Proposal:  "&amp;BudgetsTable[[#This Row],[prop_id]],BudgetsTable[[#This Row],[pi_email]]))</f>
        <v>gmichail@ufl.edu</v>
      </c>
      <c r="P269" s="80" t="s">
        <v>1277</v>
      </c>
      <c r="Q269" s="80"/>
      <c r="R269" s="80"/>
      <c r="S269" s="81"/>
      <c r="T269" s="81"/>
      <c r="U269" s="81"/>
      <c r="V269" s="82"/>
      <c r="W269" s="80">
        <v>0</v>
      </c>
      <c r="X269" s="80"/>
      <c r="Y269" s="11" t="str">
        <f ca="1">IF(ISBLANK(BudgetsTable[[#This Row],[budg_seq_yr]]),"FY"&amp;fiscalyear,"FY"&amp;fiscalyear-1+BudgetsTable[[#This Row],[budg_seq_yr]])</f>
        <v>FY18</v>
      </c>
      <c r="Z269" s="81">
        <v>1500000</v>
      </c>
      <c r="AA269" s="80" t="s">
        <v>222</v>
      </c>
      <c r="AB269" s="80" t="s">
        <v>1137</v>
      </c>
      <c r="AC269" s="80" t="s">
        <v>1176</v>
      </c>
    </row>
    <row r="270" spans="1:29" x14ac:dyDescent="0.4">
      <c r="A270" s="10" t="s">
        <v>1274</v>
      </c>
      <c r="B270" s="78" t="s">
        <v>96</v>
      </c>
      <c r="C270" s="78">
        <f>C269+(BudgetsTable[[#This Row],[lead]]&lt;&gt;K269)</f>
        <v>52</v>
      </c>
      <c r="D270" s="78">
        <f>D269*(BudgetsTable[[#This Row],[lead]]=K269)+(BudgetsTable[[#This Row],[prop_id]]&lt;&gt;A269)</f>
        <v>1</v>
      </c>
      <c r="E270" s="79">
        <v>42809.598611111112</v>
      </c>
      <c r="F270" s="80" t="s">
        <v>1136</v>
      </c>
      <c r="G270" s="80" t="s">
        <v>222</v>
      </c>
      <c r="H270" s="80" t="s">
        <v>1137</v>
      </c>
      <c r="I270" s="78" t="s">
        <v>406</v>
      </c>
      <c r="J270" s="78" t="s">
        <v>13</v>
      </c>
      <c r="K270" s="80" t="s">
        <v>1274</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80" t="s">
        <v>13</v>
      </c>
      <c r="O270" s="7" t="str">
        <f>IF(BudgetsTable[[#This Row],[pi_last_name]]=" ","",HYPERLINK("mailto:"&amp;BudgetsTable[[#This Row],[pi_email]]&amp;"&amp;subject=Your NSF Proposal:  "&amp;BudgetsTable[[#This Row],[prop_id]],BudgetsTable[[#This Row],[pi_email]]))</f>
        <v/>
      </c>
      <c r="P270" s="80" t="s">
        <v>13</v>
      </c>
      <c r="Q270" s="80">
        <v>4</v>
      </c>
      <c r="R270" s="80">
        <v>3.85</v>
      </c>
      <c r="S270" s="81">
        <v>109992</v>
      </c>
      <c r="T270" s="81">
        <v>0</v>
      </c>
      <c r="U270" s="81">
        <v>41000</v>
      </c>
      <c r="V270" s="82">
        <v>500000</v>
      </c>
      <c r="W270" s="80">
        <v>0</v>
      </c>
      <c r="X270" s="80">
        <v>1</v>
      </c>
      <c r="Y270" s="11" t="str">
        <f ca="1">IF(ISBLANK(BudgetsTable[[#This Row],[budg_seq_yr]]),"FY"&amp;fiscalyear,"FY"&amp;fiscalyear-1+BudgetsTable[[#This Row],[budg_seq_yr]])</f>
        <v>FY18</v>
      </c>
      <c r="Z270" s="81">
        <v>500000</v>
      </c>
      <c r="AA270" s="80" t="s">
        <v>222</v>
      </c>
      <c r="AB270" s="80" t="s">
        <v>1137</v>
      </c>
      <c r="AC270" s="80" t="s">
        <v>1176</v>
      </c>
    </row>
    <row r="271" spans="1:29" x14ac:dyDescent="0.4">
      <c r="A271" s="10" t="s">
        <v>1274</v>
      </c>
      <c r="B271" s="78" t="s">
        <v>96</v>
      </c>
      <c r="C271" s="78">
        <f>C270+(BudgetsTable[[#This Row],[lead]]&lt;&gt;K270)</f>
        <v>52</v>
      </c>
      <c r="D271" s="78">
        <f>D270*(BudgetsTable[[#This Row],[lead]]=K270)+(BudgetsTable[[#This Row],[prop_id]]&lt;&gt;A270)</f>
        <v>1</v>
      </c>
      <c r="E271" s="79">
        <v>42809.598611111112</v>
      </c>
      <c r="F271" s="80" t="s">
        <v>1136</v>
      </c>
      <c r="G271" s="80" t="s">
        <v>222</v>
      </c>
      <c r="H271" s="80" t="s">
        <v>1137</v>
      </c>
      <c r="I271" s="78" t="s">
        <v>406</v>
      </c>
      <c r="J271" s="78" t="s">
        <v>13</v>
      </c>
      <c r="K271" s="80" t="s">
        <v>1274</v>
      </c>
      <c r="L271" s="7" t="str">
        <f>IF(BudgetsTable[[#This Row],[pi_last_name]]=" ","",HYPERLINK("https://www.ejacket.nsf.gov/ej/showProposal.do?Continue=Y&amp;ID="&amp;BudgetsTable[[#This Row],[prop_id]],BudgetsTable[[#This Row],[prop_id]]))</f>
        <v/>
      </c>
      <c r="M271" s="15" t="str">
        <f>IF(BudgetsTable[[#This Row],[pi_last_name]]=" ","",HYPERLINK("https://www.ejacket.nsf.gov/ej/processReviewAnalysis.do?dispatch=add&amp;uniqId="&amp;BudgetsTable[[#This Row],[prop_id]]&amp;PO_id,"&gt;ra"))</f>
        <v/>
      </c>
      <c r="N271" s="80" t="s">
        <v>13</v>
      </c>
      <c r="O271" s="7" t="str">
        <f>IF(BudgetsTable[[#This Row],[pi_last_name]]=" ","",HYPERLINK("mailto:"&amp;BudgetsTable[[#This Row],[pi_email]]&amp;"&amp;subject=Your NSF Proposal:  "&amp;BudgetsTable[[#This Row],[prop_id]],BudgetsTable[[#This Row],[pi_email]]))</f>
        <v/>
      </c>
      <c r="P271" s="80" t="s">
        <v>13</v>
      </c>
      <c r="Q271" s="80">
        <v>4</v>
      </c>
      <c r="R271" s="80">
        <v>3.8</v>
      </c>
      <c r="S271" s="81">
        <v>113292</v>
      </c>
      <c r="T271" s="81">
        <v>0</v>
      </c>
      <c r="U271" s="81">
        <v>39000</v>
      </c>
      <c r="V271" s="82">
        <v>500000</v>
      </c>
      <c r="W271" s="80">
        <v>0</v>
      </c>
      <c r="X271" s="80">
        <v>2</v>
      </c>
      <c r="Y271" s="11" t="str">
        <f ca="1">IF(ISBLANK(BudgetsTable[[#This Row],[budg_seq_yr]]),"FY"&amp;fiscalyear,"FY"&amp;fiscalyear-1+BudgetsTable[[#This Row],[budg_seq_yr]])</f>
        <v>FY19</v>
      </c>
      <c r="Z271" s="81">
        <v>500000</v>
      </c>
      <c r="AA271" s="80" t="s">
        <v>222</v>
      </c>
      <c r="AB271" s="80" t="s">
        <v>1137</v>
      </c>
      <c r="AC271" s="80" t="s">
        <v>1176</v>
      </c>
    </row>
    <row r="272" spans="1:29" x14ac:dyDescent="0.4">
      <c r="A272" s="10" t="s">
        <v>1274</v>
      </c>
      <c r="B272" s="78" t="s">
        <v>96</v>
      </c>
      <c r="C272" s="78">
        <f>C271+(BudgetsTable[[#This Row],[lead]]&lt;&gt;K271)</f>
        <v>52</v>
      </c>
      <c r="D272" s="78">
        <f>D271*(BudgetsTable[[#This Row],[lead]]=K271)+(BudgetsTable[[#This Row],[prop_id]]&lt;&gt;A271)</f>
        <v>1</v>
      </c>
      <c r="E272" s="79">
        <v>42809.598611111112</v>
      </c>
      <c r="F272" s="80" t="s">
        <v>1136</v>
      </c>
      <c r="G272" s="80" t="s">
        <v>222</v>
      </c>
      <c r="H272" s="80" t="s">
        <v>1137</v>
      </c>
      <c r="I272" s="78" t="s">
        <v>406</v>
      </c>
      <c r="J272" s="78" t="s">
        <v>13</v>
      </c>
      <c r="K272" s="80" t="s">
        <v>1274</v>
      </c>
      <c r="L272" s="7" t="str">
        <f>IF(BudgetsTable[[#This Row],[pi_last_name]]=" ","",HYPERLINK("https://www.ejacket.nsf.gov/ej/showProposal.do?Continue=Y&amp;ID="&amp;BudgetsTable[[#This Row],[prop_id]],BudgetsTable[[#This Row],[prop_id]]))</f>
        <v/>
      </c>
      <c r="M272" s="15" t="str">
        <f>IF(BudgetsTable[[#This Row],[pi_last_name]]=" ","",HYPERLINK("https://www.ejacket.nsf.gov/ej/processReviewAnalysis.do?dispatch=add&amp;uniqId="&amp;BudgetsTable[[#This Row],[prop_id]]&amp;PO_id,"&gt;ra"))</f>
        <v/>
      </c>
      <c r="N272" s="80" t="s">
        <v>13</v>
      </c>
      <c r="O272" s="7" t="str">
        <f>IF(BudgetsTable[[#This Row],[pi_last_name]]=" ","",HYPERLINK("mailto:"&amp;BudgetsTable[[#This Row],[pi_email]]&amp;"&amp;subject=Your NSF Proposal:  "&amp;BudgetsTable[[#This Row],[prop_id]],BudgetsTable[[#This Row],[pi_email]]))</f>
        <v/>
      </c>
      <c r="P272" s="80" t="s">
        <v>13</v>
      </c>
      <c r="Q272" s="80">
        <v>4</v>
      </c>
      <c r="R272" s="80">
        <v>3.75</v>
      </c>
      <c r="S272" s="81">
        <v>116690</v>
      </c>
      <c r="T272" s="81">
        <v>0</v>
      </c>
      <c r="U272" s="81">
        <v>36000</v>
      </c>
      <c r="V272" s="82">
        <v>500000</v>
      </c>
      <c r="W272" s="80">
        <v>0</v>
      </c>
      <c r="X272" s="80">
        <v>3</v>
      </c>
      <c r="Y272" s="11" t="str">
        <f ca="1">IF(ISBLANK(BudgetsTable[[#This Row],[budg_seq_yr]]),"FY"&amp;fiscalyear,"FY"&amp;fiscalyear-1+BudgetsTable[[#This Row],[budg_seq_yr]])</f>
        <v>FY20</v>
      </c>
      <c r="Z272" s="81">
        <v>500000</v>
      </c>
      <c r="AA272" s="80" t="s">
        <v>222</v>
      </c>
      <c r="AB272" s="80" t="s">
        <v>1137</v>
      </c>
      <c r="AC272" s="80" t="s">
        <v>1176</v>
      </c>
    </row>
    <row r="273" spans="1:29" x14ac:dyDescent="0.4">
      <c r="A273" s="10" t="s">
        <v>1281</v>
      </c>
      <c r="B273" s="78" t="s">
        <v>1145</v>
      </c>
      <c r="C273" s="78">
        <f>C272+(BudgetsTable[[#This Row],[lead]]&lt;&gt;K272)</f>
        <v>53</v>
      </c>
      <c r="D273" s="78">
        <f>D272*(BudgetsTable[[#This Row],[lead]]=K272)+(BudgetsTable[[#This Row],[prop_id]]&lt;&gt;A272)</f>
        <v>1</v>
      </c>
      <c r="E273" s="79">
        <v>42809.64166666667</v>
      </c>
      <c r="F273" s="80" t="s">
        <v>1136</v>
      </c>
      <c r="G273" s="80" t="s">
        <v>222</v>
      </c>
      <c r="H273" s="80" t="s">
        <v>1137</v>
      </c>
      <c r="I273" s="78" t="s">
        <v>406</v>
      </c>
      <c r="J273" s="78" t="s">
        <v>1284</v>
      </c>
      <c r="K273" s="80" t="s">
        <v>1281</v>
      </c>
      <c r="L273" s="7" t="str">
        <f>IF(BudgetsTable[[#This Row],[pi_last_name]]=" ","",HYPERLINK("https://www.ejacket.nsf.gov/ej/showProposal.do?Continue=Y&amp;ID="&amp;BudgetsTable[[#This Row],[prop_id]],BudgetsTable[[#This Row],[prop_id]]))</f>
        <v>1740796</v>
      </c>
      <c r="M273" s="15" t="str">
        <f>IF(BudgetsTable[[#This Row],[pi_last_name]]=" ","",HYPERLINK("https://www.ejacket.nsf.gov/ej/processReviewAnalysis.do?dispatch=add&amp;uniqId="&amp;BudgetsTable[[#This Row],[prop_id]]&amp;PO_id,"&gt;ra"))</f>
        <v>&gt;ra</v>
      </c>
      <c r="N273" s="80" t="s">
        <v>1282</v>
      </c>
      <c r="O273" s="7" t="str">
        <f>IF(BudgetsTable[[#This Row],[pi_last_name]]=" ","",HYPERLINK("mailto:"&amp;BudgetsTable[[#This Row],[pi_email]]&amp;"&amp;subject=Your NSF Proposal:  "&amp;BudgetsTable[[#This Row],[prop_id]],BudgetsTable[[#This Row],[pi_email]]))</f>
        <v>kas410@lehigh.edu</v>
      </c>
      <c r="P273" s="80" t="s">
        <v>1231</v>
      </c>
      <c r="Q273" s="80"/>
      <c r="R273" s="80"/>
      <c r="S273" s="81"/>
      <c r="T273" s="81"/>
      <c r="U273" s="81"/>
      <c r="V273" s="82"/>
      <c r="W273" s="80">
        <v>1</v>
      </c>
      <c r="X273" s="80"/>
      <c r="Y273" s="11" t="str">
        <f ca="1">IF(ISBLANK(BudgetsTable[[#This Row],[budg_seq_yr]]),"FY"&amp;fiscalyear,"FY"&amp;fiscalyear-1+BudgetsTable[[#This Row],[budg_seq_yr]])</f>
        <v>FY18</v>
      </c>
      <c r="Z273" s="81">
        <v>895670</v>
      </c>
      <c r="AA273" s="80" t="s">
        <v>222</v>
      </c>
      <c r="AB273" s="80" t="s">
        <v>1137</v>
      </c>
      <c r="AC273" s="80" t="s">
        <v>1176</v>
      </c>
    </row>
    <row r="274" spans="1:29" x14ac:dyDescent="0.4">
      <c r="A274" s="10" t="s">
        <v>1281</v>
      </c>
      <c r="B274" s="78" t="s">
        <v>1145</v>
      </c>
      <c r="C274" s="78">
        <f>C273+(BudgetsTable[[#This Row],[lead]]&lt;&gt;K273)</f>
        <v>53</v>
      </c>
      <c r="D274" s="78">
        <f>D273*(BudgetsTable[[#This Row],[lead]]=K273)+(BudgetsTable[[#This Row],[prop_id]]&lt;&gt;A273)</f>
        <v>1</v>
      </c>
      <c r="E274" s="79">
        <v>42809.64166666667</v>
      </c>
      <c r="F274" s="80" t="s">
        <v>1136</v>
      </c>
      <c r="G274" s="80" t="s">
        <v>222</v>
      </c>
      <c r="H274" s="80" t="s">
        <v>1137</v>
      </c>
      <c r="I274" s="78" t="s">
        <v>406</v>
      </c>
      <c r="J274" s="78" t="s">
        <v>13</v>
      </c>
      <c r="K274" s="80" t="s">
        <v>1281</v>
      </c>
      <c r="L274" s="7" t="str">
        <f>IF(BudgetsTable[[#This Row],[pi_last_name]]=" ","",HYPERLINK("https://www.ejacket.nsf.gov/ej/showProposal.do?Continue=Y&amp;ID="&amp;BudgetsTable[[#This Row],[prop_id]],BudgetsTable[[#This Row],[prop_id]]))</f>
        <v/>
      </c>
      <c r="M274" s="15" t="str">
        <f>IF(BudgetsTable[[#This Row],[pi_last_name]]=" ","",HYPERLINK("https://www.ejacket.nsf.gov/ej/processReviewAnalysis.do?dispatch=add&amp;uniqId="&amp;BudgetsTable[[#This Row],[prop_id]]&amp;PO_id,"&gt;ra"))</f>
        <v/>
      </c>
      <c r="N274" s="80" t="s">
        <v>13</v>
      </c>
      <c r="O274" s="7" t="str">
        <f>IF(BudgetsTable[[#This Row],[pi_last_name]]=" ","",HYPERLINK("mailto:"&amp;BudgetsTable[[#This Row],[pi_email]]&amp;"&amp;subject=Your NSF Proposal:  "&amp;BudgetsTable[[#This Row],[prop_id]],BudgetsTable[[#This Row],[pi_email]]))</f>
        <v/>
      </c>
      <c r="P274" s="80" t="s">
        <v>13</v>
      </c>
      <c r="Q274" s="80">
        <v>3</v>
      </c>
      <c r="R274" s="80">
        <v>2.5</v>
      </c>
      <c r="S274" s="81">
        <v>45000</v>
      </c>
      <c r="T274" s="81">
        <v>0</v>
      </c>
      <c r="U274" s="81">
        <v>0</v>
      </c>
      <c r="V274" s="82">
        <v>300515</v>
      </c>
      <c r="W274" s="80">
        <v>1</v>
      </c>
      <c r="X274" s="80">
        <v>1</v>
      </c>
      <c r="Y274" s="11" t="str">
        <f ca="1">IF(ISBLANK(BudgetsTable[[#This Row],[budg_seq_yr]]),"FY"&amp;fiscalyear,"FY"&amp;fiscalyear-1+BudgetsTable[[#This Row],[budg_seq_yr]])</f>
        <v>FY18</v>
      </c>
      <c r="Z274" s="81">
        <v>300515</v>
      </c>
      <c r="AA274" s="80" t="s">
        <v>222</v>
      </c>
      <c r="AB274" s="80" t="s">
        <v>1137</v>
      </c>
      <c r="AC274" s="80" t="s">
        <v>1176</v>
      </c>
    </row>
    <row r="275" spans="1:29" x14ac:dyDescent="0.4">
      <c r="A275" s="10" t="s">
        <v>1281</v>
      </c>
      <c r="B275" s="78" t="s">
        <v>1145</v>
      </c>
      <c r="C275" s="78">
        <f>C274+(BudgetsTable[[#This Row],[lead]]&lt;&gt;K274)</f>
        <v>53</v>
      </c>
      <c r="D275" s="78">
        <f>D274*(BudgetsTable[[#This Row],[lead]]=K274)+(BudgetsTable[[#This Row],[prop_id]]&lt;&gt;A274)</f>
        <v>1</v>
      </c>
      <c r="E275" s="79">
        <v>42809.64166666667</v>
      </c>
      <c r="F275" s="80" t="s">
        <v>1136</v>
      </c>
      <c r="G275" s="80" t="s">
        <v>222</v>
      </c>
      <c r="H275" s="80" t="s">
        <v>1137</v>
      </c>
      <c r="I275" s="78" t="s">
        <v>406</v>
      </c>
      <c r="J275" s="78" t="s">
        <v>13</v>
      </c>
      <c r="K275" s="80" t="s">
        <v>1281</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80" t="s">
        <v>13</v>
      </c>
      <c r="O275" s="7" t="str">
        <f>IF(BudgetsTable[[#This Row],[pi_last_name]]=" ","",HYPERLINK("mailto:"&amp;BudgetsTable[[#This Row],[pi_email]]&amp;"&amp;subject=Your NSF Proposal:  "&amp;BudgetsTable[[#This Row],[prop_id]],BudgetsTable[[#This Row],[pi_email]]))</f>
        <v/>
      </c>
      <c r="P275" s="80" t="s">
        <v>13</v>
      </c>
      <c r="Q275" s="80">
        <v>3</v>
      </c>
      <c r="R275" s="80">
        <v>2</v>
      </c>
      <c r="S275" s="81">
        <v>46350</v>
      </c>
      <c r="T275" s="81">
        <v>0</v>
      </c>
      <c r="U275" s="81">
        <v>0</v>
      </c>
      <c r="V275" s="82">
        <v>297296</v>
      </c>
      <c r="W275" s="80">
        <v>1</v>
      </c>
      <c r="X275" s="80">
        <v>2</v>
      </c>
      <c r="Y275" s="11" t="str">
        <f ca="1">IF(ISBLANK(BudgetsTable[[#This Row],[budg_seq_yr]]),"FY"&amp;fiscalyear,"FY"&amp;fiscalyear-1+BudgetsTable[[#This Row],[budg_seq_yr]])</f>
        <v>FY19</v>
      </c>
      <c r="Z275" s="81">
        <v>297296</v>
      </c>
      <c r="AA275" s="80" t="s">
        <v>222</v>
      </c>
      <c r="AB275" s="80" t="s">
        <v>1137</v>
      </c>
      <c r="AC275" s="80" t="s">
        <v>1176</v>
      </c>
    </row>
    <row r="276" spans="1:29" x14ac:dyDescent="0.4">
      <c r="A276" s="10" t="s">
        <v>1281</v>
      </c>
      <c r="B276" s="78" t="s">
        <v>1145</v>
      </c>
      <c r="C276" s="78">
        <f>C275+(BudgetsTable[[#This Row],[lead]]&lt;&gt;K275)</f>
        <v>53</v>
      </c>
      <c r="D276" s="78">
        <f>D275*(BudgetsTable[[#This Row],[lead]]=K275)+(BudgetsTable[[#This Row],[prop_id]]&lt;&gt;A275)</f>
        <v>1</v>
      </c>
      <c r="E276" s="79">
        <v>42809.64166666667</v>
      </c>
      <c r="F276" s="80" t="s">
        <v>1136</v>
      </c>
      <c r="G276" s="80" t="s">
        <v>222</v>
      </c>
      <c r="H276" s="80" t="s">
        <v>1137</v>
      </c>
      <c r="I276" s="78" t="s">
        <v>406</v>
      </c>
      <c r="J276" s="78" t="s">
        <v>13</v>
      </c>
      <c r="K276" s="80" t="s">
        <v>1281</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80" t="s">
        <v>13</v>
      </c>
      <c r="O276" s="7" t="str">
        <f>IF(BudgetsTable[[#This Row],[pi_last_name]]=" ","",HYPERLINK("mailto:"&amp;BudgetsTable[[#This Row],[pi_email]]&amp;"&amp;subject=Your NSF Proposal:  "&amp;BudgetsTable[[#This Row],[prop_id]],BudgetsTable[[#This Row],[pi_email]]))</f>
        <v/>
      </c>
      <c r="P276" s="80" t="s">
        <v>13</v>
      </c>
      <c r="Q276" s="80">
        <v>3</v>
      </c>
      <c r="R276" s="80">
        <v>1.75</v>
      </c>
      <c r="S276" s="81">
        <v>47741</v>
      </c>
      <c r="T276" s="81">
        <v>0</v>
      </c>
      <c r="U276" s="81">
        <v>0</v>
      </c>
      <c r="V276" s="82">
        <v>297859</v>
      </c>
      <c r="W276" s="80">
        <v>1</v>
      </c>
      <c r="X276" s="80">
        <v>3</v>
      </c>
      <c r="Y276" s="11" t="str">
        <f ca="1">IF(ISBLANK(BudgetsTable[[#This Row],[budg_seq_yr]]),"FY"&amp;fiscalyear,"FY"&amp;fiscalyear-1+BudgetsTable[[#This Row],[budg_seq_yr]])</f>
        <v>FY20</v>
      </c>
      <c r="Z276" s="81">
        <v>297859</v>
      </c>
      <c r="AA276" s="80" t="s">
        <v>222</v>
      </c>
      <c r="AB276" s="80" t="s">
        <v>1137</v>
      </c>
      <c r="AC276" s="80" t="s">
        <v>1176</v>
      </c>
    </row>
    <row r="277" spans="1:29" x14ac:dyDescent="0.4">
      <c r="A277" s="10" t="s">
        <v>1287</v>
      </c>
      <c r="B277" s="78" t="s">
        <v>965</v>
      </c>
      <c r="C277" s="78">
        <f>C276+(BudgetsTable[[#This Row],[lead]]&lt;&gt;K276)</f>
        <v>53</v>
      </c>
      <c r="D277" s="78">
        <f>D276*(BudgetsTable[[#This Row],[lead]]=K276)+(BudgetsTable[[#This Row],[prop_id]]&lt;&gt;A276)</f>
        <v>2</v>
      </c>
      <c r="E277" s="79">
        <v>42809.44027777778</v>
      </c>
      <c r="F277" s="80" t="s">
        <v>1136</v>
      </c>
      <c r="G277" s="80" t="s">
        <v>222</v>
      </c>
      <c r="H277" s="80" t="s">
        <v>1137</v>
      </c>
      <c r="I277" s="78" t="s">
        <v>406</v>
      </c>
      <c r="J277" s="78" t="s">
        <v>1290</v>
      </c>
      <c r="K277" s="80" t="s">
        <v>1281</v>
      </c>
      <c r="L277" s="7" t="str">
        <f>IF(BudgetsTable[[#This Row],[pi_last_name]]=" ","",HYPERLINK("https://www.ejacket.nsf.gov/ej/showProposal.do?Continue=Y&amp;ID="&amp;BudgetsTable[[#This Row],[prop_id]],BudgetsTable[[#This Row],[prop_id]]))</f>
        <v>1740735</v>
      </c>
      <c r="M277" s="15" t="str">
        <f>IF(BudgetsTable[[#This Row],[pi_last_name]]=" ","",HYPERLINK("https://www.ejacket.nsf.gov/ej/processReviewAnalysis.do?dispatch=add&amp;uniqId="&amp;BudgetsTable[[#This Row],[prop_id]]&amp;PO_id,"&gt;ra"))</f>
        <v>&gt;ra</v>
      </c>
      <c r="N277" s="80" t="s">
        <v>1288</v>
      </c>
      <c r="O277" s="7" t="str">
        <f>IF(BudgetsTable[[#This Row],[pi_last_name]]=" ","",HYPERLINK("mailto:"&amp;BudgetsTable[[#This Row],[pi_email]]&amp;"&amp;subject=Your NSF Proposal:  "&amp;BudgetsTable[[#This Row],[prop_id]],BudgetsTable[[#This Row],[pi_email]]))</f>
        <v>hanliu@princeton.edu</v>
      </c>
      <c r="P277" s="80" t="s">
        <v>1060</v>
      </c>
      <c r="Q277" s="80"/>
      <c r="R277" s="80"/>
      <c r="S277" s="81"/>
      <c r="T277" s="81"/>
      <c r="U277" s="81"/>
      <c r="V277" s="82"/>
      <c r="W277" s="80">
        <v>0</v>
      </c>
      <c r="X277" s="80"/>
      <c r="Y277" s="11" t="str">
        <f ca="1">IF(ISBLANK(BudgetsTable[[#This Row],[budg_seq_yr]]),"FY"&amp;fiscalyear,"FY"&amp;fiscalyear-1+BudgetsTable[[#This Row],[budg_seq_yr]])</f>
        <v>FY18</v>
      </c>
      <c r="Z277" s="81">
        <v>300000</v>
      </c>
      <c r="AA277" s="80" t="s">
        <v>222</v>
      </c>
      <c r="AB277" s="80" t="s">
        <v>1137</v>
      </c>
      <c r="AC277" s="80" t="s">
        <v>1142</v>
      </c>
    </row>
    <row r="278" spans="1:29" x14ac:dyDescent="0.4">
      <c r="A278" s="10" t="s">
        <v>1287</v>
      </c>
      <c r="B278" s="78" t="s">
        <v>965</v>
      </c>
      <c r="C278" s="78">
        <f>C277+(BudgetsTable[[#This Row],[lead]]&lt;&gt;K277)</f>
        <v>53</v>
      </c>
      <c r="D278" s="78">
        <f>D277*(BudgetsTable[[#This Row],[lead]]=K277)+(BudgetsTable[[#This Row],[prop_id]]&lt;&gt;A277)</f>
        <v>2</v>
      </c>
      <c r="E278" s="79">
        <v>42809.44027777778</v>
      </c>
      <c r="F278" s="80" t="s">
        <v>1136</v>
      </c>
      <c r="G278" s="80" t="s">
        <v>222</v>
      </c>
      <c r="H278" s="80" t="s">
        <v>1137</v>
      </c>
      <c r="I278" s="78" t="s">
        <v>406</v>
      </c>
      <c r="J278" s="78" t="s">
        <v>13</v>
      </c>
      <c r="K278" s="80" t="s">
        <v>1281</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80" t="s">
        <v>13</v>
      </c>
      <c r="O278" s="7" t="str">
        <f>IF(BudgetsTable[[#This Row],[pi_last_name]]=" ","",HYPERLINK("mailto:"&amp;BudgetsTable[[#This Row],[pi_email]]&amp;"&amp;subject=Your NSF Proposal:  "&amp;BudgetsTable[[#This Row],[prop_id]],BudgetsTable[[#This Row],[pi_email]]))</f>
        <v/>
      </c>
      <c r="P278" s="80" t="s">
        <v>13</v>
      </c>
      <c r="Q278" s="80">
        <v>1</v>
      </c>
      <c r="R278" s="80">
        <v>1</v>
      </c>
      <c r="S278" s="81">
        <v>0</v>
      </c>
      <c r="T278" s="81">
        <v>0</v>
      </c>
      <c r="U278" s="81">
        <v>0</v>
      </c>
      <c r="V278" s="82">
        <v>78181</v>
      </c>
      <c r="W278" s="80">
        <v>0</v>
      </c>
      <c r="X278" s="80">
        <v>1</v>
      </c>
      <c r="Y278" s="11" t="str">
        <f ca="1">IF(ISBLANK(BudgetsTable[[#This Row],[budg_seq_yr]]),"FY"&amp;fiscalyear,"FY"&amp;fiscalyear-1+BudgetsTable[[#This Row],[budg_seq_yr]])</f>
        <v>FY18</v>
      </c>
      <c r="Z278" s="81">
        <v>78181</v>
      </c>
      <c r="AA278" s="80" t="s">
        <v>222</v>
      </c>
      <c r="AB278" s="80" t="s">
        <v>1137</v>
      </c>
      <c r="AC278" s="80" t="s">
        <v>1142</v>
      </c>
    </row>
    <row r="279" spans="1:29" x14ac:dyDescent="0.4">
      <c r="A279" s="10" t="s">
        <v>1287</v>
      </c>
      <c r="B279" s="78" t="s">
        <v>965</v>
      </c>
      <c r="C279" s="78">
        <f>C278+(BudgetsTable[[#This Row],[lead]]&lt;&gt;K278)</f>
        <v>53</v>
      </c>
      <c r="D279" s="78">
        <f>D278*(BudgetsTable[[#This Row],[lead]]=K278)+(BudgetsTable[[#This Row],[prop_id]]&lt;&gt;A278)</f>
        <v>2</v>
      </c>
      <c r="E279" s="79">
        <v>42809.44027777778</v>
      </c>
      <c r="F279" s="80" t="s">
        <v>1136</v>
      </c>
      <c r="G279" s="80" t="s">
        <v>222</v>
      </c>
      <c r="H279" s="80" t="s">
        <v>1137</v>
      </c>
      <c r="I279" s="78" t="s">
        <v>406</v>
      </c>
      <c r="J279" s="78" t="s">
        <v>13</v>
      </c>
      <c r="K279" s="80" t="s">
        <v>1281</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80" t="s">
        <v>13</v>
      </c>
      <c r="O279" s="7" t="str">
        <f>IF(BudgetsTable[[#This Row],[pi_last_name]]=" ","",HYPERLINK("mailto:"&amp;BudgetsTable[[#This Row],[pi_email]]&amp;"&amp;subject=Your NSF Proposal:  "&amp;BudgetsTable[[#This Row],[prop_id]],BudgetsTable[[#This Row],[pi_email]]))</f>
        <v/>
      </c>
      <c r="P279" s="80" t="s">
        <v>13</v>
      </c>
      <c r="Q279" s="80">
        <v>1</v>
      </c>
      <c r="R279" s="80">
        <v>1</v>
      </c>
      <c r="S279" s="81">
        <v>0</v>
      </c>
      <c r="T279" s="81">
        <v>0</v>
      </c>
      <c r="U279" s="81">
        <v>0</v>
      </c>
      <c r="V279" s="82">
        <v>124273</v>
      </c>
      <c r="W279" s="80">
        <v>0</v>
      </c>
      <c r="X279" s="80">
        <v>2</v>
      </c>
      <c r="Y279" s="11" t="str">
        <f ca="1">IF(ISBLANK(BudgetsTable[[#This Row],[budg_seq_yr]]),"FY"&amp;fiscalyear,"FY"&amp;fiscalyear-1+BudgetsTable[[#This Row],[budg_seq_yr]])</f>
        <v>FY19</v>
      </c>
      <c r="Z279" s="81">
        <v>124273</v>
      </c>
      <c r="AA279" s="80" t="s">
        <v>222</v>
      </c>
      <c r="AB279" s="80" t="s">
        <v>1137</v>
      </c>
      <c r="AC279" s="80" t="s">
        <v>1142</v>
      </c>
    </row>
    <row r="280" spans="1:29" x14ac:dyDescent="0.4">
      <c r="A280" s="10" t="s">
        <v>1287</v>
      </c>
      <c r="B280" s="78" t="s">
        <v>965</v>
      </c>
      <c r="C280" s="78">
        <f>C279+(BudgetsTable[[#This Row],[lead]]&lt;&gt;K279)</f>
        <v>53</v>
      </c>
      <c r="D280" s="78">
        <f>D279*(BudgetsTable[[#This Row],[lead]]=K279)+(BudgetsTable[[#This Row],[prop_id]]&lt;&gt;A279)</f>
        <v>2</v>
      </c>
      <c r="E280" s="79">
        <v>42809.44027777778</v>
      </c>
      <c r="F280" s="80" t="s">
        <v>1136</v>
      </c>
      <c r="G280" s="80" t="s">
        <v>222</v>
      </c>
      <c r="H280" s="80" t="s">
        <v>1137</v>
      </c>
      <c r="I280" s="78" t="s">
        <v>406</v>
      </c>
      <c r="J280" s="78" t="s">
        <v>13</v>
      </c>
      <c r="K280" s="80" t="s">
        <v>1281</v>
      </c>
      <c r="L280" s="7" t="str">
        <f>IF(BudgetsTable[[#This Row],[pi_last_name]]=" ","",HYPERLINK("https://www.ejacket.nsf.gov/ej/showProposal.do?Continue=Y&amp;ID="&amp;BudgetsTable[[#This Row],[prop_id]],BudgetsTable[[#This Row],[prop_id]]))</f>
        <v/>
      </c>
      <c r="M280" s="15" t="str">
        <f>IF(BudgetsTable[[#This Row],[pi_last_name]]=" ","",HYPERLINK("https://www.ejacket.nsf.gov/ej/processReviewAnalysis.do?dispatch=add&amp;uniqId="&amp;BudgetsTable[[#This Row],[prop_id]]&amp;PO_id,"&gt;ra"))</f>
        <v/>
      </c>
      <c r="N280" s="80" t="s">
        <v>13</v>
      </c>
      <c r="O280" s="7" t="str">
        <f>IF(BudgetsTable[[#This Row],[pi_last_name]]=" ","",HYPERLINK("mailto:"&amp;BudgetsTable[[#This Row],[pi_email]]&amp;"&amp;subject=Your NSF Proposal:  "&amp;BudgetsTable[[#This Row],[prop_id]],BudgetsTable[[#This Row],[pi_email]]))</f>
        <v/>
      </c>
      <c r="P280" s="80" t="s">
        <v>13</v>
      </c>
      <c r="Q280" s="80">
        <v>1</v>
      </c>
      <c r="R280" s="80">
        <v>1</v>
      </c>
      <c r="S280" s="81">
        <v>0</v>
      </c>
      <c r="T280" s="81">
        <v>0</v>
      </c>
      <c r="U280" s="81">
        <v>0</v>
      </c>
      <c r="V280" s="82">
        <v>97546</v>
      </c>
      <c r="W280" s="80">
        <v>0</v>
      </c>
      <c r="X280" s="80">
        <v>3</v>
      </c>
      <c r="Y280" s="11" t="str">
        <f ca="1">IF(ISBLANK(BudgetsTable[[#This Row],[budg_seq_yr]]),"FY"&amp;fiscalyear,"FY"&amp;fiscalyear-1+BudgetsTable[[#This Row],[budg_seq_yr]])</f>
        <v>FY20</v>
      </c>
      <c r="Z280" s="81">
        <v>97546</v>
      </c>
      <c r="AA280" s="80" t="s">
        <v>222</v>
      </c>
      <c r="AB280" s="80" t="s">
        <v>1137</v>
      </c>
      <c r="AC280" s="80" t="s">
        <v>1142</v>
      </c>
    </row>
    <row r="281" spans="1:29" x14ac:dyDescent="0.4">
      <c r="A281" s="10" t="s">
        <v>1292</v>
      </c>
      <c r="B281" s="78" t="s">
        <v>965</v>
      </c>
      <c r="C281" s="78">
        <f>C280+(BudgetsTable[[#This Row],[lead]]&lt;&gt;K280)</f>
        <v>53</v>
      </c>
      <c r="D281" s="78">
        <f>D280*(BudgetsTable[[#This Row],[lead]]=K280)+(BudgetsTable[[#This Row],[prop_id]]&lt;&gt;A280)</f>
        <v>3</v>
      </c>
      <c r="E281" s="79">
        <v>42809.555555555555</v>
      </c>
      <c r="F281" s="80" t="s">
        <v>1136</v>
      </c>
      <c r="G281" s="80" t="s">
        <v>222</v>
      </c>
      <c r="H281" s="80" t="s">
        <v>1137</v>
      </c>
      <c r="I281" s="78" t="s">
        <v>406</v>
      </c>
      <c r="J281" s="78" t="s">
        <v>1296</v>
      </c>
      <c r="K281" s="80" t="s">
        <v>1281</v>
      </c>
      <c r="L281" s="7" t="str">
        <f>IF(BudgetsTable[[#This Row],[pi_last_name]]=" ","",HYPERLINK("https://www.ejacket.nsf.gov/ej/showProposal.do?Continue=Y&amp;ID="&amp;BudgetsTable[[#This Row],[prop_id]],BudgetsTable[[#This Row],[prop_id]]))</f>
        <v>1740762</v>
      </c>
      <c r="M281" s="15" t="str">
        <f>IF(BudgetsTable[[#This Row],[pi_last_name]]=" ","",HYPERLINK("https://www.ejacket.nsf.gov/ej/processReviewAnalysis.do?dispatch=add&amp;uniqId="&amp;BudgetsTable[[#This Row],[prop_id]]&amp;PO_id,"&gt;ra"))</f>
        <v>&gt;ra</v>
      </c>
      <c r="N281" s="80" t="s">
        <v>1293</v>
      </c>
      <c r="O281" s="7" t="str">
        <f>IF(BudgetsTable[[#This Row],[pi_last_name]]=" ","",HYPERLINK("mailto:"&amp;BudgetsTable[[#This Row],[pi_email]]&amp;"&amp;subject=Your NSF Proposal:  "&amp;BudgetsTable[[#This Row],[prop_id]],BudgetsTable[[#This Row],[pi_email]]))</f>
        <v>francesco@cs.stonybrook.edu</v>
      </c>
      <c r="P281" s="80" t="s">
        <v>1295</v>
      </c>
      <c r="Q281" s="80"/>
      <c r="R281" s="80"/>
      <c r="S281" s="81"/>
      <c r="T281" s="81"/>
      <c r="U281" s="81"/>
      <c r="V281" s="82"/>
      <c r="W281" s="80">
        <v>0</v>
      </c>
      <c r="X281" s="80"/>
      <c r="Y281" s="11" t="str">
        <f ca="1">IF(ISBLANK(BudgetsTable[[#This Row],[budg_seq_yr]]),"FY"&amp;fiscalyear,"FY"&amp;fiscalyear-1+BudgetsTable[[#This Row],[budg_seq_yr]])</f>
        <v>FY18</v>
      </c>
      <c r="Z281" s="81">
        <v>288482</v>
      </c>
      <c r="AA281" s="80" t="s">
        <v>222</v>
      </c>
      <c r="AB281" s="80" t="s">
        <v>1137</v>
      </c>
      <c r="AC281" s="80" t="s">
        <v>1142</v>
      </c>
    </row>
    <row r="282" spans="1:29" x14ac:dyDescent="0.4">
      <c r="A282" s="10" t="s">
        <v>1292</v>
      </c>
      <c r="B282" s="78" t="s">
        <v>965</v>
      </c>
      <c r="C282" s="78">
        <f>C281+(BudgetsTable[[#This Row],[lead]]&lt;&gt;K281)</f>
        <v>53</v>
      </c>
      <c r="D282" s="78">
        <f>D281*(BudgetsTable[[#This Row],[lead]]=K281)+(BudgetsTable[[#This Row],[prop_id]]&lt;&gt;A281)</f>
        <v>3</v>
      </c>
      <c r="E282" s="79">
        <v>42809.555555555555</v>
      </c>
      <c r="F282" s="80" t="s">
        <v>1136</v>
      </c>
      <c r="G282" s="80" t="s">
        <v>222</v>
      </c>
      <c r="H282" s="80" t="s">
        <v>1137</v>
      </c>
      <c r="I282" s="78" t="s">
        <v>406</v>
      </c>
      <c r="J282" s="78" t="s">
        <v>13</v>
      </c>
      <c r="K282" s="80" t="s">
        <v>1281</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80" t="s">
        <v>13</v>
      </c>
      <c r="O282" s="7" t="str">
        <f>IF(BudgetsTable[[#This Row],[pi_last_name]]=" ","",HYPERLINK("mailto:"&amp;BudgetsTable[[#This Row],[pi_email]]&amp;"&amp;subject=Your NSF Proposal:  "&amp;BudgetsTable[[#This Row],[prop_id]],BudgetsTable[[#This Row],[pi_email]]))</f>
        <v/>
      </c>
      <c r="P282" s="80" t="s">
        <v>13</v>
      </c>
      <c r="Q282" s="80">
        <v>1</v>
      </c>
      <c r="R282" s="80">
        <v>1</v>
      </c>
      <c r="S282" s="81">
        <v>0</v>
      </c>
      <c r="T282" s="81">
        <v>2500</v>
      </c>
      <c r="U282" s="81">
        <v>0</v>
      </c>
      <c r="V282" s="82">
        <v>93641</v>
      </c>
      <c r="W282" s="80">
        <v>0</v>
      </c>
      <c r="X282" s="80">
        <v>1</v>
      </c>
      <c r="Y282" s="11" t="str">
        <f ca="1">IF(ISBLANK(BudgetsTable[[#This Row],[budg_seq_yr]]),"FY"&amp;fiscalyear,"FY"&amp;fiscalyear-1+BudgetsTable[[#This Row],[budg_seq_yr]])</f>
        <v>FY18</v>
      </c>
      <c r="Z282" s="81">
        <v>93641</v>
      </c>
      <c r="AA282" s="80" t="s">
        <v>222</v>
      </c>
      <c r="AB282" s="80" t="s">
        <v>1137</v>
      </c>
      <c r="AC282" s="80" t="s">
        <v>1142</v>
      </c>
    </row>
    <row r="283" spans="1:29" x14ac:dyDescent="0.4">
      <c r="A283" s="10" t="s">
        <v>1292</v>
      </c>
      <c r="B283" s="78" t="s">
        <v>965</v>
      </c>
      <c r="C283" s="78">
        <f>C282+(BudgetsTable[[#This Row],[lead]]&lt;&gt;K282)</f>
        <v>53</v>
      </c>
      <c r="D283" s="78">
        <f>D282*(BudgetsTable[[#This Row],[lead]]=K282)+(BudgetsTable[[#This Row],[prop_id]]&lt;&gt;A282)</f>
        <v>3</v>
      </c>
      <c r="E283" s="79">
        <v>42809.555555555555</v>
      </c>
      <c r="F283" s="80" t="s">
        <v>1136</v>
      </c>
      <c r="G283" s="80" t="s">
        <v>222</v>
      </c>
      <c r="H283" s="80" t="s">
        <v>1137</v>
      </c>
      <c r="I283" s="78" t="s">
        <v>406</v>
      </c>
      <c r="J283" s="78" t="s">
        <v>13</v>
      </c>
      <c r="K283" s="80" t="s">
        <v>1281</v>
      </c>
      <c r="L283" s="7" t="str">
        <f>IF(BudgetsTable[[#This Row],[pi_last_name]]=" ","",HYPERLINK("https://www.ejacket.nsf.gov/ej/showProposal.do?Continue=Y&amp;ID="&amp;BudgetsTable[[#This Row],[prop_id]],BudgetsTable[[#This Row],[prop_id]]))</f>
        <v/>
      </c>
      <c r="M283" s="15" t="str">
        <f>IF(BudgetsTable[[#This Row],[pi_last_name]]=" ","",HYPERLINK("https://www.ejacket.nsf.gov/ej/processReviewAnalysis.do?dispatch=add&amp;uniqId="&amp;BudgetsTable[[#This Row],[prop_id]]&amp;PO_id,"&gt;ra"))</f>
        <v/>
      </c>
      <c r="N283" s="80" t="s">
        <v>13</v>
      </c>
      <c r="O283" s="7" t="str">
        <f>IF(BudgetsTable[[#This Row],[pi_last_name]]=" ","",HYPERLINK("mailto:"&amp;BudgetsTable[[#This Row],[pi_email]]&amp;"&amp;subject=Your NSF Proposal:  "&amp;BudgetsTable[[#This Row],[prop_id]],BudgetsTable[[#This Row],[pi_email]]))</f>
        <v/>
      </c>
      <c r="P283" s="80" t="s">
        <v>13</v>
      </c>
      <c r="Q283" s="80">
        <v>1</v>
      </c>
      <c r="R283" s="80">
        <v>1</v>
      </c>
      <c r="S283" s="81">
        <v>0</v>
      </c>
      <c r="T283" s="81">
        <v>2500</v>
      </c>
      <c r="U283" s="81">
        <v>0</v>
      </c>
      <c r="V283" s="82">
        <v>96231</v>
      </c>
      <c r="W283" s="80">
        <v>0</v>
      </c>
      <c r="X283" s="80">
        <v>2</v>
      </c>
      <c r="Y283" s="11" t="str">
        <f ca="1">IF(ISBLANK(BudgetsTable[[#This Row],[budg_seq_yr]]),"FY"&amp;fiscalyear,"FY"&amp;fiscalyear-1+BudgetsTable[[#This Row],[budg_seq_yr]])</f>
        <v>FY19</v>
      </c>
      <c r="Z283" s="81">
        <v>96231</v>
      </c>
      <c r="AA283" s="80" t="s">
        <v>222</v>
      </c>
      <c r="AB283" s="80" t="s">
        <v>1137</v>
      </c>
      <c r="AC283" s="80" t="s">
        <v>1142</v>
      </c>
    </row>
    <row r="284" spans="1:29" x14ac:dyDescent="0.4">
      <c r="A284" s="10" t="s">
        <v>1292</v>
      </c>
      <c r="B284" s="78" t="s">
        <v>965</v>
      </c>
      <c r="C284" s="78">
        <f>C283+(BudgetsTable[[#This Row],[lead]]&lt;&gt;K283)</f>
        <v>53</v>
      </c>
      <c r="D284" s="78">
        <f>D283*(BudgetsTable[[#This Row],[lead]]=K283)+(BudgetsTable[[#This Row],[prop_id]]&lt;&gt;A283)</f>
        <v>3</v>
      </c>
      <c r="E284" s="79">
        <v>42809.555555555555</v>
      </c>
      <c r="F284" s="80" t="s">
        <v>1136</v>
      </c>
      <c r="G284" s="80" t="s">
        <v>222</v>
      </c>
      <c r="H284" s="80" t="s">
        <v>1137</v>
      </c>
      <c r="I284" s="78" t="s">
        <v>406</v>
      </c>
      <c r="J284" s="78" t="s">
        <v>13</v>
      </c>
      <c r="K284" s="80" t="s">
        <v>1281</v>
      </c>
      <c r="L284" s="7" t="str">
        <f>IF(BudgetsTable[[#This Row],[pi_last_name]]=" ","",HYPERLINK("https://www.ejacket.nsf.gov/ej/showProposal.do?Continue=Y&amp;ID="&amp;BudgetsTable[[#This Row],[prop_id]],BudgetsTable[[#This Row],[prop_id]]))</f>
        <v/>
      </c>
      <c r="M284" s="15" t="str">
        <f>IF(BudgetsTable[[#This Row],[pi_last_name]]=" ","",HYPERLINK("https://www.ejacket.nsf.gov/ej/processReviewAnalysis.do?dispatch=add&amp;uniqId="&amp;BudgetsTable[[#This Row],[prop_id]]&amp;PO_id,"&gt;ra"))</f>
        <v/>
      </c>
      <c r="N284" s="80" t="s">
        <v>13</v>
      </c>
      <c r="O284" s="7" t="str">
        <f>IF(BudgetsTable[[#This Row],[pi_last_name]]=" ","",HYPERLINK("mailto:"&amp;BudgetsTable[[#This Row],[pi_email]]&amp;"&amp;subject=Your NSF Proposal:  "&amp;BudgetsTable[[#This Row],[prop_id]],BudgetsTable[[#This Row],[pi_email]]))</f>
        <v/>
      </c>
      <c r="P284" s="80" t="s">
        <v>13</v>
      </c>
      <c r="Q284" s="80">
        <v>1</v>
      </c>
      <c r="R284" s="80">
        <v>1</v>
      </c>
      <c r="S284" s="81">
        <v>0</v>
      </c>
      <c r="T284" s="81">
        <v>2500</v>
      </c>
      <c r="U284" s="81">
        <v>0</v>
      </c>
      <c r="V284" s="82">
        <v>98610</v>
      </c>
      <c r="W284" s="80">
        <v>0</v>
      </c>
      <c r="X284" s="80">
        <v>3</v>
      </c>
      <c r="Y284" s="11" t="str">
        <f ca="1">IF(ISBLANK(BudgetsTable[[#This Row],[budg_seq_yr]]),"FY"&amp;fiscalyear,"FY"&amp;fiscalyear-1+BudgetsTable[[#This Row],[budg_seq_yr]])</f>
        <v>FY20</v>
      </c>
      <c r="Z284" s="81">
        <v>98610</v>
      </c>
      <c r="AA284" s="80" t="s">
        <v>222</v>
      </c>
      <c r="AB284" s="80" t="s">
        <v>1137</v>
      </c>
      <c r="AC284" s="80" t="s">
        <v>1142</v>
      </c>
    </row>
    <row r="285" spans="1:29" x14ac:dyDescent="0.4">
      <c r="A285" s="10" t="s">
        <v>1297</v>
      </c>
      <c r="B285" s="78" t="s">
        <v>96</v>
      </c>
      <c r="C285" s="78">
        <f>C284+(BudgetsTable[[#This Row],[lead]]&lt;&gt;K284)</f>
        <v>54</v>
      </c>
      <c r="D285" s="78">
        <f>D284*(BudgetsTable[[#This Row],[lead]]=K284)+(BudgetsTable[[#This Row],[prop_id]]&lt;&gt;A284)</f>
        <v>1</v>
      </c>
      <c r="E285" s="79">
        <v>42809.642361111109</v>
      </c>
      <c r="F285" s="80" t="s">
        <v>1136</v>
      </c>
      <c r="G285" s="80" t="s">
        <v>222</v>
      </c>
      <c r="H285" s="80" t="s">
        <v>1137</v>
      </c>
      <c r="I285" s="78" t="s">
        <v>406</v>
      </c>
      <c r="J285" s="78" t="s">
        <v>1300</v>
      </c>
      <c r="K285" s="80" t="s">
        <v>1297</v>
      </c>
      <c r="L285" s="7" t="str">
        <f>IF(BudgetsTable[[#This Row],[pi_last_name]]=" ","",HYPERLINK("https://www.ejacket.nsf.gov/ej/showProposal.do?Continue=Y&amp;ID="&amp;BudgetsTable[[#This Row],[prop_id]],BudgetsTable[[#This Row],[prop_id]]))</f>
        <v>1740797</v>
      </c>
      <c r="M285" s="15" t="str">
        <f>IF(BudgetsTable[[#This Row],[pi_last_name]]=" ","",HYPERLINK("https://www.ejacket.nsf.gov/ej/processReviewAnalysis.do?dispatch=add&amp;uniqId="&amp;BudgetsTable[[#This Row],[prop_id]]&amp;PO_id,"&gt;ra"))</f>
        <v>&gt;ra</v>
      </c>
      <c r="N285" s="80" t="s">
        <v>1298</v>
      </c>
      <c r="O285" s="7" t="str">
        <f>IF(BudgetsTable[[#This Row],[pi_last_name]]=" ","",HYPERLINK("mailto:"&amp;BudgetsTable[[#This Row],[pi_email]]&amp;"&amp;subject=Your NSF Proposal:  "&amp;BudgetsTable[[#This Row],[prop_id]],BudgetsTable[[#This Row],[pi_email]]))</f>
        <v>embree@vt.edu</v>
      </c>
      <c r="P285" s="80" t="s">
        <v>507</v>
      </c>
      <c r="Q285" s="80"/>
      <c r="R285" s="80"/>
      <c r="S285" s="81"/>
      <c r="T285" s="81"/>
      <c r="U285" s="81"/>
      <c r="V285" s="82"/>
      <c r="W285" s="80">
        <v>0</v>
      </c>
      <c r="X285" s="80"/>
      <c r="Y285" s="11" t="str">
        <f ca="1">IF(ISBLANK(BudgetsTable[[#This Row],[budg_seq_yr]]),"FY"&amp;fiscalyear,"FY"&amp;fiscalyear-1+BudgetsTable[[#This Row],[budg_seq_yr]])</f>
        <v>FY18</v>
      </c>
      <c r="Z285" s="81">
        <v>1498424</v>
      </c>
      <c r="AA285" s="80" t="s">
        <v>222</v>
      </c>
      <c r="AB285" s="80" t="s">
        <v>1137</v>
      </c>
      <c r="AC285" s="80" t="s">
        <v>1176</v>
      </c>
    </row>
    <row r="286" spans="1:29" x14ac:dyDescent="0.4">
      <c r="A286" s="10" t="s">
        <v>1297</v>
      </c>
      <c r="B286" s="78" t="s">
        <v>96</v>
      </c>
      <c r="C286" s="78">
        <f>C285+(BudgetsTable[[#This Row],[lead]]&lt;&gt;K285)</f>
        <v>54</v>
      </c>
      <c r="D286" s="78">
        <f>D285*(BudgetsTable[[#This Row],[lead]]=K285)+(BudgetsTable[[#This Row],[prop_id]]&lt;&gt;A285)</f>
        <v>1</v>
      </c>
      <c r="E286" s="79">
        <v>42809.642361111109</v>
      </c>
      <c r="F286" s="80" t="s">
        <v>1136</v>
      </c>
      <c r="G286" s="80" t="s">
        <v>222</v>
      </c>
      <c r="H286" s="80" t="s">
        <v>1137</v>
      </c>
      <c r="I286" s="78" t="s">
        <v>406</v>
      </c>
      <c r="J286" s="78" t="s">
        <v>13</v>
      </c>
      <c r="K286" s="80" t="s">
        <v>1297</v>
      </c>
      <c r="L286" s="7" t="str">
        <f>IF(BudgetsTable[[#This Row],[pi_last_name]]=" ","",HYPERLINK("https://www.ejacket.nsf.gov/ej/showProposal.do?Continue=Y&amp;ID="&amp;BudgetsTable[[#This Row],[prop_id]],BudgetsTable[[#This Row],[prop_id]]))</f>
        <v/>
      </c>
      <c r="M286" s="15" t="str">
        <f>IF(BudgetsTable[[#This Row],[pi_last_name]]=" ","",HYPERLINK("https://www.ejacket.nsf.gov/ej/processReviewAnalysis.do?dispatch=add&amp;uniqId="&amp;BudgetsTable[[#This Row],[prop_id]]&amp;PO_id,"&gt;ra"))</f>
        <v/>
      </c>
      <c r="N286" s="80" t="s">
        <v>13</v>
      </c>
      <c r="O286" s="7" t="str">
        <f>IF(BudgetsTable[[#This Row],[pi_last_name]]=" ","",HYPERLINK("mailto:"&amp;BudgetsTable[[#This Row],[pi_email]]&amp;"&amp;subject=Your NSF Proposal:  "&amp;BudgetsTable[[#This Row],[prop_id]],BudgetsTable[[#This Row],[pi_email]]))</f>
        <v/>
      </c>
      <c r="P286" s="80" t="s">
        <v>13</v>
      </c>
      <c r="Q286" s="80">
        <v>12</v>
      </c>
      <c r="R286" s="80">
        <v>5.33</v>
      </c>
      <c r="S286" s="81">
        <v>0</v>
      </c>
      <c r="T286" s="81">
        <v>0</v>
      </c>
      <c r="U286" s="81">
        <v>42448</v>
      </c>
      <c r="V286" s="82">
        <v>499313</v>
      </c>
      <c r="W286" s="80">
        <v>0</v>
      </c>
      <c r="X286" s="80">
        <v>1</v>
      </c>
      <c r="Y286" s="11" t="str">
        <f ca="1">IF(ISBLANK(BudgetsTable[[#This Row],[budg_seq_yr]]),"FY"&amp;fiscalyear,"FY"&amp;fiscalyear-1+BudgetsTable[[#This Row],[budg_seq_yr]])</f>
        <v>FY18</v>
      </c>
      <c r="Z286" s="81">
        <v>499313</v>
      </c>
      <c r="AA286" s="80" t="s">
        <v>222</v>
      </c>
      <c r="AB286" s="80" t="s">
        <v>1137</v>
      </c>
      <c r="AC286" s="80" t="s">
        <v>1176</v>
      </c>
    </row>
    <row r="287" spans="1:29" x14ac:dyDescent="0.4">
      <c r="A287" s="10" t="s">
        <v>1297</v>
      </c>
      <c r="B287" s="78" t="s">
        <v>96</v>
      </c>
      <c r="C287" s="78">
        <f>C286+(BudgetsTable[[#This Row],[lead]]&lt;&gt;K286)</f>
        <v>54</v>
      </c>
      <c r="D287" s="78">
        <f>D286*(BudgetsTable[[#This Row],[lead]]=K286)+(BudgetsTable[[#This Row],[prop_id]]&lt;&gt;A286)</f>
        <v>1</v>
      </c>
      <c r="E287" s="79">
        <v>42809.642361111109</v>
      </c>
      <c r="F287" s="80" t="s">
        <v>1136</v>
      </c>
      <c r="G287" s="80" t="s">
        <v>222</v>
      </c>
      <c r="H287" s="80" t="s">
        <v>1137</v>
      </c>
      <c r="I287" s="78" t="s">
        <v>406</v>
      </c>
      <c r="J287" s="78" t="s">
        <v>13</v>
      </c>
      <c r="K287" s="80" t="s">
        <v>1297</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80" t="s">
        <v>13</v>
      </c>
      <c r="O287" s="7" t="str">
        <f>IF(BudgetsTable[[#This Row],[pi_last_name]]=" ","",HYPERLINK("mailto:"&amp;BudgetsTable[[#This Row],[pi_email]]&amp;"&amp;subject=Your NSF Proposal:  "&amp;BudgetsTable[[#This Row],[prop_id]],BudgetsTable[[#This Row],[pi_email]]))</f>
        <v/>
      </c>
      <c r="P287" s="80" t="s">
        <v>13</v>
      </c>
      <c r="Q287" s="80">
        <v>6</v>
      </c>
      <c r="R287" s="80">
        <v>2.33</v>
      </c>
      <c r="S287" s="81">
        <v>0</v>
      </c>
      <c r="T287" s="81">
        <v>0</v>
      </c>
      <c r="U287" s="81">
        <v>42448</v>
      </c>
      <c r="V287" s="82">
        <v>499115</v>
      </c>
      <c r="W287" s="80">
        <v>0</v>
      </c>
      <c r="X287" s="80">
        <v>2</v>
      </c>
      <c r="Y287" s="11" t="str">
        <f ca="1">IF(ISBLANK(BudgetsTable[[#This Row],[budg_seq_yr]]),"FY"&amp;fiscalyear,"FY"&amp;fiscalyear-1+BudgetsTable[[#This Row],[budg_seq_yr]])</f>
        <v>FY19</v>
      </c>
      <c r="Z287" s="81">
        <v>499115</v>
      </c>
      <c r="AA287" s="80" t="s">
        <v>222</v>
      </c>
      <c r="AB287" s="80" t="s">
        <v>1137</v>
      </c>
      <c r="AC287" s="80" t="s">
        <v>1176</v>
      </c>
    </row>
    <row r="288" spans="1:29" x14ac:dyDescent="0.4">
      <c r="A288" s="10" t="s">
        <v>1297</v>
      </c>
      <c r="B288" s="78" t="s">
        <v>96</v>
      </c>
      <c r="C288" s="78">
        <f>C287+(BudgetsTable[[#This Row],[lead]]&lt;&gt;K287)</f>
        <v>54</v>
      </c>
      <c r="D288" s="78">
        <f>D287*(BudgetsTable[[#This Row],[lead]]=K287)+(BudgetsTable[[#This Row],[prop_id]]&lt;&gt;A287)</f>
        <v>1</v>
      </c>
      <c r="E288" s="79">
        <v>42809.642361111109</v>
      </c>
      <c r="F288" s="80" t="s">
        <v>1136</v>
      </c>
      <c r="G288" s="80" t="s">
        <v>222</v>
      </c>
      <c r="H288" s="80" t="s">
        <v>1137</v>
      </c>
      <c r="I288" s="78" t="s">
        <v>406</v>
      </c>
      <c r="J288" s="78" t="s">
        <v>13</v>
      </c>
      <c r="K288" s="80" t="s">
        <v>1297</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80" t="s">
        <v>13</v>
      </c>
      <c r="O288" s="7" t="str">
        <f>IF(BudgetsTable[[#This Row],[pi_last_name]]=" ","",HYPERLINK("mailto:"&amp;BudgetsTable[[#This Row],[pi_email]]&amp;"&amp;subject=Your NSF Proposal:  "&amp;BudgetsTable[[#This Row],[prop_id]],BudgetsTable[[#This Row],[pi_email]]))</f>
        <v/>
      </c>
      <c r="P288" s="80" t="s">
        <v>13</v>
      </c>
      <c r="Q288" s="80">
        <v>9</v>
      </c>
      <c r="R288" s="80">
        <v>3.83</v>
      </c>
      <c r="S288" s="81">
        <v>0</v>
      </c>
      <c r="T288" s="81">
        <v>0</v>
      </c>
      <c r="U288" s="81">
        <v>55003</v>
      </c>
      <c r="V288" s="82">
        <v>499996</v>
      </c>
      <c r="W288" s="80">
        <v>0</v>
      </c>
      <c r="X288" s="80">
        <v>3</v>
      </c>
      <c r="Y288" s="11" t="str">
        <f ca="1">IF(ISBLANK(BudgetsTable[[#This Row],[budg_seq_yr]]),"FY"&amp;fiscalyear,"FY"&amp;fiscalyear-1+BudgetsTable[[#This Row],[budg_seq_yr]])</f>
        <v>FY20</v>
      </c>
      <c r="Z288" s="81">
        <v>499996</v>
      </c>
      <c r="AA288" s="80" t="s">
        <v>222</v>
      </c>
      <c r="AB288" s="80" t="s">
        <v>1137</v>
      </c>
      <c r="AC288" s="80" t="s">
        <v>1176</v>
      </c>
    </row>
    <row r="289" spans="1:29" x14ac:dyDescent="0.4">
      <c r="A289" s="10" t="s">
        <v>1302</v>
      </c>
      <c r="B289" s="78" t="s">
        <v>96</v>
      </c>
      <c r="C289" s="78">
        <f>C288+(BudgetsTable[[#This Row],[lead]]&lt;&gt;K288)</f>
        <v>55</v>
      </c>
      <c r="D289" s="78">
        <f>D288*(BudgetsTable[[#This Row],[lead]]=K288)+(BudgetsTable[[#This Row],[prop_id]]&lt;&gt;A288)</f>
        <v>1</v>
      </c>
      <c r="E289" s="79">
        <v>42809.648611111108</v>
      </c>
      <c r="F289" s="80" t="s">
        <v>1136</v>
      </c>
      <c r="G289" s="80" t="s">
        <v>222</v>
      </c>
      <c r="H289" s="80" t="s">
        <v>1137</v>
      </c>
      <c r="I289" s="78" t="s">
        <v>451</v>
      </c>
      <c r="J289" s="78" t="s">
        <v>1305</v>
      </c>
      <c r="K289" s="80" t="s">
        <v>1302</v>
      </c>
      <c r="L289" s="7" t="str">
        <f>IF(BudgetsTable[[#This Row],[pi_last_name]]=" ","",HYPERLINK("https://www.ejacket.nsf.gov/ej/showProposal.do?Continue=Y&amp;ID="&amp;BudgetsTable[[#This Row],[prop_id]],BudgetsTable[[#This Row],[prop_id]]))</f>
        <v>1740799</v>
      </c>
      <c r="M289" s="15" t="str">
        <f>IF(BudgetsTable[[#This Row],[pi_last_name]]=" ","",HYPERLINK("https://www.ejacket.nsf.gov/ej/processReviewAnalysis.do?dispatch=add&amp;uniqId="&amp;BudgetsTable[[#This Row],[prop_id]]&amp;PO_id,"&gt;ra"))</f>
        <v>&gt;ra</v>
      </c>
      <c r="N289" s="80" t="s">
        <v>1303</v>
      </c>
      <c r="O289" s="7" t="str">
        <f>IF(BudgetsTable[[#This Row],[pi_last_name]]=" ","",HYPERLINK("mailto:"&amp;BudgetsTable[[#This Row],[pi_email]]&amp;"&amp;subject=Your NSF Proposal:  "&amp;BudgetsTable[[#This Row],[prop_id]],BudgetsTable[[#This Row],[pi_email]]))</f>
        <v>rvidal@cis.jhu.edu</v>
      </c>
      <c r="P289" s="80" t="s">
        <v>495</v>
      </c>
      <c r="Q289" s="80"/>
      <c r="R289" s="80"/>
      <c r="S289" s="81"/>
      <c r="T289" s="81"/>
      <c r="U289" s="81"/>
      <c r="V289" s="82"/>
      <c r="W289" s="80">
        <v>0</v>
      </c>
      <c r="X289" s="80"/>
      <c r="Y289" s="11" t="str">
        <f ca="1">IF(ISBLANK(BudgetsTable[[#This Row],[budg_seq_yr]]),"FY"&amp;fiscalyear,"FY"&amp;fiscalyear-1+BudgetsTable[[#This Row],[budg_seq_yr]])</f>
        <v>FY18</v>
      </c>
      <c r="Z289" s="81">
        <v>1500000</v>
      </c>
      <c r="AA289" s="80" t="s">
        <v>222</v>
      </c>
      <c r="AB289" s="80" t="s">
        <v>1137</v>
      </c>
      <c r="AC289" s="80" t="s">
        <v>1142</v>
      </c>
    </row>
    <row r="290" spans="1:29" x14ac:dyDescent="0.4">
      <c r="A290" s="10" t="s">
        <v>1302</v>
      </c>
      <c r="B290" s="78" t="s">
        <v>96</v>
      </c>
      <c r="C290" s="78">
        <f>C289+(BudgetsTable[[#This Row],[lead]]&lt;&gt;K289)</f>
        <v>55</v>
      </c>
      <c r="D290" s="78">
        <f>D289*(BudgetsTable[[#This Row],[lead]]=K289)+(BudgetsTable[[#This Row],[prop_id]]&lt;&gt;A289)</f>
        <v>1</v>
      </c>
      <c r="E290" s="79">
        <v>42809.648611111108</v>
      </c>
      <c r="F290" s="80" t="s">
        <v>1136</v>
      </c>
      <c r="G290" s="80" t="s">
        <v>222</v>
      </c>
      <c r="H290" s="80" t="s">
        <v>1137</v>
      </c>
      <c r="I290" s="78" t="s">
        <v>451</v>
      </c>
      <c r="J290" s="78" t="s">
        <v>13</v>
      </c>
      <c r="K290" s="80" t="s">
        <v>1302</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80" t="s">
        <v>13</v>
      </c>
      <c r="O290" s="7" t="str">
        <f>IF(BudgetsTable[[#This Row],[pi_last_name]]=" ","",HYPERLINK("mailto:"&amp;BudgetsTable[[#This Row],[pi_email]]&amp;"&amp;subject=Your NSF Proposal:  "&amp;BudgetsTable[[#This Row],[prop_id]],BudgetsTable[[#This Row],[pi_email]]))</f>
        <v/>
      </c>
      <c r="P290" s="80" t="s">
        <v>13</v>
      </c>
      <c r="Q290" s="80">
        <v>7</v>
      </c>
      <c r="R290" s="80">
        <v>0</v>
      </c>
      <c r="S290" s="81">
        <v>0</v>
      </c>
      <c r="T290" s="81">
        <v>10400</v>
      </c>
      <c r="U290" s="81">
        <v>69990</v>
      </c>
      <c r="V290" s="82">
        <v>500000</v>
      </c>
      <c r="W290" s="80">
        <v>0</v>
      </c>
      <c r="X290" s="80">
        <v>1</v>
      </c>
      <c r="Y290" s="11" t="str">
        <f ca="1">IF(ISBLANK(BudgetsTable[[#This Row],[budg_seq_yr]]),"FY"&amp;fiscalyear,"FY"&amp;fiscalyear-1+BudgetsTable[[#This Row],[budg_seq_yr]])</f>
        <v>FY18</v>
      </c>
      <c r="Z290" s="81">
        <v>500000</v>
      </c>
      <c r="AA290" s="80" t="s">
        <v>222</v>
      </c>
      <c r="AB290" s="80" t="s">
        <v>1137</v>
      </c>
      <c r="AC290" s="80" t="s">
        <v>1142</v>
      </c>
    </row>
    <row r="291" spans="1:29" x14ac:dyDescent="0.4">
      <c r="A291" s="10" t="s">
        <v>1302</v>
      </c>
      <c r="B291" s="78" t="s">
        <v>96</v>
      </c>
      <c r="C291" s="78">
        <f>C290+(BudgetsTable[[#This Row],[lead]]&lt;&gt;K290)</f>
        <v>55</v>
      </c>
      <c r="D291" s="78">
        <f>D290*(BudgetsTable[[#This Row],[lead]]=K290)+(BudgetsTable[[#This Row],[prop_id]]&lt;&gt;A290)</f>
        <v>1</v>
      </c>
      <c r="E291" s="79">
        <v>42809.648611111108</v>
      </c>
      <c r="F291" s="80" t="s">
        <v>1136</v>
      </c>
      <c r="G291" s="80" t="s">
        <v>222</v>
      </c>
      <c r="H291" s="80" t="s">
        <v>1137</v>
      </c>
      <c r="I291" s="78" t="s">
        <v>451</v>
      </c>
      <c r="J291" s="78" t="s">
        <v>13</v>
      </c>
      <c r="K291" s="80" t="s">
        <v>1302</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80" t="s">
        <v>13</v>
      </c>
      <c r="O291" s="7" t="str">
        <f>IF(BudgetsTable[[#This Row],[pi_last_name]]=" ","",HYPERLINK("mailto:"&amp;BudgetsTable[[#This Row],[pi_email]]&amp;"&amp;subject=Your NSF Proposal:  "&amp;BudgetsTable[[#This Row],[prop_id]],BudgetsTable[[#This Row],[pi_email]]))</f>
        <v/>
      </c>
      <c r="P291" s="80" t="s">
        <v>13</v>
      </c>
      <c r="Q291" s="80">
        <v>7</v>
      </c>
      <c r="R291" s="80">
        <v>0</v>
      </c>
      <c r="S291" s="81">
        <v>0</v>
      </c>
      <c r="T291" s="81">
        <v>10712</v>
      </c>
      <c r="U291" s="81">
        <v>69990</v>
      </c>
      <c r="V291" s="82">
        <v>500000</v>
      </c>
      <c r="W291" s="80">
        <v>0</v>
      </c>
      <c r="X291" s="80">
        <v>2</v>
      </c>
      <c r="Y291" s="11" t="str">
        <f ca="1">IF(ISBLANK(BudgetsTable[[#This Row],[budg_seq_yr]]),"FY"&amp;fiscalyear,"FY"&amp;fiscalyear-1+BudgetsTable[[#This Row],[budg_seq_yr]])</f>
        <v>FY19</v>
      </c>
      <c r="Z291" s="81">
        <v>500000</v>
      </c>
      <c r="AA291" s="80" t="s">
        <v>222</v>
      </c>
      <c r="AB291" s="80" t="s">
        <v>1137</v>
      </c>
      <c r="AC291" s="80" t="s">
        <v>1142</v>
      </c>
    </row>
    <row r="292" spans="1:29" x14ac:dyDescent="0.4">
      <c r="A292" s="10" t="s">
        <v>1302</v>
      </c>
      <c r="B292" s="78" t="s">
        <v>96</v>
      </c>
      <c r="C292" s="78">
        <f>C291+(BudgetsTable[[#This Row],[lead]]&lt;&gt;K291)</f>
        <v>55</v>
      </c>
      <c r="D292" s="78">
        <f>D291*(BudgetsTable[[#This Row],[lead]]=K291)+(BudgetsTable[[#This Row],[prop_id]]&lt;&gt;A291)</f>
        <v>1</v>
      </c>
      <c r="E292" s="79">
        <v>42809.648611111108</v>
      </c>
      <c r="F292" s="80" t="s">
        <v>1136</v>
      </c>
      <c r="G292" s="80" t="s">
        <v>222</v>
      </c>
      <c r="H292" s="80" t="s">
        <v>1137</v>
      </c>
      <c r="I292" s="78" t="s">
        <v>451</v>
      </c>
      <c r="J292" s="78" t="s">
        <v>13</v>
      </c>
      <c r="K292" s="80" t="s">
        <v>1302</v>
      </c>
      <c r="L292" s="7" t="str">
        <f>IF(BudgetsTable[[#This Row],[pi_last_name]]=" ","",HYPERLINK("https://www.ejacket.nsf.gov/ej/showProposal.do?Continue=Y&amp;ID="&amp;BudgetsTable[[#This Row],[prop_id]],BudgetsTable[[#This Row],[prop_id]]))</f>
        <v/>
      </c>
      <c r="M292" s="15" t="str">
        <f>IF(BudgetsTable[[#This Row],[pi_last_name]]=" ","",HYPERLINK("https://www.ejacket.nsf.gov/ej/processReviewAnalysis.do?dispatch=add&amp;uniqId="&amp;BudgetsTable[[#This Row],[prop_id]]&amp;PO_id,"&gt;ra"))</f>
        <v/>
      </c>
      <c r="N292" s="80" t="s">
        <v>13</v>
      </c>
      <c r="O292" s="7" t="str">
        <f>IF(BudgetsTable[[#This Row],[pi_last_name]]=" ","",HYPERLINK("mailto:"&amp;BudgetsTable[[#This Row],[pi_email]]&amp;"&amp;subject=Your NSF Proposal:  "&amp;BudgetsTable[[#This Row],[prop_id]],BudgetsTable[[#This Row],[pi_email]]))</f>
        <v/>
      </c>
      <c r="P292" s="80" t="s">
        <v>13</v>
      </c>
      <c r="Q292" s="80">
        <v>7</v>
      </c>
      <c r="R292" s="80">
        <v>0</v>
      </c>
      <c r="S292" s="81">
        <v>0</v>
      </c>
      <c r="T292" s="81">
        <v>11033</v>
      </c>
      <c r="U292" s="81">
        <v>69990</v>
      </c>
      <c r="V292" s="82">
        <v>500000</v>
      </c>
      <c r="W292" s="80">
        <v>0</v>
      </c>
      <c r="X292" s="80">
        <v>3</v>
      </c>
      <c r="Y292" s="11" t="str">
        <f ca="1">IF(ISBLANK(BudgetsTable[[#This Row],[budg_seq_yr]]),"FY"&amp;fiscalyear,"FY"&amp;fiscalyear-1+BudgetsTable[[#This Row],[budg_seq_yr]])</f>
        <v>FY20</v>
      </c>
      <c r="Z292" s="81">
        <v>500000</v>
      </c>
      <c r="AA292" s="80" t="s">
        <v>222</v>
      </c>
      <c r="AB292" s="80" t="s">
        <v>1137</v>
      </c>
      <c r="AC292" s="80" t="s">
        <v>1142</v>
      </c>
    </row>
    <row r="293" spans="1:29" x14ac:dyDescent="0.4">
      <c r="A293" s="10" t="s">
        <v>1307</v>
      </c>
      <c r="B293" s="78" t="s">
        <v>96</v>
      </c>
      <c r="C293" s="78">
        <f>C292+(BudgetsTable[[#This Row],[lead]]&lt;&gt;K292)</f>
        <v>56</v>
      </c>
      <c r="D293" s="78">
        <f>D292*(BudgetsTable[[#This Row],[lead]]=K292)+(BudgetsTable[[#This Row],[prop_id]]&lt;&gt;A292)</f>
        <v>1</v>
      </c>
      <c r="E293" s="79">
        <v>42809.651388888888</v>
      </c>
      <c r="F293" s="80" t="s">
        <v>1136</v>
      </c>
      <c r="G293" s="80" t="s">
        <v>222</v>
      </c>
      <c r="H293" s="80" t="s">
        <v>1137</v>
      </c>
      <c r="I293" s="78" t="s">
        <v>451</v>
      </c>
      <c r="J293" s="78" t="s">
        <v>1310</v>
      </c>
      <c r="K293" s="80" t="s">
        <v>1307</v>
      </c>
      <c r="L293" s="7" t="str">
        <f>IF(BudgetsTable[[#This Row],[pi_last_name]]=" ","",HYPERLINK("https://www.ejacket.nsf.gov/ej/showProposal.do?Continue=Y&amp;ID="&amp;BudgetsTable[[#This Row],[prop_id]],BudgetsTable[[#This Row],[prop_id]]))</f>
        <v>1740803</v>
      </c>
      <c r="M293" s="15" t="str">
        <f>IF(BudgetsTable[[#This Row],[pi_last_name]]=" ","",HYPERLINK("https://www.ejacket.nsf.gov/ej/processReviewAnalysis.do?dispatch=add&amp;uniqId="&amp;BudgetsTable[[#This Row],[prop_id]]&amp;PO_id,"&gt;ra"))</f>
        <v>&gt;ra</v>
      </c>
      <c r="N293" s="80" t="s">
        <v>1308</v>
      </c>
      <c r="O293" s="7" t="str">
        <f>IF(BudgetsTable[[#This Row],[pi_last_name]]=" ","",HYPERLINK("mailto:"&amp;BudgetsTable[[#This Row],[pi_email]]&amp;"&amp;subject=Your NSF Proposal:  "&amp;BudgetsTable[[#This Row],[prop_id]],BudgetsTable[[#This Row],[pi_email]]))</f>
        <v>sayan@stat.duke.edu</v>
      </c>
      <c r="P293" s="80" t="s">
        <v>490</v>
      </c>
      <c r="Q293" s="80"/>
      <c r="R293" s="80"/>
      <c r="S293" s="81"/>
      <c r="T293" s="81"/>
      <c r="U293" s="81"/>
      <c r="V293" s="82"/>
      <c r="W293" s="80">
        <v>0</v>
      </c>
      <c r="X293" s="80"/>
      <c r="Y293" s="11" t="str">
        <f ca="1">IF(ISBLANK(BudgetsTable[[#This Row],[budg_seq_yr]]),"FY"&amp;fiscalyear,"FY"&amp;fiscalyear-1+BudgetsTable[[#This Row],[budg_seq_yr]])</f>
        <v>FY18</v>
      </c>
      <c r="Z293" s="81">
        <v>1497550</v>
      </c>
      <c r="AA293" s="80" t="s">
        <v>222</v>
      </c>
      <c r="AB293" s="80" t="s">
        <v>1137</v>
      </c>
      <c r="AC293" s="80" t="s">
        <v>1142</v>
      </c>
    </row>
    <row r="294" spans="1:29" x14ac:dyDescent="0.4">
      <c r="A294" s="10" t="s">
        <v>1307</v>
      </c>
      <c r="B294" s="78" t="s">
        <v>96</v>
      </c>
      <c r="C294" s="78">
        <f>C293+(BudgetsTable[[#This Row],[lead]]&lt;&gt;K293)</f>
        <v>56</v>
      </c>
      <c r="D294" s="78">
        <f>D293*(BudgetsTable[[#This Row],[lead]]=K293)+(BudgetsTable[[#This Row],[prop_id]]&lt;&gt;A293)</f>
        <v>1</v>
      </c>
      <c r="E294" s="79">
        <v>42809.651388888888</v>
      </c>
      <c r="F294" s="80" t="s">
        <v>1136</v>
      </c>
      <c r="G294" s="80" t="s">
        <v>222</v>
      </c>
      <c r="H294" s="80" t="s">
        <v>1137</v>
      </c>
      <c r="I294" s="78" t="s">
        <v>451</v>
      </c>
      <c r="J294" s="78" t="s">
        <v>13</v>
      </c>
      <c r="K294" s="80" t="s">
        <v>1307</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80" t="s">
        <v>13</v>
      </c>
      <c r="O294" s="7" t="str">
        <f>IF(BudgetsTable[[#This Row],[pi_last_name]]=" ","",HYPERLINK("mailto:"&amp;BudgetsTable[[#This Row],[pi_email]]&amp;"&amp;subject=Your NSF Proposal:  "&amp;BudgetsTable[[#This Row],[prop_id]],BudgetsTable[[#This Row],[pi_email]]))</f>
        <v/>
      </c>
      <c r="P294" s="80" t="s">
        <v>13</v>
      </c>
      <c r="Q294" s="80">
        <v>4</v>
      </c>
      <c r="R294" s="80">
        <v>1</v>
      </c>
      <c r="S294" s="81">
        <v>50796</v>
      </c>
      <c r="T294" s="81">
        <v>2000</v>
      </c>
      <c r="U294" s="81">
        <v>0</v>
      </c>
      <c r="V294" s="82">
        <v>499021</v>
      </c>
      <c r="W294" s="80">
        <v>0</v>
      </c>
      <c r="X294" s="80">
        <v>1</v>
      </c>
      <c r="Y294" s="11" t="str">
        <f ca="1">IF(ISBLANK(BudgetsTable[[#This Row],[budg_seq_yr]]),"FY"&amp;fiscalyear,"FY"&amp;fiscalyear-1+BudgetsTable[[#This Row],[budg_seq_yr]])</f>
        <v>FY18</v>
      </c>
      <c r="Z294" s="81">
        <v>499021</v>
      </c>
      <c r="AA294" s="80" t="s">
        <v>222</v>
      </c>
      <c r="AB294" s="80" t="s">
        <v>1137</v>
      </c>
      <c r="AC294" s="80" t="s">
        <v>1142</v>
      </c>
    </row>
    <row r="295" spans="1:29" x14ac:dyDescent="0.4">
      <c r="A295" s="10" t="s">
        <v>1307</v>
      </c>
      <c r="B295" s="78" t="s">
        <v>96</v>
      </c>
      <c r="C295" s="78">
        <f>C294+(BudgetsTable[[#This Row],[lead]]&lt;&gt;K294)</f>
        <v>56</v>
      </c>
      <c r="D295" s="78">
        <f>D294*(BudgetsTable[[#This Row],[lead]]=K294)+(BudgetsTable[[#This Row],[prop_id]]&lt;&gt;A294)</f>
        <v>1</v>
      </c>
      <c r="E295" s="79">
        <v>42809.651388888888</v>
      </c>
      <c r="F295" s="80" t="s">
        <v>1136</v>
      </c>
      <c r="G295" s="80" t="s">
        <v>222</v>
      </c>
      <c r="H295" s="80" t="s">
        <v>1137</v>
      </c>
      <c r="I295" s="78" t="s">
        <v>451</v>
      </c>
      <c r="J295" s="78" t="s">
        <v>13</v>
      </c>
      <c r="K295" s="80" t="s">
        <v>1307</v>
      </c>
      <c r="L295" s="7" t="str">
        <f>IF(BudgetsTable[[#This Row],[pi_last_name]]=" ","",HYPERLINK("https://www.ejacket.nsf.gov/ej/showProposal.do?Continue=Y&amp;ID="&amp;BudgetsTable[[#This Row],[prop_id]],BudgetsTable[[#This Row],[prop_id]]))</f>
        <v/>
      </c>
      <c r="M295" s="15" t="str">
        <f>IF(BudgetsTable[[#This Row],[pi_last_name]]=" ","",HYPERLINK("https://www.ejacket.nsf.gov/ej/processReviewAnalysis.do?dispatch=add&amp;uniqId="&amp;BudgetsTable[[#This Row],[prop_id]]&amp;PO_id,"&gt;ra"))</f>
        <v/>
      </c>
      <c r="N295" s="80" t="s">
        <v>13</v>
      </c>
      <c r="O295" s="7" t="str">
        <f>IF(BudgetsTable[[#This Row],[pi_last_name]]=" ","",HYPERLINK("mailto:"&amp;BudgetsTable[[#This Row],[pi_email]]&amp;"&amp;subject=Your NSF Proposal:  "&amp;BudgetsTable[[#This Row],[prop_id]],BudgetsTable[[#This Row],[pi_email]]))</f>
        <v/>
      </c>
      <c r="P295" s="80" t="s">
        <v>13</v>
      </c>
      <c r="Q295" s="80">
        <v>4</v>
      </c>
      <c r="R295" s="80">
        <v>1</v>
      </c>
      <c r="S295" s="81">
        <v>96886</v>
      </c>
      <c r="T295" s="81">
        <v>0</v>
      </c>
      <c r="U295" s="81">
        <v>0</v>
      </c>
      <c r="V295" s="82">
        <v>499298</v>
      </c>
      <c r="W295" s="80">
        <v>0</v>
      </c>
      <c r="X295" s="80">
        <v>2</v>
      </c>
      <c r="Y295" s="11" t="str">
        <f ca="1">IF(ISBLANK(BudgetsTable[[#This Row],[budg_seq_yr]]),"FY"&amp;fiscalyear,"FY"&amp;fiscalyear-1+BudgetsTable[[#This Row],[budg_seq_yr]])</f>
        <v>FY19</v>
      </c>
      <c r="Z295" s="81">
        <v>499298</v>
      </c>
      <c r="AA295" s="80" t="s">
        <v>222</v>
      </c>
      <c r="AB295" s="80" t="s">
        <v>1137</v>
      </c>
      <c r="AC295" s="80" t="s">
        <v>1142</v>
      </c>
    </row>
    <row r="296" spans="1:29" x14ac:dyDescent="0.4">
      <c r="A296" s="10" t="s">
        <v>1307</v>
      </c>
      <c r="B296" s="78" t="s">
        <v>96</v>
      </c>
      <c r="C296" s="78">
        <f>C295+(BudgetsTable[[#This Row],[lead]]&lt;&gt;K295)</f>
        <v>56</v>
      </c>
      <c r="D296" s="78">
        <f>D295*(BudgetsTable[[#This Row],[lead]]=K295)+(BudgetsTable[[#This Row],[prop_id]]&lt;&gt;A295)</f>
        <v>1</v>
      </c>
      <c r="E296" s="79">
        <v>42809.651388888888</v>
      </c>
      <c r="F296" s="80" t="s">
        <v>1136</v>
      </c>
      <c r="G296" s="80" t="s">
        <v>222</v>
      </c>
      <c r="H296" s="80" t="s">
        <v>1137</v>
      </c>
      <c r="I296" s="78" t="s">
        <v>451</v>
      </c>
      <c r="J296" s="78" t="s">
        <v>13</v>
      </c>
      <c r="K296" s="80" t="s">
        <v>1307</v>
      </c>
      <c r="L296" s="7" t="str">
        <f>IF(BudgetsTable[[#This Row],[pi_last_name]]=" ","",HYPERLINK("https://www.ejacket.nsf.gov/ej/showProposal.do?Continue=Y&amp;ID="&amp;BudgetsTable[[#This Row],[prop_id]],BudgetsTable[[#This Row],[prop_id]]))</f>
        <v/>
      </c>
      <c r="M296" s="15" t="str">
        <f>IF(BudgetsTable[[#This Row],[pi_last_name]]=" ","",HYPERLINK("https://www.ejacket.nsf.gov/ej/processReviewAnalysis.do?dispatch=add&amp;uniqId="&amp;BudgetsTable[[#This Row],[prop_id]]&amp;PO_id,"&gt;ra"))</f>
        <v/>
      </c>
      <c r="N296" s="80" t="s">
        <v>13</v>
      </c>
      <c r="O296" s="7" t="str">
        <f>IF(BudgetsTable[[#This Row],[pi_last_name]]=" ","",HYPERLINK("mailto:"&amp;BudgetsTable[[#This Row],[pi_email]]&amp;"&amp;subject=Your NSF Proposal:  "&amp;BudgetsTable[[#This Row],[prop_id]],BudgetsTable[[#This Row],[pi_email]]))</f>
        <v/>
      </c>
      <c r="P296" s="80" t="s">
        <v>13</v>
      </c>
      <c r="Q296" s="80">
        <v>4</v>
      </c>
      <c r="R296" s="80">
        <v>1</v>
      </c>
      <c r="S296" s="81">
        <v>80570</v>
      </c>
      <c r="T296" s="81">
        <v>0</v>
      </c>
      <c r="U296" s="81">
        <v>0</v>
      </c>
      <c r="V296" s="82">
        <v>499231</v>
      </c>
      <c r="W296" s="80">
        <v>0</v>
      </c>
      <c r="X296" s="80">
        <v>3</v>
      </c>
      <c r="Y296" s="11" t="str">
        <f ca="1">IF(ISBLANK(BudgetsTable[[#This Row],[budg_seq_yr]]),"FY"&amp;fiscalyear,"FY"&amp;fiscalyear-1+BudgetsTable[[#This Row],[budg_seq_yr]])</f>
        <v>FY20</v>
      </c>
      <c r="Z296" s="81">
        <v>499231</v>
      </c>
      <c r="AA296" s="80" t="s">
        <v>222</v>
      </c>
      <c r="AB296" s="80" t="s">
        <v>1137</v>
      </c>
      <c r="AC296" s="80" t="s">
        <v>1142</v>
      </c>
    </row>
    <row r="297" spans="1:29" x14ac:dyDescent="0.4">
      <c r="A297" s="10" t="s">
        <v>1313</v>
      </c>
      <c r="B297" s="78" t="s">
        <v>96</v>
      </c>
      <c r="C297" s="78">
        <f>C296+(BudgetsTable[[#This Row],[lead]]&lt;&gt;K296)</f>
        <v>57</v>
      </c>
      <c r="D297" s="78">
        <f>D296*(BudgetsTable[[#This Row],[lead]]=K296)+(BudgetsTable[[#This Row],[prop_id]]&lt;&gt;A296)</f>
        <v>1</v>
      </c>
      <c r="E297" s="79">
        <v>42809.65902777778</v>
      </c>
      <c r="F297" s="80" t="s">
        <v>1136</v>
      </c>
      <c r="G297" s="80" t="s">
        <v>222</v>
      </c>
      <c r="H297" s="80" t="s">
        <v>1137</v>
      </c>
      <c r="I297" s="78" t="s">
        <v>406</v>
      </c>
      <c r="J297" s="78" t="s">
        <v>1318</v>
      </c>
      <c r="K297" s="80" t="s">
        <v>1313</v>
      </c>
      <c r="L297" s="7" t="str">
        <f>IF(BudgetsTable[[#This Row],[pi_last_name]]=" ","",HYPERLINK("https://www.ejacket.nsf.gov/ej/showProposal.do?Continue=Y&amp;ID="&amp;BudgetsTable[[#This Row],[prop_id]],BudgetsTable[[#This Row],[prop_id]]))</f>
        <v>1740807</v>
      </c>
      <c r="M297" s="15" t="str">
        <f>IF(BudgetsTable[[#This Row],[pi_last_name]]=" ","",HYPERLINK("https://www.ejacket.nsf.gov/ej/processReviewAnalysis.do?dispatch=add&amp;uniqId="&amp;BudgetsTable[[#This Row],[prop_id]]&amp;PO_id,"&gt;ra"))</f>
        <v>&gt;ra</v>
      </c>
      <c r="N297" s="80" t="s">
        <v>1314</v>
      </c>
      <c r="O297" s="7" t="str">
        <f>IF(BudgetsTable[[#This Row],[pi_last_name]]=" ","",HYPERLINK("mailto:"&amp;BudgetsTable[[#This Row],[pi_email]]&amp;"&amp;subject=Your NSF Proposal:  "&amp;BudgetsTable[[#This Row],[prop_id]],BudgetsTable[[#This Row],[pi_email]]))</f>
        <v>eabbe@princeton.edu</v>
      </c>
      <c r="P297" s="80" t="s">
        <v>1316</v>
      </c>
      <c r="Q297" s="80"/>
      <c r="R297" s="80"/>
      <c r="S297" s="81"/>
      <c r="T297" s="81"/>
      <c r="U297" s="81"/>
      <c r="V297" s="82"/>
      <c r="W297" s="80">
        <v>0</v>
      </c>
      <c r="X297" s="80"/>
      <c r="Y297" s="11" t="str">
        <f ca="1">IF(ISBLANK(BudgetsTable[[#This Row],[budg_seq_yr]]),"FY"&amp;fiscalyear,"FY"&amp;fiscalyear-1+BudgetsTable[[#This Row],[budg_seq_yr]])</f>
        <v>FY18</v>
      </c>
      <c r="Z297" s="81">
        <v>1500000</v>
      </c>
      <c r="AA297" s="80" t="s">
        <v>222</v>
      </c>
      <c r="AB297" s="80" t="s">
        <v>1137</v>
      </c>
      <c r="AC297" s="80" t="s">
        <v>1142</v>
      </c>
    </row>
    <row r="298" spans="1:29" x14ac:dyDescent="0.4">
      <c r="A298" s="10" t="s">
        <v>1313</v>
      </c>
      <c r="B298" s="78" t="s">
        <v>96</v>
      </c>
      <c r="C298" s="78">
        <f>C297+(BudgetsTable[[#This Row],[lead]]&lt;&gt;K297)</f>
        <v>57</v>
      </c>
      <c r="D298" s="78">
        <f>D297*(BudgetsTable[[#This Row],[lead]]=K297)+(BudgetsTable[[#This Row],[prop_id]]&lt;&gt;A297)</f>
        <v>1</v>
      </c>
      <c r="E298" s="79">
        <v>42809.65902777778</v>
      </c>
      <c r="F298" s="80" t="s">
        <v>1136</v>
      </c>
      <c r="G298" s="80" t="s">
        <v>222</v>
      </c>
      <c r="H298" s="80" t="s">
        <v>1137</v>
      </c>
      <c r="I298" s="78" t="s">
        <v>406</v>
      </c>
      <c r="J298" s="78" t="s">
        <v>13</v>
      </c>
      <c r="K298" s="80" t="s">
        <v>1313</v>
      </c>
      <c r="L298" s="7" t="str">
        <f>IF(BudgetsTable[[#This Row],[pi_last_name]]=" ","",HYPERLINK("https://www.ejacket.nsf.gov/ej/showProposal.do?Continue=Y&amp;ID="&amp;BudgetsTable[[#This Row],[prop_id]],BudgetsTable[[#This Row],[prop_id]]))</f>
        <v/>
      </c>
      <c r="M298" s="15" t="str">
        <f>IF(BudgetsTable[[#This Row],[pi_last_name]]=" ","",HYPERLINK("https://www.ejacket.nsf.gov/ej/processReviewAnalysis.do?dispatch=add&amp;uniqId="&amp;BudgetsTable[[#This Row],[prop_id]]&amp;PO_id,"&gt;ra"))</f>
        <v/>
      </c>
      <c r="N298" s="80" t="s">
        <v>13</v>
      </c>
      <c r="O298" s="7" t="str">
        <f>IF(BudgetsTable[[#This Row],[pi_last_name]]=" ","",HYPERLINK("mailto:"&amp;BudgetsTable[[#This Row],[pi_email]]&amp;"&amp;subject=Your NSF Proposal:  "&amp;BudgetsTable[[#This Row],[prop_id]],BudgetsTable[[#This Row],[pi_email]]))</f>
        <v/>
      </c>
      <c r="P298" s="80" t="s">
        <v>13</v>
      </c>
      <c r="Q298" s="80">
        <v>0</v>
      </c>
      <c r="R298" s="80">
        <v>0</v>
      </c>
      <c r="S298" s="81">
        <v>110000</v>
      </c>
      <c r="T298" s="81">
        <v>10000</v>
      </c>
      <c r="U298" s="81">
        <v>0</v>
      </c>
      <c r="V298" s="82">
        <v>500000</v>
      </c>
      <c r="W298" s="80">
        <v>0</v>
      </c>
      <c r="X298" s="80">
        <v>1</v>
      </c>
      <c r="Y298" s="11" t="str">
        <f ca="1">IF(ISBLANK(BudgetsTable[[#This Row],[budg_seq_yr]]),"FY"&amp;fiscalyear,"FY"&amp;fiscalyear-1+BudgetsTable[[#This Row],[budg_seq_yr]])</f>
        <v>FY18</v>
      </c>
      <c r="Z298" s="81">
        <v>500000</v>
      </c>
      <c r="AA298" s="80" t="s">
        <v>222</v>
      </c>
      <c r="AB298" s="80" t="s">
        <v>1137</v>
      </c>
      <c r="AC298" s="80" t="s">
        <v>1142</v>
      </c>
    </row>
    <row r="299" spans="1:29" x14ac:dyDescent="0.4">
      <c r="A299" s="10" t="s">
        <v>1313</v>
      </c>
      <c r="B299" s="78" t="s">
        <v>96</v>
      </c>
      <c r="C299" s="78">
        <f>C298+(BudgetsTable[[#This Row],[lead]]&lt;&gt;K298)</f>
        <v>57</v>
      </c>
      <c r="D299" s="78">
        <f>D298*(BudgetsTable[[#This Row],[lead]]=K298)+(BudgetsTable[[#This Row],[prop_id]]&lt;&gt;A298)</f>
        <v>1</v>
      </c>
      <c r="E299" s="79">
        <v>42809.65902777778</v>
      </c>
      <c r="F299" s="80" t="s">
        <v>1136</v>
      </c>
      <c r="G299" s="80" t="s">
        <v>222</v>
      </c>
      <c r="H299" s="80" t="s">
        <v>1137</v>
      </c>
      <c r="I299" s="78" t="s">
        <v>406</v>
      </c>
      <c r="J299" s="78" t="s">
        <v>13</v>
      </c>
      <c r="K299" s="80" t="s">
        <v>1313</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80" t="s">
        <v>13</v>
      </c>
      <c r="O299" s="7" t="str">
        <f>IF(BudgetsTable[[#This Row],[pi_last_name]]=" ","",HYPERLINK("mailto:"&amp;BudgetsTable[[#This Row],[pi_email]]&amp;"&amp;subject=Your NSF Proposal:  "&amp;BudgetsTable[[#This Row],[prop_id]],BudgetsTable[[#This Row],[pi_email]]))</f>
        <v/>
      </c>
      <c r="P299" s="80" t="s">
        <v>13</v>
      </c>
      <c r="Q299" s="80">
        <v>0</v>
      </c>
      <c r="R299" s="80">
        <v>0</v>
      </c>
      <c r="S299" s="81">
        <v>113300</v>
      </c>
      <c r="T299" s="81">
        <v>7756</v>
      </c>
      <c r="U299" s="81">
        <v>0</v>
      </c>
      <c r="V299" s="82">
        <v>500000</v>
      </c>
      <c r="W299" s="80">
        <v>0</v>
      </c>
      <c r="X299" s="80">
        <v>2</v>
      </c>
      <c r="Y299" s="11" t="str">
        <f ca="1">IF(ISBLANK(BudgetsTable[[#This Row],[budg_seq_yr]]),"FY"&amp;fiscalyear,"FY"&amp;fiscalyear-1+BudgetsTable[[#This Row],[budg_seq_yr]])</f>
        <v>FY19</v>
      </c>
      <c r="Z299" s="81">
        <v>500000</v>
      </c>
      <c r="AA299" s="80" t="s">
        <v>222</v>
      </c>
      <c r="AB299" s="80" t="s">
        <v>1137</v>
      </c>
      <c r="AC299" s="80" t="s">
        <v>1142</v>
      </c>
    </row>
    <row r="300" spans="1:29" x14ac:dyDescent="0.4">
      <c r="A300" s="10" t="s">
        <v>1313</v>
      </c>
      <c r="B300" s="78" t="s">
        <v>96</v>
      </c>
      <c r="C300" s="78">
        <f>C299+(BudgetsTable[[#This Row],[lead]]&lt;&gt;K299)</f>
        <v>57</v>
      </c>
      <c r="D300" s="78">
        <f>D299*(BudgetsTable[[#This Row],[lead]]=K299)+(BudgetsTable[[#This Row],[prop_id]]&lt;&gt;A299)</f>
        <v>1</v>
      </c>
      <c r="E300" s="79">
        <v>42809.65902777778</v>
      </c>
      <c r="F300" s="80" t="s">
        <v>1136</v>
      </c>
      <c r="G300" s="80" t="s">
        <v>222</v>
      </c>
      <c r="H300" s="80" t="s">
        <v>1137</v>
      </c>
      <c r="I300" s="78" t="s">
        <v>406</v>
      </c>
      <c r="J300" s="78" t="s">
        <v>13</v>
      </c>
      <c r="K300" s="80" t="s">
        <v>1313</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80" t="s">
        <v>13</v>
      </c>
      <c r="O300" s="7" t="str">
        <f>IF(BudgetsTable[[#This Row],[pi_last_name]]=" ","",HYPERLINK("mailto:"&amp;BudgetsTable[[#This Row],[pi_email]]&amp;"&amp;subject=Your NSF Proposal:  "&amp;BudgetsTable[[#This Row],[prop_id]],BudgetsTable[[#This Row],[pi_email]]))</f>
        <v/>
      </c>
      <c r="P300" s="80" t="s">
        <v>13</v>
      </c>
      <c r="Q300" s="80">
        <v>0</v>
      </c>
      <c r="R300" s="80">
        <v>0</v>
      </c>
      <c r="S300" s="81">
        <v>116699</v>
      </c>
      <c r="T300" s="81">
        <v>4528</v>
      </c>
      <c r="U300" s="81">
        <v>0</v>
      </c>
      <c r="V300" s="82">
        <v>500000</v>
      </c>
      <c r="W300" s="80">
        <v>0</v>
      </c>
      <c r="X300" s="80">
        <v>3</v>
      </c>
      <c r="Y300" s="11" t="str">
        <f ca="1">IF(ISBLANK(BudgetsTable[[#This Row],[budg_seq_yr]]),"FY"&amp;fiscalyear,"FY"&amp;fiscalyear-1+BudgetsTable[[#This Row],[budg_seq_yr]])</f>
        <v>FY20</v>
      </c>
      <c r="Z300" s="81">
        <v>500000</v>
      </c>
      <c r="AA300" s="80" t="s">
        <v>222</v>
      </c>
      <c r="AB300" s="80" t="s">
        <v>1137</v>
      </c>
      <c r="AC300" s="80" t="s">
        <v>1142</v>
      </c>
    </row>
    <row r="301" spans="1:29" x14ac:dyDescent="0.4">
      <c r="A301" s="10" t="s">
        <v>1320</v>
      </c>
      <c r="B301" s="78" t="s">
        <v>96</v>
      </c>
      <c r="C301" s="78">
        <f>C300+(BudgetsTable[[#This Row],[lead]]&lt;&gt;K300)</f>
        <v>58</v>
      </c>
      <c r="D301" s="78">
        <f>D300*(BudgetsTable[[#This Row],[lead]]=K300)+(BudgetsTable[[#This Row],[prop_id]]&lt;&gt;A300)</f>
        <v>1</v>
      </c>
      <c r="E301" s="79">
        <v>42809.663888888892</v>
      </c>
      <c r="F301" s="80" t="s">
        <v>1136</v>
      </c>
      <c r="G301" s="80" t="s">
        <v>222</v>
      </c>
      <c r="H301" s="80" t="s">
        <v>1137</v>
      </c>
      <c r="I301" s="78" t="s">
        <v>451</v>
      </c>
      <c r="J301" s="78" t="s">
        <v>1323</v>
      </c>
      <c r="K301" s="80" t="s">
        <v>1320</v>
      </c>
      <c r="L301" s="7" t="str">
        <f>IF(BudgetsTable[[#This Row],[pi_last_name]]=" ","",HYPERLINK("https://www.ejacket.nsf.gov/ej/showProposal.do?Continue=Y&amp;ID="&amp;BudgetsTable[[#This Row],[prop_id]],BudgetsTable[[#This Row],[prop_id]]))</f>
        <v>1740810</v>
      </c>
      <c r="M301" s="15" t="str">
        <f>IF(BudgetsTable[[#This Row],[pi_last_name]]=" ","",HYPERLINK("https://www.ejacket.nsf.gov/ej/processReviewAnalysis.do?dispatch=add&amp;uniqId="&amp;BudgetsTable[[#This Row],[prop_id]]&amp;PO_id,"&gt;ra"))</f>
        <v>&gt;ra</v>
      </c>
      <c r="N301" s="80" t="s">
        <v>1321</v>
      </c>
      <c r="O301" s="7" t="str">
        <f>IF(BudgetsTable[[#This Row],[pi_last_name]]=" ","",HYPERLINK("mailto:"&amp;BudgetsTable[[#This Row],[pi_email]]&amp;"&amp;subject=Your NSF Proposal:  "&amp;BudgetsTable[[#This Row],[prop_id]],BudgetsTable[[#This Row],[pi_email]]))</f>
        <v>michaelm@eecs.harvard.edu</v>
      </c>
      <c r="P301" s="80" t="s">
        <v>1322</v>
      </c>
      <c r="Q301" s="80"/>
      <c r="R301" s="80"/>
      <c r="S301" s="81"/>
      <c r="T301" s="81"/>
      <c r="U301" s="81"/>
      <c r="V301" s="82"/>
      <c r="W301" s="80">
        <v>0</v>
      </c>
      <c r="X301" s="80"/>
      <c r="Y301" s="11" t="str">
        <f ca="1">IF(ISBLANK(BudgetsTable[[#This Row],[budg_seq_yr]]),"FY"&amp;fiscalyear,"FY"&amp;fiscalyear-1+BudgetsTable[[#This Row],[budg_seq_yr]])</f>
        <v>FY18</v>
      </c>
      <c r="Z301" s="81">
        <v>1500000</v>
      </c>
      <c r="AA301" s="80" t="s">
        <v>222</v>
      </c>
      <c r="AB301" s="80" t="s">
        <v>1137</v>
      </c>
      <c r="AC301" s="80" t="s">
        <v>1142</v>
      </c>
    </row>
    <row r="302" spans="1:29" x14ac:dyDescent="0.4">
      <c r="A302" s="10" t="s">
        <v>1320</v>
      </c>
      <c r="B302" s="78" t="s">
        <v>96</v>
      </c>
      <c r="C302" s="78">
        <f>C301+(BudgetsTable[[#This Row],[lead]]&lt;&gt;K301)</f>
        <v>58</v>
      </c>
      <c r="D302" s="78">
        <f>D301*(BudgetsTable[[#This Row],[lead]]=K301)+(BudgetsTable[[#This Row],[prop_id]]&lt;&gt;A301)</f>
        <v>1</v>
      </c>
      <c r="E302" s="79">
        <v>42809.663888888892</v>
      </c>
      <c r="F302" s="80" t="s">
        <v>1136</v>
      </c>
      <c r="G302" s="80" t="s">
        <v>222</v>
      </c>
      <c r="H302" s="80" t="s">
        <v>1137</v>
      </c>
      <c r="I302" s="78" t="s">
        <v>451</v>
      </c>
      <c r="J302" s="78" t="s">
        <v>13</v>
      </c>
      <c r="K302" s="80" t="s">
        <v>1320</v>
      </c>
      <c r="L302" s="7" t="str">
        <f>IF(BudgetsTable[[#This Row],[pi_last_name]]=" ","",HYPERLINK("https://www.ejacket.nsf.gov/ej/showProposal.do?Continue=Y&amp;ID="&amp;BudgetsTable[[#This Row],[prop_id]],BudgetsTable[[#This Row],[prop_id]]))</f>
        <v/>
      </c>
      <c r="M302" s="15" t="str">
        <f>IF(BudgetsTable[[#This Row],[pi_last_name]]=" ","",HYPERLINK("https://www.ejacket.nsf.gov/ej/processReviewAnalysis.do?dispatch=add&amp;uniqId="&amp;BudgetsTable[[#This Row],[prop_id]]&amp;PO_id,"&gt;ra"))</f>
        <v/>
      </c>
      <c r="N302" s="80" t="s">
        <v>13</v>
      </c>
      <c r="O302" s="7" t="str">
        <f>IF(BudgetsTable[[#This Row],[pi_last_name]]=" ","",HYPERLINK("mailto:"&amp;BudgetsTable[[#This Row],[pi_email]]&amp;"&amp;subject=Your NSF Proposal:  "&amp;BudgetsTable[[#This Row],[prop_id]],BudgetsTable[[#This Row],[pi_email]]))</f>
        <v/>
      </c>
      <c r="P302" s="80" t="s">
        <v>13</v>
      </c>
      <c r="Q302" s="80">
        <v>3</v>
      </c>
      <c r="R302" s="80">
        <v>0</v>
      </c>
      <c r="S302" s="81">
        <v>97500</v>
      </c>
      <c r="T302" s="81">
        <v>0</v>
      </c>
      <c r="U302" s="81">
        <v>0</v>
      </c>
      <c r="V302" s="82">
        <v>500000</v>
      </c>
      <c r="W302" s="80">
        <v>0</v>
      </c>
      <c r="X302" s="80">
        <v>1</v>
      </c>
      <c r="Y302" s="11" t="str">
        <f ca="1">IF(ISBLANK(BudgetsTable[[#This Row],[budg_seq_yr]]),"FY"&amp;fiscalyear,"FY"&amp;fiscalyear-1+BudgetsTable[[#This Row],[budg_seq_yr]])</f>
        <v>FY18</v>
      </c>
      <c r="Z302" s="81">
        <v>500000</v>
      </c>
      <c r="AA302" s="80" t="s">
        <v>222</v>
      </c>
      <c r="AB302" s="80" t="s">
        <v>1137</v>
      </c>
      <c r="AC302" s="80" t="s">
        <v>1142</v>
      </c>
    </row>
    <row r="303" spans="1:29" x14ac:dyDescent="0.4">
      <c r="A303" s="10" t="s">
        <v>1320</v>
      </c>
      <c r="B303" s="78" t="s">
        <v>96</v>
      </c>
      <c r="C303" s="78">
        <f>C302+(BudgetsTable[[#This Row],[lead]]&lt;&gt;K302)</f>
        <v>58</v>
      </c>
      <c r="D303" s="78">
        <f>D302*(BudgetsTable[[#This Row],[lead]]=K302)+(BudgetsTable[[#This Row],[prop_id]]&lt;&gt;A302)</f>
        <v>1</v>
      </c>
      <c r="E303" s="79">
        <v>42809.663888888892</v>
      </c>
      <c r="F303" s="80" t="s">
        <v>1136</v>
      </c>
      <c r="G303" s="80" t="s">
        <v>222</v>
      </c>
      <c r="H303" s="80" t="s">
        <v>1137</v>
      </c>
      <c r="I303" s="78" t="s">
        <v>451</v>
      </c>
      <c r="J303" s="78" t="s">
        <v>13</v>
      </c>
      <c r="K303" s="80" t="s">
        <v>1320</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80" t="s">
        <v>13</v>
      </c>
      <c r="O303" s="7" t="str">
        <f>IF(BudgetsTable[[#This Row],[pi_last_name]]=" ","",HYPERLINK("mailto:"&amp;BudgetsTable[[#This Row],[pi_email]]&amp;"&amp;subject=Your NSF Proposal:  "&amp;BudgetsTable[[#This Row],[prop_id]],BudgetsTable[[#This Row],[pi_email]]))</f>
        <v/>
      </c>
      <c r="P303" s="80" t="s">
        <v>13</v>
      </c>
      <c r="Q303" s="80">
        <v>2</v>
      </c>
      <c r="R303" s="80">
        <v>0</v>
      </c>
      <c r="S303" s="81">
        <v>206000</v>
      </c>
      <c r="T303" s="81">
        <v>0</v>
      </c>
      <c r="U303" s="81">
        <v>0</v>
      </c>
      <c r="V303" s="82">
        <v>500000</v>
      </c>
      <c r="W303" s="80">
        <v>0</v>
      </c>
      <c r="X303" s="80">
        <v>2</v>
      </c>
      <c r="Y303" s="11" t="str">
        <f ca="1">IF(ISBLANK(BudgetsTable[[#This Row],[budg_seq_yr]]),"FY"&amp;fiscalyear,"FY"&amp;fiscalyear-1+BudgetsTable[[#This Row],[budg_seq_yr]])</f>
        <v>FY19</v>
      </c>
      <c r="Z303" s="81">
        <v>500000</v>
      </c>
      <c r="AA303" s="80" t="s">
        <v>222</v>
      </c>
      <c r="AB303" s="80" t="s">
        <v>1137</v>
      </c>
      <c r="AC303" s="80" t="s">
        <v>1142</v>
      </c>
    </row>
    <row r="304" spans="1:29" x14ac:dyDescent="0.4">
      <c r="A304" s="10" t="s">
        <v>1320</v>
      </c>
      <c r="B304" s="78" t="s">
        <v>96</v>
      </c>
      <c r="C304" s="78">
        <f>C303+(BudgetsTable[[#This Row],[lead]]&lt;&gt;K303)</f>
        <v>58</v>
      </c>
      <c r="D304" s="78">
        <f>D303*(BudgetsTable[[#This Row],[lead]]=K303)+(BudgetsTable[[#This Row],[prop_id]]&lt;&gt;A303)</f>
        <v>1</v>
      </c>
      <c r="E304" s="79">
        <v>42809.663888888892</v>
      </c>
      <c r="F304" s="80" t="s">
        <v>1136</v>
      </c>
      <c r="G304" s="80" t="s">
        <v>222</v>
      </c>
      <c r="H304" s="80" t="s">
        <v>1137</v>
      </c>
      <c r="I304" s="78" t="s">
        <v>451</v>
      </c>
      <c r="J304" s="78" t="s">
        <v>13</v>
      </c>
      <c r="K304" s="80" t="s">
        <v>1320</v>
      </c>
      <c r="L304" s="7" t="str">
        <f>IF(BudgetsTable[[#This Row],[pi_last_name]]=" ","",HYPERLINK("https://www.ejacket.nsf.gov/ej/showProposal.do?Continue=Y&amp;ID="&amp;BudgetsTable[[#This Row],[prop_id]],BudgetsTable[[#This Row],[prop_id]]))</f>
        <v/>
      </c>
      <c r="M304" s="15" t="str">
        <f>IF(BudgetsTable[[#This Row],[pi_last_name]]=" ","",HYPERLINK("https://www.ejacket.nsf.gov/ej/processReviewAnalysis.do?dispatch=add&amp;uniqId="&amp;BudgetsTable[[#This Row],[prop_id]]&amp;PO_id,"&gt;ra"))</f>
        <v/>
      </c>
      <c r="N304" s="80" t="s">
        <v>13</v>
      </c>
      <c r="O304" s="7" t="str">
        <f>IF(BudgetsTable[[#This Row],[pi_last_name]]=" ","",HYPERLINK("mailto:"&amp;BudgetsTable[[#This Row],[pi_email]]&amp;"&amp;subject=Your NSF Proposal:  "&amp;BudgetsTable[[#This Row],[prop_id]],BudgetsTable[[#This Row],[pi_email]]))</f>
        <v/>
      </c>
      <c r="P304" s="80" t="s">
        <v>13</v>
      </c>
      <c r="Q304" s="80">
        <v>3</v>
      </c>
      <c r="R304" s="80">
        <v>0</v>
      </c>
      <c r="S304" s="81">
        <v>177701</v>
      </c>
      <c r="T304" s="81">
        <v>0</v>
      </c>
      <c r="U304" s="81">
        <v>0</v>
      </c>
      <c r="V304" s="82">
        <v>500000</v>
      </c>
      <c r="W304" s="80">
        <v>0</v>
      </c>
      <c r="X304" s="80">
        <v>3</v>
      </c>
      <c r="Y304" s="11" t="str">
        <f ca="1">IF(ISBLANK(BudgetsTable[[#This Row],[budg_seq_yr]]),"FY"&amp;fiscalyear,"FY"&amp;fiscalyear-1+BudgetsTable[[#This Row],[budg_seq_yr]])</f>
        <v>FY20</v>
      </c>
      <c r="Z304" s="81">
        <v>500000</v>
      </c>
      <c r="AA304" s="80" t="s">
        <v>222</v>
      </c>
      <c r="AB304" s="80" t="s">
        <v>1137</v>
      </c>
      <c r="AC304" s="80" t="s">
        <v>1142</v>
      </c>
    </row>
    <row r="305" spans="1:29" x14ac:dyDescent="0.4">
      <c r="A305" s="10" t="s">
        <v>1326</v>
      </c>
      <c r="B305" s="78" t="s">
        <v>1145</v>
      </c>
      <c r="C305" s="78">
        <f>C304+(BudgetsTable[[#This Row],[lead]]&lt;&gt;K304)</f>
        <v>59</v>
      </c>
      <c r="D305" s="78">
        <f>D304*(BudgetsTable[[#This Row],[lead]]=K304)+(BudgetsTable[[#This Row],[prop_id]]&lt;&gt;A304)</f>
        <v>1</v>
      </c>
      <c r="E305" s="79">
        <v>42809.663888888892</v>
      </c>
      <c r="F305" s="80" t="s">
        <v>1136</v>
      </c>
      <c r="G305" s="80" t="s">
        <v>222</v>
      </c>
      <c r="H305" s="80" t="s">
        <v>1137</v>
      </c>
      <c r="I305" s="78" t="s">
        <v>406</v>
      </c>
      <c r="J305" s="78" t="s">
        <v>1330</v>
      </c>
      <c r="K305" s="80" t="s">
        <v>1326</v>
      </c>
      <c r="L305" s="7" t="str">
        <f>IF(BudgetsTable[[#This Row],[pi_last_name]]=" ","",HYPERLINK("https://www.ejacket.nsf.gov/ej/showProposal.do?Continue=Y&amp;ID="&amp;BudgetsTable[[#This Row],[prop_id]],BudgetsTable[[#This Row],[prop_id]]))</f>
        <v>1740811</v>
      </c>
      <c r="M305" s="15" t="str">
        <f>IF(BudgetsTable[[#This Row],[pi_last_name]]=" ","",HYPERLINK("https://www.ejacket.nsf.gov/ej/processReviewAnalysis.do?dispatch=add&amp;uniqId="&amp;BudgetsTable[[#This Row],[prop_id]]&amp;PO_id,"&gt;ra"))</f>
        <v>&gt;ra</v>
      </c>
      <c r="N305" s="80" t="s">
        <v>1327</v>
      </c>
      <c r="O305" s="7" t="str">
        <f>IF(BudgetsTable[[#This Row],[pi_last_name]]=" ","",HYPERLINK("mailto:"&amp;BudgetsTable[[#This Row],[pi_email]]&amp;"&amp;subject=Your NSF Proposal:  "&amp;BudgetsTable[[#This Row],[prop_id]],BudgetsTable[[#This Row],[pi_email]]))</f>
        <v>mishra@cs.nyu.edu</v>
      </c>
      <c r="P305" s="80" t="s">
        <v>1329</v>
      </c>
      <c r="Q305" s="80"/>
      <c r="R305" s="80"/>
      <c r="S305" s="81"/>
      <c r="T305" s="81"/>
      <c r="U305" s="81"/>
      <c r="V305" s="82"/>
      <c r="W305" s="80">
        <v>0</v>
      </c>
      <c r="X305" s="80"/>
      <c r="Y305" s="11" t="str">
        <f ca="1">IF(ISBLANK(BudgetsTable[[#This Row],[budg_seq_yr]]),"FY"&amp;fiscalyear,"FY"&amp;fiscalyear-1+BudgetsTable[[#This Row],[budg_seq_yr]])</f>
        <v>FY18</v>
      </c>
      <c r="Z305" s="81">
        <v>1050000</v>
      </c>
      <c r="AA305" s="80" t="s">
        <v>222</v>
      </c>
      <c r="AB305" s="80" t="s">
        <v>1137</v>
      </c>
      <c r="AC305" s="80" t="s">
        <v>1142</v>
      </c>
    </row>
    <row r="306" spans="1:29" x14ac:dyDescent="0.4">
      <c r="A306" s="10" t="s">
        <v>1326</v>
      </c>
      <c r="B306" s="78" t="s">
        <v>1145</v>
      </c>
      <c r="C306" s="78">
        <f>C305+(BudgetsTable[[#This Row],[lead]]&lt;&gt;K305)</f>
        <v>59</v>
      </c>
      <c r="D306" s="78">
        <f>D305*(BudgetsTable[[#This Row],[lead]]=K305)+(BudgetsTable[[#This Row],[prop_id]]&lt;&gt;A305)</f>
        <v>1</v>
      </c>
      <c r="E306" s="79">
        <v>42809.663888888892</v>
      </c>
      <c r="F306" s="80" t="s">
        <v>1136</v>
      </c>
      <c r="G306" s="80" t="s">
        <v>222</v>
      </c>
      <c r="H306" s="80" t="s">
        <v>1137</v>
      </c>
      <c r="I306" s="78" t="s">
        <v>406</v>
      </c>
      <c r="J306" s="78" t="s">
        <v>13</v>
      </c>
      <c r="K306" s="80" t="s">
        <v>1326</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80" t="s">
        <v>13</v>
      </c>
      <c r="O306" s="7" t="str">
        <f>IF(BudgetsTable[[#This Row],[pi_last_name]]=" ","",HYPERLINK("mailto:"&amp;BudgetsTable[[#This Row],[pi_email]]&amp;"&amp;subject=Your NSF Proposal:  "&amp;BudgetsTable[[#This Row],[prop_id]],BudgetsTable[[#This Row],[pi_email]]))</f>
        <v/>
      </c>
      <c r="P306" s="80" t="s">
        <v>13</v>
      </c>
      <c r="Q306" s="80">
        <v>2</v>
      </c>
      <c r="R306" s="80">
        <v>2</v>
      </c>
      <c r="S306" s="81">
        <v>66625</v>
      </c>
      <c r="T306" s="81">
        <v>4686</v>
      </c>
      <c r="U306" s="81">
        <v>0</v>
      </c>
      <c r="V306" s="82">
        <v>350000</v>
      </c>
      <c r="W306" s="80">
        <v>0</v>
      </c>
      <c r="X306" s="80">
        <v>1</v>
      </c>
      <c r="Y306" s="11" t="str">
        <f ca="1">IF(ISBLANK(BudgetsTable[[#This Row],[budg_seq_yr]]),"FY"&amp;fiscalyear,"FY"&amp;fiscalyear-1+BudgetsTable[[#This Row],[budg_seq_yr]])</f>
        <v>FY18</v>
      </c>
      <c r="Z306" s="81">
        <v>350000</v>
      </c>
      <c r="AA306" s="80" t="s">
        <v>222</v>
      </c>
      <c r="AB306" s="80" t="s">
        <v>1137</v>
      </c>
      <c r="AC306" s="80" t="s">
        <v>1142</v>
      </c>
    </row>
    <row r="307" spans="1:29" x14ac:dyDescent="0.4">
      <c r="A307" s="10" t="s">
        <v>1326</v>
      </c>
      <c r="B307" s="78" t="s">
        <v>1145</v>
      </c>
      <c r="C307" s="78">
        <f>C306+(BudgetsTable[[#This Row],[lead]]&lt;&gt;K306)</f>
        <v>59</v>
      </c>
      <c r="D307" s="78">
        <f>D306*(BudgetsTable[[#This Row],[lead]]=K306)+(BudgetsTable[[#This Row],[prop_id]]&lt;&gt;A306)</f>
        <v>1</v>
      </c>
      <c r="E307" s="79">
        <v>42809.663888888892</v>
      </c>
      <c r="F307" s="80" t="s">
        <v>1136</v>
      </c>
      <c r="G307" s="80" t="s">
        <v>222</v>
      </c>
      <c r="H307" s="80" t="s">
        <v>1137</v>
      </c>
      <c r="I307" s="78" t="s">
        <v>406</v>
      </c>
      <c r="J307" s="78" t="s">
        <v>13</v>
      </c>
      <c r="K307" s="80" t="s">
        <v>1326</v>
      </c>
      <c r="L307" s="7" t="str">
        <f>IF(BudgetsTable[[#This Row],[pi_last_name]]=" ","",HYPERLINK("https://www.ejacket.nsf.gov/ej/showProposal.do?Continue=Y&amp;ID="&amp;BudgetsTable[[#This Row],[prop_id]],BudgetsTable[[#This Row],[prop_id]]))</f>
        <v/>
      </c>
      <c r="M307" s="15" t="str">
        <f>IF(BudgetsTable[[#This Row],[pi_last_name]]=" ","",HYPERLINK("https://www.ejacket.nsf.gov/ej/processReviewAnalysis.do?dispatch=add&amp;uniqId="&amp;BudgetsTable[[#This Row],[prop_id]]&amp;PO_id,"&gt;ra"))</f>
        <v/>
      </c>
      <c r="N307" s="80" t="s">
        <v>13</v>
      </c>
      <c r="O307" s="7" t="str">
        <f>IF(BudgetsTable[[#This Row],[pi_last_name]]=" ","",HYPERLINK("mailto:"&amp;BudgetsTable[[#This Row],[pi_email]]&amp;"&amp;subject=Your NSF Proposal:  "&amp;BudgetsTable[[#This Row],[prop_id]],BudgetsTable[[#This Row],[pi_email]]))</f>
        <v/>
      </c>
      <c r="P307" s="80" t="s">
        <v>13</v>
      </c>
      <c r="Q307" s="80">
        <v>2</v>
      </c>
      <c r="R307" s="80">
        <v>2</v>
      </c>
      <c r="S307" s="81">
        <v>68291</v>
      </c>
      <c r="T307" s="81">
        <v>3325</v>
      </c>
      <c r="U307" s="81">
        <v>0</v>
      </c>
      <c r="V307" s="82">
        <v>350000</v>
      </c>
      <c r="W307" s="80">
        <v>0</v>
      </c>
      <c r="X307" s="80">
        <v>2</v>
      </c>
      <c r="Y307" s="11" t="str">
        <f ca="1">IF(ISBLANK(BudgetsTable[[#This Row],[budg_seq_yr]]),"FY"&amp;fiscalyear,"FY"&amp;fiscalyear-1+BudgetsTable[[#This Row],[budg_seq_yr]])</f>
        <v>FY19</v>
      </c>
      <c r="Z307" s="81">
        <v>350000</v>
      </c>
      <c r="AA307" s="80" t="s">
        <v>222</v>
      </c>
      <c r="AB307" s="80" t="s">
        <v>1137</v>
      </c>
      <c r="AC307" s="80" t="s">
        <v>1142</v>
      </c>
    </row>
    <row r="308" spans="1:29" x14ac:dyDescent="0.4">
      <c r="A308" s="10" t="s">
        <v>1326</v>
      </c>
      <c r="B308" s="78" t="s">
        <v>1145</v>
      </c>
      <c r="C308" s="78">
        <f>C307+(BudgetsTable[[#This Row],[lead]]&lt;&gt;K307)</f>
        <v>59</v>
      </c>
      <c r="D308" s="78">
        <f>D307*(BudgetsTable[[#This Row],[lead]]=K307)+(BudgetsTable[[#This Row],[prop_id]]&lt;&gt;A307)</f>
        <v>1</v>
      </c>
      <c r="E308" s="79">
        <v>42809.663888888892</v>
      </c>
      <c r="F308" s="80" t="s">
        <v>1136</v>
      </c>
      <c r="G308" s="80" t="s">
        <v>222</v>
      </c>
      <c r="H308" s="80" t="s">
        <v>1137</v>
      </c>
      <c r="I308" s="78" t="s">
        <v>406</v>
      </c>
      <c r="J308" s="78" t="s">
        <v>13</v>
      </c>
      <c r="K308" s="80" t="s">
        <v>1326</v>
      </c>
      <c r="L308" s="7" t="str">
        <f>IF(BudgetsTable[[#This Row],[pi_last_name]]=" ","",HYPERLINK("https://www.ejacket.nsf.gov/ej/showProposal.do?Continue=Y&amp;ID="&amp;BudgetsTable[[#This Row],[prop_id]],BudgetsTable[[#This Row],[prop_id]]))</f>
        <v/>
      </c>
      <c r="M308" s="15" t="str">
        <f>IF(BudgetsTable[[#This Row],[pi_last_name]]=" ","",HYPERLINK("https://www.ejacket.nsf.gov/ej/processReviewAnalysis.do?dispatch=add&amp;uniqId="&amp;BudgetsTable[[#This Row],[prop_id]]&amp;PO_id,"&gt;ra"))</f>
        <v/>
      </c>
      <c r="N308" s="80" t="s">
        <v>13</v>
      </c>
      <c r="O308" s="7" t="str">
        <f>IF(BudgetsTable[[#This Row],[pi_last_name]]=" ","",HYPERLINK("mailto:"&amp;BudgetsTable[[#This Row],[pi_email]]&amp;"&amp;subject=Your NSF Proposal:  "&amp;BudgetsTable[[#This Row],[prop_id]],BudgetsTable[[#This Row],[pi_email]]))</f>
        <v/>
      </c>
      <c r="P308" s="80" t="s">
        <v>13</v>
      </c>
      <c r="Q308" s="80">
        <v>2</v>
      </c>
      <c r="R308" s="80">
        <v>2</v>
      </c>
      <c r="S308" s="81">
        <v>69998</v>
      </c>
      <c r="T308" s="81">
        <v>3958</v>
      </c>
      <c r="U308" s="81">
        <v>0</v>
      </c>
      <c r="V308" s="82">
        <v>350000</v>
      </c>
      <c r="W308" s="80">
        <v>0</v>
      </c>
      <c r="X308" s="80">
        <v>3</v>
      </c>
      <c r="Y308" s="11" t="str">
        <f ca="1">IF(ISBLANK(BudgetsTable[[#This Row],[budg_seq_yr]]),"FY"&amp;fiscalyear,"FY"&amp;fiscalyear-1+BudgetsTable[[#This Row],[budg_seq_yr]])</f>
        <v>FY20</v>
      </c>
      <c r="Z308" s="81">
        <v>350000</v>
      </c>
      <c r="AA308" s="80" t="s">
        <v>222</v>
      </c>
      <c r="AB308" s="80" t="s">
        <v>1137</v>
      </c>
      <c r="AC308" s="80" t="s">
        <v>1142</v>
      </c>
    </row>
    <row r="309" spans="1:29" x14ac:dyDescent="0.4">
      <c r="A309" s="10" t="s">
        <v>1333</v>
      </c>
      <c r="B309" s="78" t="s">
        <v>965</v>
      </c>
      <c r="C309" s="78">
        <f>C308+(BudgetsTable[[#This Row],[lead]]&lt;&gt;K308)</f>
        <v>59</v>
      </c>
      <c r="D309" s="78">
        <f>D308*(BudgetsTable[[#This Row],[lead]]=K308)+(BudgetsTable[[#This Row],[prop_id]]&lt;&gt;A308)</f>
        <v>2</v>
      </c>
      <c r="E309" s="79">
        <v>42809.627083333333</v>
      </c>
      <c r="F309" s="80" t="s">
        <v>1136</v>
      </c>
      <c r="G309" s="80" t="s">
        <v>222</v>
      </c>
      <c r="H309" s="80" t="s">
        <v>1137</v>
      </c>
      <c r="I309" s="78" t="s">
        <v>406</v>
      </c>
      <c r="J309" s="78" t="s">
        <v>1336</v>
      </c>
      <c r="K309" s="80" t="s">
        <v>1326</v>
      </c>
      <c r="L309" s="7" t="str">
        <f>IF(BudgetsTable[[#This Row],[pi_last_name]]=" ","",HYPERLINK("https://www.ejacket.nsf.gov/ej/showProposal.do?Continue=Y&amp;ID="&amp;BudgetsTable[[#This Row],[prop_id]],BudgetsTable[[#This Row],[prop_id]]))</f>
        <v>1740789</v>
      </c>
      <c r="M309" s="15" t="str">
        <f>IF(BudgetsTable[[#This Row],[pi_last_name]]=" ","",HYPERLINK("https://www.ejacket.nsf.gov/ej/processReviewAnalysis.do?dispatch=add&amp;uniqId="&amp;BudgetsTable[[#This Row],[prop_id]]&amp;PO_id,"&gt;ra"))</f>
        <v>&gt;ra</v>
      </c>
      <c r="N309" s="80" t="s">
        <v>1334</v>
      </c>
      <c r="O309" s="7" t="str">
        <f>IF(BudgetsTable[[#This Row],[pi_last_name]]=" ","",HYPERLINK("mailto:"&amp;BudgetsTable[[#This Row],[pi_email]]&amp;"&amp;subject=Your NSF Proposal:  "&amp;BudgetsTable[[#This Row],[prop_id]],BudgetsTable[[#This Row],[pi_email]]))</f>
        <v>mitter@mit.edu</v>
      </c>
      <c r="P309" s="80" t="s">
        <v>223</v>
      </c>
      <c r="Q309" s="80"/>
      <c r="R309" s="80"/>
      <c r="S309" s="81"/>
      <c r="T309" s="81"/>
      <c r="U309" s="81"/>
      <c r="V309" s="82"/>
      <c r="W309" s="80">
        <v>0</v>
      </c>
      <c r="X309" s="80"/>
      <c r="Y309" s="11" t="str">
        <f ca="1">IF(ISBLANK(BudgetsTable[[#This Row],[budg_seq_yr]]),"FY"&amp;fiscalyear,"FY"&amp;fiscalyear-1+BudgetsTable[[#This Row],[budg_seq_yr]])</f>
        <v>FY18</v>
      </c>
      <c r="Z309" s="81">
        <v>450000</v>
      </c>
      <c r="AA309" s="80" t="s">
        <v>222</v>
      </c>
      <c r="AB309" s="80" t="s">
        <v>1137</v>
      </c>
      <c r="AC309" s="80" t="s">
        <v>1142</v>
      </c>
    </row>
    <row r="310" spans="1:29" x14ac:dyDescent="0.4">
      <c r="A310" s="10" t="s">
        <v>1333</v>
      </c>
      <c r="B310" s="78" t="s">
        <v>965</v>
      </c>
      <c r="C310" s="78">
        <f>C309+(BudgetsTable[[#This Row],[lead]]&lt;&gt;K309)</f>
        <v>59</v>
      </c>
      <c r="D310" s="78">
        <f>D309*(BudgetsTable[[#This Row],[lead]]=K309)+(BudgetsTable[[#This Row],[prop_id]]&lt;&gt;A309)</f>
        <v>2</v>
      </c>
      <c r="E310" s="79">
        <v>42809.627083333333</v>
      </c>
      <c r="F310" s="80" t="s">
        <v>1136</v>
      </c>
      <c r="G310" s="80" t="s">
        <v>222</v>
      </c>
      <c r="H310" s="80" t="s">
        <v>1137</v>
      </c>
      <c r="I310" s="78" t="s">
        <v>406</v>
      </c>
      <c r="J310" s="78" t="s">
        <v>13</v>
      </c>
      <c r="K310" s="80" t="s">
        <v>1326</v>
      </c>
      <c r="L310" s="7" t="str">
        <f>IF(BudgetsTable[[#This Row],[pi_last_name]]=" ","",HYPERLINK("https://www.ejacket.nsf.gov/ej/showProposal.do?Continue=Y&amp;ID="&amp;BudgetsTable[[#This Row],[prop_id]],BudgetsTable[[#This Row],[prop_id]]))</f>
        <v/>
      </c>
      <c r="M310" s="15" t="str">
        <f>IF(BudgetsTable[[#This Row],[pi_last_name]]=" ","",HYPERLINK("https://www.ejacket.nsf.gov/ej/processReviewAnalysis.do?dispatch=add&amp;uniqId="&amp;BudgetsTable[[#This Row],[prop_id]]&amp;PO_id,"&gt;ra"))</f>
        <v/>
      </c>
      <c r="N310" s="80" t="s">
        <v>13</v>
      </c>
      <c r="O310" s="7" t="str">
        <f>IF(BudgetsTable[[#This Row],[pi_last_name]]=" ","",HYPERLINK("mailto:"&amp;BudgetsTable[[#This Row],[pi_email]]&amp;"&amp;subject=Your NSF Proposal:  "&amp;BudgetsTable[[#This Row],[prop_id]],BudgetsTable[[#This Row],[pi_email]]))</f>
        <v/>
      </c>
      <c r="P310" s="80" t="s">
        <v>13</v>
      </c>
      <c r="Q310" s="80">
        <v>1</v>
      </c>
      <c r="R310" s="80">
        <v>1</v>
      </c>
      <c r="S310" s="81">
        <v>45326</v>
      </c>
      <c r="T310" s="81">
        <v>4000</v>
      </c>
      <c r="U310" s="81">
        <v>0</v>
      </c>
      <c r="V310" s="82">
        <v>150000</v>
      </c>
      <c r="W310" s="80">
        <v>0</v>
      </c>
      <c r="X310" s="80">
        <v>1</v>
      </c>
      <c r="Y310" s="11" t="str">
        <f ca="1">IF(ISBLANK(BudgetsTable[[#This Row],[budg_seq_yr]]),"FY"&amp;fiscalyear,"FY"&amp;fiscalyear-1+BudgetsTable[[#This Row],[budg_seq_yr]])</f>
        <v>FY18</v>
      </c>
      <c r="Z310" s="81">
        <v>150000</v>
      </c>
      <c r="AA310" s="80" t="s">
        <v>222</v>
      </c>
      <c r="AB310" s="80" t="s">
        <v>1137</v>
      </c>
      <c r="AC310" s="80" t="s">
        <v>1142</v>
      </c>
    </row>
    <row r="311" spans="1:29" x14ac:dyDescent="0.4">
      <c r="A311" s="10" t="s">
        <v>1333</v>
      </c>
      <c r="B311" s="78" t="s">
        <v>965</v>
      </c>
      <c r="C311" s="78">
        <f>C310+(BudgetsTable[[#This Row],[lead]]&lt;&gt;K310)</f>
        <v>59</v>
      </c>
      <c r="D311" s="78">
        <f>D310*(BudgetsTable[[#This Row],[lead]]=K310)+(BudgetsTable[[#This Row],[prop_id]]&lt;&gt;A310)</f>
        <v>2</v>
      </c>
      <c r="E311" s="79">
        <v>42809.627083333333</v>
      </c>
      <c r="F311" s="80" t="s">
        <v>1136</v>
      </c>
      <c r="G311" s="80" t="s">
        <v>222</v>
      </c>
      <c r="H311" s="80" t="s">
        <v>1137</v>
      </c>
      <c r="I311" s="78" t="s">
        <v>406</v>
      </c>
      <c r="J311" s="78" t="s">
        <v>13</v>
      </c>
      <c r="K311" s="80" t="s">
        <v>1326</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80" t="s">
        <v>13</v>
      </c>
      <c r="O311" s="7" t="str">
        <f>IF(BudgetsTable[[#This Row],[pi_last_name]]=" ","",HYPERLINK("mailto:"&amp;BudgetsTable[[#This Row],[pi_email]]&amp;"&amp;subject=Your NSF Proposal:  "&amp;BudgetsTable[[#This Row],[prop_id]],BudgetsTable[[#This Row],[pi_email]]))</f>
        <v/>
      </c>
      <c r="P311" s="80" t="s">
        <v>13</v>
      </c>
      <c r="Q311" s="80">
        <v>1</v>
      </c>
      <c r="R311" s="80">
        <v>1</v>
      </c>
      <c r="S311" s="81">
        <v>44977</v>
      </c>
      <c r="T311" s="81">
        <v>4000</v>
      </c>
      <c r="U311" s="81">
        <v>0</v>
      </c>
      <c r="V311" s="82">
        <v>150000</v>
      </c>
      <c r="W311" s="80">
        <v>0</v>
      </c>
      <c r="X311" s="80">
        <v>2</v>
      </c>
      <c r="Y311" s="11" t="str">
        <f ca="1">IF(ISBLANK(BudgetsTable[[#This Row],[budg_seq_yr]]),"FY"&amp;fiscalyear,"FY"&amp;fiscalyear-1+BudgetsTable[[#This Row],[budg_seq_yr]])</f>
        <v>FY19</v>
      </c>
      <c r="Z311" s="81">
        <v>150000</v>
      </c>
      <c r="AA311" s="80" t="s">
        <v>222</v>
      </c>
      <c r="AB311" s="80" t="s">
        <v>1137</v>
      </c>
      <c r="AC311" s="80" t="s">
        <v>1142</v>
      </c>
    </row>
    <row r="312" spans="1:29" x14ac:dyDescent="0.4">
      <c r="A312" s="10" t="s">
        <v>1333</v>
      </c>
      <c r="B312" s="78" t="s">
        <v>965</v>
      </c>
      <c r="C312" s="78">
        <f>C311+(BudgetsTable[[#This Row],[lead]]&lt;&gt;K311)</f>
        <v>59</v>
      </c>
      <c r="D312" s="78">
        <f>D311*(BudgetsTable[[#This Row],[lead]]=K311)+(BudgetsTable[[#This Row],[prop_id]]&lt;&gt;A311)</f>
        <v>2</v>
      </c>
      <c r="E312" s="79">
        <v>42809.627083333333</v>
      </c>
      <c r="F312" s="80" t="s">
        <v>1136</v>
      </c>
      <c r="G312" s="80" t="s">
        <v>222</v>
      </c>
      <c r="H312" s="80" t="s">
        <v>1137</v>
      </c>
      <c r="I312" s="78" t="s">
        <v>406</v>
      </c>
      <c r="J312" s="78" t="s">
        <v>13</v>
      </c>
      <c r="K312" s="80" t="s">
        <v>1326</v>
      </c>
      <c r="L312" s="7" t="str">
        <f>IF(BudgetsTable[[#This Row],[pi_last_name]]=" ","",HYPERLINK("https://www.ejacket.nsf.gov/ej/showProposal.do?Continue=Y&amp;ID="&amp;BudgetsTable[[#This Row],[prop_id]],BudgetsTable[[#This Row],[prop_id]]))</f>
        <v/>
      </c>
      <c r="M312" s="15" t="str">
        <f>IF(BudgetsTable[[#This Row],[pi_last_name]]=" ","",HYPERLINK("https://www.ejacket.nsf.gov/ej/processReviewAnalysis.do?dispatch=add&amp;uniqId="&amp;BudgetsTable[[#This Row],[prop_id]]&amp;PO_id,"&gt;ra"))</f>
        <v/>
      </c>
      <c r="N312" s="80" t="s">
        <v>13</v>
      </c>
      <c r="O312" s="7" t="str">
        <f>IF(BudgetsTable[[#This Row],[pi_last_name]]=" ","",HYPERLINK("mailto:"&amp;BudgetsTable[[#This Row],[pi_email]]&amp;"&amp;subject=Your NSF Proposal:  "&amp;BudgetsTable[[#This Row],[prop_id]],BudgetsTable[[#This Row],[pi_email]]))</f>
        <v/>
      </c>
      <c r="P312" s="80" t="s">
        <v>13</v>
      </c>
      <c r="Q312" s="80">
        <v>1</v>
      </c>
      <c r="R312" s="80">
        <v>1</v>
      </c>
      <c r="S312" s="81">
        <v>44567</v>
      </c>
      <c r="T312" s="81">
        <v>4000</v>
      </c>
      <c r="U312" s="81">
        <v>0</v>
      </c>
      <c r="V312" s="82">
        <v>150000</v>
      </c>
      <c r="W312" s="80">
        <v>0</v>
      </c>
      <c r="X312" s="80">
        <v>3</v>
      </c>
      <c r="Y312" s="11" t="str">
        <f ca="1">IF(ISBLANK(BudgetsTable[[#This Row],[budg_seq_yr]]),"FY"&amp;fiscalyear,"FY"&amp;fiscalyear-1+BudgetsTable[[#This Row],[budg_seq_yr]])</f>
        <v>FY20</v>
      </c>
      <c r="Z312" s="81">
        <v>150000</v>
      </c>
      <c r="AA312" s="80" t="s">
        <v>222</v>
      </c>
      <c r="AB312" s="80" t="s">
        <v>1137</v>
      </c>
      <c r="AC312" s="80" t="s">
        <v>1142</v>
      </c>
    </row>
    <row r="313" spans="1:29" x14ac:dyDescent="0.4">
      <c r="A313" s="10" t="s">
        <v>1337</v>
      </c>
      <c r="B313" s="78" t="s">
        <v>96</v>
      </c>
      <c r="C313" s="78">
        <f>C312+(BudgetsTable[[#This Row],[lead]]&lt;&gt;K312)</f>
        <v>60</v>
      </c>
      <c r="D313" s="78">
        <f>D312*(BudgetsTable[[#This Row],[lead]]=K312)+(BudgetsTable[[#This Row],[prop_id]]&lt;&gt;A312)</f>
        <v>1</v>
      </c>
      <c r="E313" s="79">
        <v>42809.665972222225</v>
      </c>
      <c r="F313" s="80" t="s">
        <v>1136</v>
      </c>
      <c r="G313" s="80" t="s">
        <v>222</v>
      </c>
      <c r="H313" s="80" t="s">
        <v>1137</v>
      </c>
      <c r="I313" s="78" t="s">
        <v>406</v>
      </c>
      <c r="J313" s="78" t="s">
        <v>1340</v>
      </c>
      <c r="K313" s="80" t="s">
        <v>1337</v>
      </c>
      <c r="L313" s="7" t="str">
        <f>IF(BudgetsTable[[#This Row],[pi_last_name]]=" ","",HYPERLINK("https://www.ejacket.nsf.gov/ej/showProposal.do?Continue=Y&amp;ID="&amp;BudgetsTable[[#This Row],[prop_id]],BudgetsTable[[#This Row],[prop_id]]))</f>
        <v>1740813</v>
      </c>
      <c r="M313" s="15" t="str">
        <f>IF(BudgetsTable[[#This Row],[pi_last_name]]=" ","",HYPERLINK("https://www.ejacket.nsf.gov/ej/processReviewAnalysis.do?dispatch=add&amp;uniqId="&amp;BudgetsTable[[#This Row],[prop_id]]&amp;PO_id,"&gt;ra"))</f>
        <v>&gt;ra</v>
      </c>
      <c r="N313" s="80" t="s">
        <v>1338</v>
      </c>
      <c r="O313" s="7" t="str">
        <f>IF(BudgetsTable[[#This Row],[pi_last_name]]=" ","",HYPERLINK("mailto:"&amp;BudgetsTable[[#This Row],[pi_email]]&amp;"&amp;subject=Your NSF Proposal:  "&amp;BudgetsTable[[#This Row],[prop_id]],BudgetsTable[[#This Row],[pi_email]]))</f>
        <v>andersonpe2@cofc.edu</v>
      </c>
      <c r="P313" s="80" t="s">
        <v>1339</v>
      </c>
      <c r="Q313" s="80"/>
      <c r="R313" s="80"/>
      <c r="S313" s="81"/>
      <c r="T313" s="81"/>
      <c r="U313" s="81"/>
      <c r="V313" s="82"/>
      <c r="W313" s="80">
        <v>0</v>
      </c>
      <c r="X313" s="80"/>
      <c r="Y313" s="11" t="str">
        <f ca="1">IF(ISBLANK(BudgetsTable[[#This Row],[budg_seq_yr]]),"FY"&amp;fiscalyear,"FY"&amp;fiscalyear-1+BudgetsTable[[#This Row],[budg_seq_yr]])</f>
        <v>FY18</v>
      </c>
      <c r="Z313" s="81">
        <v>1500000</v>
      </c>
      <c r="AA313" s="80" t="s">
        <v>222</v>
      </c>
      <c r="AB313" s="80" t="s">
        <v>1137</v>
      </c>
      <c r="AC313" s="80" t="s">
        <v>1156</v>
      </c>
    </row>
    <row r="314" spans="1:29" x14ac:dyDescent="0.4">
      <c r="A314" s="10" t="s">
        <v>1337</v>
      </c>
      <c r="B314" s="78" t="s">
        <v>96</v>
      </c>
      <c r="C314" s="78">
        <f>C313+(BudgetsTable[[#This Row],[lead]]&lt;&gt;K313)</f>
        <v>60</v>
      </c>
      <c r="D314" s="78">
        <f>D313*(BudgetsTable[[#This Row],[lead]]=K313)+(BudgetsTable[[#This Row],[prop_id]]&lt;&gt;A313)</f>
        <v>1</v>
      </c>
      <c r="E314" s="79">
        <v>42809.665972222225</v>
      </c>
      <c r="F314" s="80" t="s">
        <v>1136</v>
      </c>
      <c r="G314" s="80" t="s">
        <v>222</v>
      </c>
      <c r="H314" s="80" t="s">
        <v>1137</v>
      </c>
      <c r="I314" s="78" t="s">
        <v>406</v>
      </c>
      <c r="J314" s="78" t="s">
        <v>13</v>
      </c>
      <c r="K314" s="80" t="s">
        <v>1337</v>
      </c>
      <c r="L314" s="7" t="str">
        <f>IF(BudgetsTable[[#This Row],[pi_last_name]]=" ","",HYPERLINK("https://www.ejacket.nsf.gov/ej/showProposal.do?Continue=Y&amp;ID="&amp;BudgetsTable[[#This Row],[prop_id]],BudgetsTable[[#This Row],[prop_id]]))</f>
        <v/>
      </c>
      <c r="M314" s="15" t="str">
        <f>IF(BudgetsTable[[#This Row],[pi_last_name]]=" ","",HYPERLINK("https://www.ejacket.nsf.gov/ej/processReviewAnalysis.do?dispatch=add&amp;uniqId="&amp;BudgetsTable[[#This Row],[prop_id]]&amp;PO_id,"&gt;ra"))</f>
        <v/>
      </c>
      <c r="N314" s="80" t="s">
        <v>13</v>
      </c>
      <c r="O314" s="7" t="str">
        <f>IF(BudgetsTable[[#This Row],[pi_last_name]]=" ","",HYPERLINK("mailto:"&amp;BudgetsTable[[#This Row],[pi_email]]&amp;"&amp;subject=Your NSF Proposal:  "&amp;BudgetsTable[[#This Row],[prop_id]],BudgetsTable[[#This Row],[pi_email]]))</f>
        <v/>
      </c>
      <c r="P314" s="80" t="s">
        <v>13</v>
      </c>
      <c r="Q314" s="80">
        <v>5</v>
      </c>
      <c r="R314" s="80">
        <v>8</v>
      </c>
      <c r="S314" s="81">
        <v>0</v>
      </c>
      <c r="T314" s="81">
        <v>0</v>
      </c>
      <c r="U314" s="81">
        <v>18275</v>
      </c>
      <c r="V314" s="82">
        <v>500000</v>
      </c>
      <c r="W314" s="80">
        <v>0</v>
      </c>
      <c r="X314" s="80">
        <v>1</v>
      </c>
      <c r="Y314" s="11" t="str">
        <f ca="1">IF(ISBLANK(BudgetsTable[[#This Row],[budg_seq_yr]]),"FY"&amp;fiscalyear,"FY"&amp;fiscalyear-1+BudgetsTable[[#This Row],[budg_seq_yr]])</f>
        <v>FY18</v>
      </c>
      <c r="Z314" s="81">
        <v>500000</v>
      </c>
      <c r="AA314" s="80" t="s">
        <v>222</v>
      </c>
      <c r="AB314" s="80" t="s">
        <v>1137</v>
      </c>
      <c r="AC314" s="80" t="s">
        <v>1156</v>
      </c>
    </row>
    <row r="315" spans="1:29" x14ac:dyDescent="0.4">
      <c r="A315" s="10" t="s">
        <v>1337</v>
      </c>
      <c r="B315" s="78" t="s">
        <v>96</v>
      </c>
      <c r="C315" s="78">
        <f>C314+(BudgetsTable[[#This Row],[lead]]&lt;&gt;K314)</f>
        <v>60</v>
      </c>
      <c r="D315" s="78">
        <f>D314*(BudgetsTable[[#This Row],[lead]]=K314)+(BudgetsTable[[#This Row],[prop_id]]&lt;&gt;A314)</f>
        <v>1</v>
      </c>
      <c r="E315" s="79">
        <v>42809.665972222225</v>
      </c>
      <c r="F315" s="80" t="s">
        <v>1136</v>
      </c>
      <c r="G315" s="80" t="s">
        <v>222</v>
      </c>
      <c r="H315" s="80" t="s">
        <v>1137</v>
      </c>
      <c r="I315" s="78" t="s">
        <v>406</v>
      </c>
      <c r="J315" s="78" t="s">
        <v>13</v>
      </c>
      <c r="K315" s="80" t="s">
        <v>1337</v>
      </c>
      <c r="L315" s="7" t="str">
        <f>IF(BudgetsTable[[#This Row],[pi_last_name]]=" ","",HYPERLINK("https://www.ejacket.nsf.gov/ej/showProposal.do?Continue=Y&amp;ID="&amp;BudgetsTable[[#This Row],[prop_id]],BudgetsTable[[#This Row],[prop_id]]))</f>
        <v/>
      </c>
      <c r="M315" s="15" t="str">
        <f>IF(BudgetsTable[[#This Row],[pi_last_name]]=" ","",HYPERLINK("https://www.ejacket.nsf.gov/ej/processReviewAnalysis.do?dispatch=add&amp;uniqId="&amp;BudgetsTable[[#This Row],[prop_id]]&amp;PO_id,"&gt;ra"))</f>
        <v/>
      </c>
      <c r="N315" s="80" t="s">
        <v>13</v>
      </c>
      <c r="O315" s="7" t="str">
        <f>IF(BudgetsTable[[#This Row],[pi_last_name]]=" ","",HYPERLINK("mailto:"&amp;BudgetsTable[[#This Row],[pi_email]]&amp;"&amp;subject=Your NSF Proposal:  "&amp;BudgetsTable[[#This Row],[prop_id]],BudgetsTable[[#This Row],[pi_email]]))</f>
        <v/>
      </c>
      <c r="P315" s="80" t="s">
        <v>13</v>
      </c>
      <c r="Q315" s="80">
        <v>5</v>
      </c>
      <c r="R315" s="80">
        <v>8</v>
      </c>
      <c r="S315" s="81">
        <v>0</v>
      </c>
      <c r="T315" s="81">
        <v>2490</v>
      </c>
      <c r="U315" s="81">
        <v>18275</v>
      </c>
      <c r="V315" s="82">
        <v>500000</v>
      </c>
      <c r="W315" s="80">
        <v>0</v>
      </c>
      <c r="X315" s="80">
        <v>2</v>
      </c>
      <c r="Y315" s="11" t="str">
        <f ca="1">IF(ISBLANK(BudgetsTable[[#This Row],[budg_seq_yr]]),"FY"&amp;fiscalyear,"FY"&amp;fiscalyear-1+BudgetsTable[[#This Row],[budg_seq_yr]])</f>
        <v>FY19</v>
      </c>
      <c r="Z315" s="81">
        <v>500000</v>
      </c>
      <c r="AA315" s="80" t="s">
        <v>222</v>
      </c>
      <c r="AB315" s="80" t="s">
        <v>1137</v>
      </c>
      <c r="AC315" s="80" t="s">
        <v>1156</v>
      </c>
    </row>
    <row r="316" spans="1:29" x14ac:dyDescent="0.4">
      <c r="A316" s="10" t="s">
        <v>1337</v>
      </c>
      <c r="B316" s="78" t="s">
        <v>96</v>
      </c>
      <c r="C316" s="78">
        <f>C315+(BudgetsTable[[#This Row],[lead]]&lt;&gt;K315)</f>
        <v>60</v>
      </c>
      <c r="D316" s="78">
        <f>D315*(BudgetsTable[[#This Row],[lead]]=K315)+(BudgetsTable[[#This Row],[prop_id]]&lt;&gt;A315)</f>
        <v>1</v>
      </c>
      <c r="E316" s="79">
        <v>42809.665972222225</v>
      </c>
      <c r="F316" s="80" t="s">
        <v>1136</v>
      </c>
      <c r="G316" s="80" t="s">
        <v>222</v>
      </c>
      <c r="H316" s="80" t="s">
        <v>1137</v>
      </c>
      <c r="I316" s="78" t="s">
        <v>406</v>
      </c>
      <c r="J316" s="78" t="s">
        <v>13</v>
      </c>
      <c r="K316" s="80" t="s">
        <v>1337</v>
      </c>
      <c r="L316" s="7" t="str">
        <f>IF(BudgetsTable[[#This Row],[pi_last_name]]=" ","",HYPERLINK("https://www.ejacket.nsf.gov/ej/showProposal.do?Continue=Y&amp;ID="&amp;BudgetsTable[[#This Row],[prop_id]],BudgetsTable[[#This Row],[prop_id]]))</f>
        <v/>
      </c>
      <c r="M316" s="15" t="str">
        <f>IF(BudgetsTable[[#This Row],[pi_last_name]]=" ","",HYPERLINK("https://www.ejacket.nsf.gov/ej/processReviewAnalysis.do?dispatch=add&amp;uniqId="&amp;BudgetsTable[[#This Row],[prop_id]]&amp;PO_id,"&gt;ra"))</f>
        <v/>
      </c>
      <c r="N316" s="80" t="s">
        <v>13</v>
      </c>
      <c r="O316" s="7" t="str">
        <f>IF(BudgetsTable[[#This Row],[pi_last_name]]=" ","",HYPERLINK("mailto:"&amp;BudgetsTable[[#This Row],[pi_email]]&amp;"&amp;subject=Your NSF Proposal:  "&amp;BudgetsTable[[#This Row],[prop_id]],BudgetsTable[[#This Row],[pi_email]]))</f>
        <v/>
      </c>
      <c r="P316" s="80" t="s">
        <v>13</v>
      </c>
      <c r="Q316" s="80">
        <v>5</v>
      </c>
      <c r="R316" s="80">
        <v>8</v>
      </c>
      <c r="S316" s="81">
        <v>0</v>
      </c>
      <c r="T316" s="81">
        <v>0</v>
      </c>
      <c r="U316" s="81">
        <v>18275</v>
      </c>
      <c r="V316" s="82">
        <v>500000</v>
      </c>
      <c r="W316" s="80">
        <v>0</v>
      </c>
      <c r="X316" s="80">
        <v>3</v>
      </c>
      <c r="Y316" s="11" t="str">
        <f ca="1">IF(ISBLANK(BudgetsTable[[#This Row],[budg_seq_yr]]),"FY"&amp;fiscalyear,"FY"&amp;fiscalyear-1+BudgetsTable[[#This Row],[budg_seq_yr]])</f>
        <v>FY20</v>
      </c>
      <c r="Z316" s="81">
        <v>500000</v>
      </c>
      <c r="AA316" s="80" t="s">
        <v>222</v>
      </c>
      <c r="AB316" s="80" t="s">
        <v>1137</v>
      </c>
      <c r="AC316" s="80" t="s">
        <v>1156</v>
      </c>
    </row>
    <row r="317" spans="1:29" x14ac:dyDescent="0.4">
      <c r="A317" s="10" t="s">
        <v>1343</v>
      </c>
      <c r="B317" s="78" t="s">
        <v>96</v>
      </c>
      <c r="C317" s="78">
        <f>C316+(BudgetsTable[[#This Row],[lead]]&lt;&gt;K316)</f>
        <v>61</v>
      </c>
      <c r="D317" s="78">
        <f>D316*(BudgetsTable[[#This Row],[lead]]=K316)+(BudgetsTable[[#This Row],[prop_id]]&lt;&gt;A316)</f>
        <v>1</v>
      </c>
      <c r="E317" s="79">
        <v>42809.683333333334</v>
      </c>
      <c r="F317" s="80" t="s">
        <v>1136</v>
      </c>
      <c r="G317" s="80" t="s">
        <v>222</v>
      </c>
      <c r="H317" s="80" t="s">
        <v>1137</v>
      </c>
      <c r="I317" s="78" t="s">
        <v>451</v>
      </c>
      <c r="J317" s="78" t="s">
        <v>1347</v>
      </c>
      <c r="K317" s="80" t="s">
        <v>1343</v>
      </c>
      <c r="L317" s="7" t="str">
        <f>IF(BudgetsTable[[#This Row],[pi_last_name]]=" ","",HYPERLINK("https://www.ejacket.nsf.gov/ej/showProposal.do?Continue=Y&amp;ID="&amp;BudgetsTable[[#This Row],[prop_id]],BudgetsTable[[#This Row],[prop_id]]))</f>
        <v>1740822</v>
      </c>
      <c r="M317" s="15" t="str">
        <f>IF(BudgetsTable[[#This Row],[pi_last_name]]=" ","",HYPERLINK("https://www.ejacket.nsf.gov/ej/processReviewAnalysis.do?dispatch=add&amp;uniqId="&amp;BudgetsTable[[#This Row],[prop_id]]&amp;PO_id,"&gt;ra"))</f>
        <v>&gt;ra</v>
      </c>
      <c r="N317" s="80" t="s">
        <v>1344</v>
      </c>
      <c r="O317" s="7" t="str">
        <f>IF(BudgetsTable[[#This Row],[pi_last_name]]=" ","",HYPERLINK("mailto:"&amp;BudgetsTable[[#This Row],[pi_email]]&amp;"&amp;subject=Your NSF Proposal:  "&amp;BudgetsTable[[#This Row],[prop_id]],BudgetsTable[[#This Row],[pi_email]]))</f>
        <v>kilianweinberger@cornell.edu</v>
      </c>
      <c r="P317" s="80" t="s">
        <v>1346</v>
      </c>
      <c r="Q317" s="80"/>
      <c r="R317" s="80"/>
      <c r="S317" s="81"/>
      <c r="T317" s="81"/>
      <c r="U317" s="81"/>
      <c r="V317" s="82"/>
      <c r="W317" s="80">
        <v>1</v>
      </c>
      <c r="X317" s="80"/>
      <c r="Y317" s="11" t="str">
        <f ca="1">IF(ISBLANK(BudgetsTable[[#This Row],[budg_seq_yr]]),"FY"&amp;fiscalyear,"FY"&amp;fiscalyear-1+BudgetsTable[[#This Row],[budg_seq_yr]])</f>
        <v>FY18</v>
      </c>
      <c r="Z317" s="81">
        <v>1496655</v>
      </c>
      <c r="AA317" s="80" t="s">
        <v>222</v>
      </c>
      <c r="AB317" s="80" t="s">
        <v>1137</v>
      </c>
      <c r="AC317" s="80" t="s">
        <v>1142</v>
      </c>
    </row>
    <row r="318" spans="1:29" x14ac:dyDescent="0.4">
      <c r="A318" s="10" t="s">
        <v>1343</v>
      </c>
      <c r="B318" s="78" t="s">
        <v>96</v>
      </c>
      <c r="C318" s="78">
        <f>C317+(BudgetsTable[[#This Row],[lead]]&lt;&gt;K317)</f>
        <v>61</v>
      </c>
      <c r="D318" s="78">
        <f>D317*(BudgetsTable[[#This Row],[lead]]=K317)+(BudgetsTable[[#This Row],[prop_id]]&lt;&gt;A317)</f>
        <v>1</v>
      </c>
      <c r="E318" s="79">
        <v>42809.683333333334</v>
      </c>
      <c r="F318" s="80" t="s">
        <v>1136</v>
      </c>
      <c r="G318" s="80" t="s">
        <v>222</v>
      </c>
      <c r="H318" s="80" t="s">
        <v>1137</v>
      </c>
      <c r="I318" s="78" t="s">
        <v>451</v>
      </c>
      <c r="J318" s="78" t="s">
        <v>13</v>
      </c>
      <c r="K318" s="80" t="s">
        <v>1343</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80" t="s">
        <v>13</v>
      </c>
      <c r="O318" s="7" t="str">
        <f>IF(BudgetsTable[[#This Row],[pi_last_name]]=" ","",HYPERLINK("mailto:"&amp;BudgetsTable[[#This Row],[pi_email]]&amp;"&amp;subject=Your NSF Proposal:  "&amp;BudgetsTable[[#This Row],[prop_id]],BudgetsTable[[#This Row],[pi_email]]))</f>
        <v/>
      </c>
      <c r="P318" s="80" t="s">
        <v>13</v>
      </c>
      <c r="Q318" s="80">
        <v>0</v>
      </c>
      <c r="R318" s="80">
        <v>0</v>
      </c>
      <c r="S318" s="81">
        <v>182500</v>
      </c>
      <c r="T318" s="81">
        <v>0</v>
      </c>
      <c r="U318" s="81">
        <v>24000</v>
      </c>
      <c r="V318" s="82">
        <v>499068</v>
      </c>
      <c r="W318" s="80">
        <v>1</v>
      </c>
      <c r="X318" s="80">
        <v>1</v>
      </c>
      <c r="Y318" s="11" t="str">
        <f ca="1">IF(ISBLANK(BudgetsTable[[#This Row],[budg_seq_yr]]),"FY"&amp;fiscalyear,"FY"&amp;fiscalyear-1+BudgetsTable[[#This Row],[budg_seq_yr]])</f>
        <v>FY18</v>
      </c>
      <c r="Z318" s="81">
        <v>499068</v>
      </c>
      <c r="AA318" s="80" t="s">
        <v>222</v>
      </c>
      <c r="AB318" s="80" t="s">
        <v>1137</v>
      </c>
      <c r="AC318" s="80" t="s">
        <v>1142</v>
      </c>
    </row>
    <row r="319" spans="1:29" x14ac:dyDescent="0.4">
      <c r="A319" s="10" t="s">
        <v>1343</v>
      </c>
      <c r="B319" s="78" t="s">
        <v>96</v>
      </c>
      <c r="C319" s="78">
        <f>C318+(BudgetsTable[[#This Row],[lead]]&lt;&gt;K318)</f>
        <v>61</v>
      </c>
      <c r="D319" s="78">
        <f>D318*(BudgetsTable[[#This Row],[lead]]=K318)+(BudgetsTable[[#This Row],[prop_id]]&lt;&gt;A318)</f>
        <v>1</v>
      </c>
      <c r="E319" s="79">
        <v>42809.683333333334</v>
      </c>
      <c r="F319" s="80" t="s">
        <v>1136</v>
      </c>
      <c r="G319" s="80" t="s">
        <v>222</v>
      </c>
      <c r="H319" s="80" t="s">
        <v>1137</v>
      </c>
      <c r="I319" s="78" t="s">
        <v>451</v>
      </c>
      <c r="J319" s="78" t="s">
        <v>13</v>
      </c>
      <c r="K319" s="80" t="s">
        <v>1343</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80" t="s">
        <v>13</v>
      </c>
      <c r="O319" s="7" t="str">
        <f>IF(BudgetsTable[[#This Row],[pi_last_name]]=" ","",HYPERLINK("mailto:"&amp;BudgetsTable[[#This Row],[pi_email]]&amp;"&amp;subject=Your NSF Proposal:  "&amp;BudgetsTable[[#This Row],[prop_id]],BudgetsTable[[#This Row],[pi_email]]))</f>
        <v/>
      </c>
      <c r="P319" s="80" t="s">
        <v>13</v>
      </c>
      <c r="Q319" s="80">
        <v>0</v>
      </c>
      <c r="R319" s="80">
        <v>0</v>
      </c>
      <c r="S319" s="81">
        <v>206000</v>
      </c>
      <c r="T319" s="81">
        <v>0</v>
      </c>
      <c r="U319" s="81">
        <v>0</v>
      </c>
      <c r="V319" s="82">
        <v>498691</v>
      </c>
      <c r="W319" s="80">
        <v>1</v>
      </c>
      <c r="X319" s="80">
        <v>2</v>
      </c>
      <c r="Y319" s="11" t="str">
        <f ca="1">IF(ISBLANK(BudgetsTable[[#This Row],[budg_seq_yr]]),"FY"&amp;fiscalyear,"FY"&amp;fiscalyear-1+BudgetsTable[[#This Row],[budg_seq_yr]])</f>
        <v>FY19</v>
      </c>
      <c r="Z319" s="81">
        <v>498691</v>
      </c>
      <c r="AA319" s="80" t="s">
        <v>222</v>
      </c>
      <c r="AB319" s="80" t="s">
        <v>1137</v>
      </c>
      <c r="AC319" s="80" t="s">
        <v>1142</v>
      </c>
    </row>
    <row r="320" spans="1:29" x14ac:dyDescent="0.4">
      <c r="A320" s="10" t="s">
        <v>1343</v>
      </c>
      <c r="B320" s="78" t="s">
        <v>96</v>
      </c>
      <c r="C320" s="78">
        <f>C319+(BudgetsTable[[#This Row],[lead]]&lt;&gt;K319)</f>
        <v>61</v>
      </c>
      <c r="D320" s="78">
        <f>D319*(BudgetsTable[[#This Row],[lead]]=K319)+(BudgetsTable[[#This Row],[prop_id]]&lt;&gt;A319)</f>
        <v>1</v>
      </c>
      <c r="E320" s="79">
        <v>42809.683333333334</v>
      </c>
      <c r="F320" s="80" t="s">
        <v>1136</v>
      </c>
      <c r="G320" s="80" t="s">
        <v>222</v>
      </c>
      <c r="H320" s="80" t="s">
        <v>1137</v>
      </c>
      <c r="I320" s="78" t="s">
        <v>451</v>
      </c>
      <c r="J320" s="78" t="s">
        <v>13</v>
      </c>
      <c r="K320" s="80" t="s">
        <v>1343</v>
      </c>
      <c r="L320" s="7" t="str">
        <f>IF(BudgetsTable[[#This Row],[pi_last_name]]=" ","",HYPERLINK("https://www.ejacket.nsf.gov/ej/showProposal.do?Continue=Y&amp;ID="&amp;BudgetsTable[[#This Row],[prop_id]],BudgetsTable[[#This Row],[prop_id]]))</f>
        <v/>
      </c>
      <c r="M320" s="15" t="str">
        <f>IF(BudgetsTable[[#This Row],[pi_last_name]]=" ","",HYPERLINK("https://www.ejacket.nsf.gov/ej/processReviewAnalysis.do?dispatch=add&amp;uniqId="&amp;BudgetsTable[[#This Row],[prop_id]]&amp;PO_id,"&gt;ra"))</f>
        <v/>
      </c>
      <c r="N320" s="80" t="s">
        <v>13</v>
      </c>
      <c r="O320" s="7" t="str">
        <f>IF(BudgetsTable[[#This Row],[pi_last_name]]=" ","",HYPERLINK("mailto:"&amp;BudgetsTable[[#This Row],[pi_email]]&amp;"&amp;subject=Your NSF Proposal:  "&amp;BudgetsTable[[#This Row],[prop_id]],BudgetsTable[[#This Row],[pi_email]]))</f>
        <v/>
      </c>
      <c r="P320" s="80" t="s">
        <v>13</v>
      </c>
      <c r="Q320" s="80">
        <v>0</v>
      </c>
      <c r="R320" s="80">
        <v>0</v>
      </c>
      <c r="S320" s="81">
        <v>212180</v>
      </c>
      <c r="T320" s="81">
        <v>0</v>
      </c>
      <c r="U320" s="81">
        <v>0</v>
      </c>
      <c r="V320" s="82">
        <v>498896</v>
      </c>
      <c r="W320" s="80">
        <v>1</v>
      </c>
      <c r="X320" s="80">
        <v>3</v>
      </c>
      <c r="Y320" s="11" t="str">
        <f ca="1">IF(ISBLANK(BudgetsTable[[#This Row],[budg_seq_yr]]),"FY"&amp;fiscalyear,"FY"&amp;fiscalyear-1+BudgetsTable[[#This Row],[budg_seq_yr]])</f>
        <v>FY20</v>
      </c>
      <c r="Z320" s="81">
        <v>498896</v>
      </c>
      <c r="AA320" s="80" t="s">
        <v>222</v>
      </c>
      <c r="AB320" s="80" t="s">
        <v>1137</v>
      </c>
      <c r="AC320" s="80" t="s">
        <v>1142</v>
      </c>
    </row>
    <row r="321" spans="1:29" x14ac:dyDescent="0.4">
      <c r="A321" s="10" t="s">
        <v>1350</v>
      </c>
      <c r="B321" s="78" t="s">
        <v>96</v>
      </c>
      <c r="C321" s="78">
        <f>C320+(BudgetsTable[[#This Row],[lead]]&lt;&gt;K320)</f>
        <v>62</v>
      </c>
      <c r="D321" s="78">
        <f>D320*(BudgetsTable[[#This Row],[lead]]=K320)+(BudgetsTable[[#This Row],[prop_id]]&lt;&gt;A320)</f>
        <v>1</v>
      </c>
      <c r="E321" s="79">
        <v>42809.688888888886</v>
      </c>
      <c r="F321" s="80" t="s">
        <v>1136</v>
      </c>
      <c r="G321" s="80" t="s">
        <v>222</v>
      </c>
      <c r="H321" s="80" t="s">
        <v>1137</v>
      </c>
      <c r="I321" s="78" t="s">
        <v>406</v>
      </c>
      <c r="J321" s="78" t="s">
        <v>1353</v>
      </c>
      <c r="K321" s="80" t="s">
        <v>1350</v>
      </c>
      <c r="L321" s="7" t="str">
        <f>IF(BudgetsTable[[#This Row],[pi_last_name]]=" ","",HYPERLINK("https://www.ejacket.nsf.gov/ej/showProposal.do?Continue=Y&amp;ID="&amp;BudgetsTable[[#This Row],[prop_id]],BudgetsTable[[#This Row],[prop_id]]))</f>
        <v>1740825</v>
      </c>
      <c r="M321" s="15" t="str">
        <f>IF(BudgetsTable[[#This Row],[pi_last_name]]=" ","",HYPERLINK("https://www.ejacket.nsf.gov/ej/processReviewAnalysis.do?dispatch=add&amp;uniqId="&amp;BudgetsTable[[#This Row],[prop_id]]&amp;PO_id,"&gt;ra"))</f>
        <v>&gt;ra</v>
      </c>
      <c r="N321" s="80" t="s">
        <v>1351</v>
      </c>
      <c r="O321" s="7" t="str">
        <f>IF(BudgetsTable[[#This Row],[pi_last_name]]=" ","",HYPERLINK("mailto:"&amp;BudgetsTable[[#This Row],[pi_email]]&amp;"&amp;subject=Your NSF Proposal:  "&amp;BudgetsTable[[#This Row],[prop_id]],BudgetsTable[[#This Row],[pi_email]]))</f>
        <v>cfg3@nyu.edu</v>
      </c>
      <c r="P321" s="80" t="s">
        <v>1329</v>
      </c>
      <c r="Q321" s="80"/>
      <c r="R321" s="80"/>
      <c r="S321" s="81"/>
      <c r="T321" s="81"/>
      <c r="U321" s="81"/>
      <c r="V321" s="82"/>
      <c r="W321" s="80">
        <v>0</v>
      </c>
      <c r="X321" s="80"/>
      <c r="Y321" s="11" t="str">
        <f ca="1">IF(ISBLANK(BudgetsTable[[#This Row],[budg_seq_yr]]),"FY"&amp;fiscalyear,"FY"&amp;fiscalyear-1+BudgetsTable[[#This Row],[budg_seq_yr]])</f>
        <v>FY18</v>
      </c>
      <c r="Z321" s="81">
        <v>1473414</v>
      </c>
      <c r="AA321" s="80" t="s">
        <v>222</v>
      </c>
      <c r="AB321" s="80" t="s">
        <v>1137</v>
      </c>
      <c r="AC321" s="80" t="s">
        <v>1176</v>
      </c>
    </row>
    <row r="322" spans="1:29" x14ac:dyDescent="0.4">
      <c r="A322" s="10" t="s">
        <v>1350</v>
      </c>
      <c r="B322" s="78" t="s">
        <v>96</v>
      </c>
      <c r="C322" s="78">
        <f>C321+(BudgetsTable[[#This Row],[lead]]&lt;&gt;K321)</f>
        <v>62</v>
      </c>
      <c r="D322" s="78">
        <f>D321*(BudgetsTable[[#This Row],[lead]]=K321)+(BudgetsTable[[#This Row],[prop_id]]&lt;&gt;A321)</f>
        <v>1</v>
      </c>
      <c r="E322" s="79">
        <v>42809.688888888886</v>
      </c>
      <c r="F322" s="80" t="s">
        <v>1136</v>
      </c>
      <c r="G322" s="80" t="s">
        <v>222</v>
      </c>
      <c r="H322" s="80" t="s">
        <v>1137</v>
      </c>
      <c r="I322" s="78" t="s">
        <v>406</v>
      </c>
      <c r="J322" s="78" t="s">
        <v>13</v>
      </c>
      <c r="K322" s="80" t="s">
        <v>1350</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80" t="s">
        <v>13</v>
      </c>
      <c r="O322" s="7" t="str">
        <f>IF(BudgetsTable[[#This Row],[pi_last_name]]=" ","",HYPERLINK("mailto:"&amp;BudgetsTable[[#This Row],[pi_email]]&amp;"&amp;subject=Your NSF Proposal:  "&amp;BudgetsTable[[#This Row],[prop_id]],BudgetsTable[[#This Row],[pi_email]]))</f>
        <v/>
      </c>
      <c r="P322" s="80" t="s">
        <v>13</v>
      </c>
      <c r="Q322" s="80">
        <v>4</v>
      </c>
      <c r="R322" s="80">
        <v>3.6</v>
      </c>
      <c r="S322" s="81">
        <v>97500</v>
      </c>
      <c r="T322" s="81">
        <v>0</v>
      </c>
      <c r="U322" s="81">
        <v>40000</v>
      </c>
      <c r="V322" s="82">
        <v>481374</v>
      </c>
      <c r="W322" s="80">
        <v>0</v>
      </c>
      <c r="X322" s="80">
        <v>1</v>
      </c>
      <c r="Y322" s="11" t="str">
        <f ca="1">IF(ISBLANK(BudgetsTable[[#This Row],[budg_seq_yr]]),"FY"&amp;fiscalyear,"FY"&amp;fiscalyear-1+BudgetsTable[[#This Row],[budg_seq_yr]])</f>
        <v>FY18</v>
      </c>
      <c r="Z322" s="81">
        <v>481374</v>
      </c>
      <c r="AA322" s="80" t="s">
        <v>222</v>
      </c>
      <c r="AB322" s="80" t="s">
        <v>1137</v>
      </c>
      <c r="AC322" s="80" t="s">
        <v>1176</v>
      </c>
    </row>
    <row r="323" spans="1:29" x14ac:dyDescent="0.4">
      <c r="A323" s="10" t="s">
        <v>1350</v>
      </c>
      <c r="B323" s="78" t="s">
        <v>96</v>
      </c>
      <c r="C323" s="78">
        <f>C322+(BudgetsTable[[#This Row],[lead]]&lt;&gt;K322)</f>
        <v>62</v>
      </c>
      <c r="D323" s="78">
        <f>D322*(BudgetsTable[[#This Row],[lead]]=K322)+(BudgetsTable[[#This Row],[prop_id]]&lt;&gt;A322)</f>
        <v>1</v>
      </c>
      <c r="E323" s="79">
        <v>42809.688888888886</v>
      </c>
      <c r="F323" s="80" t="s">
        <v>1136</v>
      </c>
      <c r="G323" s="80" t="s">
        <v>222</v>
      </c>
      <c r="H323" s="80" t="s">
        <v>1137</v>
      </c>
      <c r="I323" s="78" t="s">
        <v>406</v>
      </c>
      <c r="J323" s="78" t="s">
        <v>13</v>
      </c>
      <c r="K323" s="80" t="s">
        <v>1350</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80" t="s">
        <v>13</v>
      </c>
      <c r="O323" s="7" t="str">
        <f>IF(BudgetsTable[[#This Row],[pi_last_name]]=" ","",HYPERLINK("mailto:"&amp;BudgetsTable[[#This Row],[pi_email]]&amp;"&amp;subject=Your NSF Proposal:  "&amp;BudgetsTable[[#This Row],[prop_id]],BudgetsTable[[#This Row],[pi_email]]))</f>
        <v/>
      </c>
      <c r="P323" s="80" t="s">
        <v>13</v>
      </c>
      <c r="Q323" s="80">
        <v>4</v>
      </c>
      <c r="R323" s="80">
        <v>3.6</v>
      </c>
      <c r="S323" s="81">
        <v>99938</v>
      </c>
      <c r="T323" s="81">
        <v>0</v>
      </c>
      <c r="U323" s="81">
        <v>40000</v>
      </c>
      <c r="V323" s="82">
        <v>492407</v>
      </c>
      <c r="W323" s="80">
        <v>0</v>
      </c>
      <c r="X323" s="80">
        <v>2</v>
      </c>
      <c r="Y323" s="11" t="str">
        <f ca="1">IF(ISBLANK(BudgetsTable[[#This Row],[budg_seq_yr]]),"FY"&amp;fiscalyear,"FY"&amp;fiscalyear-1+BudgetsTable[[#This Row],[budg_seq_yr]])</f>
        <v>FY19</v>
      </c>
      <c r="Z323" s="81">
        <v>492407</v>
      </c>
      <c r="AA323" s="80" t="s">
        <v>222</v>
      </c>
      <c r="AB323" s="80" t="s">
        <v>1137</v>
      </c>
      <c r="AC323" s="80" t="s">
        <v>1176</v>
      </c>
    </row>
    <row r="324" spans="1:29" x14ac:dyDescent="0.4">
      <c r="A324" s="10" t="s">
        <v>1350</v>
      </c>
      <c r="B324" s="78" t="s">
        <v>96</v>
      </c>
      <c r="C324" s="78">
        <f>C323+(BudgetsTable[[#This Row],[lead]]&lt;&gt;K323)</f>
        <v>62</v>
      </c>
      <c r="D324" s="78">
        <f>D323*(BudgetsTable[[#This Row],[lead]]=K323)+(BudgetsTable[[#This Row],[prop_id]]&lt;&gt;A323)</f>
        <v>1</v>
      </c>
      <c r="E324" s="79">
        <v>42809.688888888886</v>
      </c>
      <c r="F324" s="80" t="s">
        <v>1136</v>
      </c>
      <c r="G324" s="80" t="s">
        <v>222</v>
      </c>
      <c r="H324" s="80" t="s">
        <v>1137</v>
      </c>
      <c r="I324" s="78" t="s">
        <v>406</v>
      </c>
      <c r="J324" s="78" t="s">
        <v>13</v>
      </c>
      <c r="K324" s="80" t="s">
        <v>1350</v>
      </c>
      <c r="L324" s="7" t="str">
        <f>IF(BudgetsTable[[#This Row],[pi_last_name]]=" ","",HYPERLINK("https://www.ejacket.nsf.gov/ej/showProposal.do?Continue=Y&amp;ID="&amp;BudgetsTable[[#This Row],[prop_id]],BudgetsTable[[#This Row],[prop_id]]))</f>
        <v/>
      </c>
      <c r="M324" s="15" t="str">
        <f>IF(BudgetsTable[[#This Row],[pi_last_name]]=" ","",HYPERLINK("https://www.ejacket.nsf.gov/ej/processReviewAnalysis.do?dispatch=add&amp;uniqId="&amp;BudgetsTable[[#This Row],[prop_id]]&amp;PO_id,"&gt;ra"))</f>
        <v/>
      </c>
      <c r="N324" s="80" t="s">
        <v>13</v>
      </c>
      <c r="O324" s="7" t="str">
        <f>IF(BudgetsTable[[#This Row],[pi_last_name]]=" ","",HYPERLINK("mailto:"&amp;BudgetsTable[[#This Row],[pi_email]]&amp;"&amp;subject=Your NSF Proposal:  "&amp;BudgetsTable[[#This Row],[prop_id]],BudgetsTable[[#This Row],[pi_email]]))</f>
        <v/>
      </c>
      <c r="P324" s="80" t="s">
        <v>13</v>
      </c>
      <c r="Q324" s="80">
        <v>4</v>
      </c>
      <c r="R324" s="80">
        <v>3.48</v>
      </c>
      <c r="S324" s="81">
        <v>102437</v>
      </c>
      <c r="T324" s="81">
        <v>0</v>
      </c>
      <c r="U324" s="81">
        <v>40000</v>
      </c>
      <c r="V324" s="82">
        <v>499633</v>
      </c>
      <c r="W324" s="80">
        <v>0</v>
      </c>
      <c r="X324" s="80">
        <v>3</v>
      </c>
      <c r="Y324" s="11" t="str">
        <f ca="1">IF(ISBLANK(BudgetsTable[[#This Row],[budg_seq_yr]]),"FY"&amp;fiscalyear,"FY"&amp;fiscalyear-1+BudgetsTable[[#This Row],[budg_seq_yr]])</f>
        <v>FY20</v>
      </c>
      <c r="Z324" s="81">
        <v>499633</v>
      </c>
      <c r="AA324" s="80" t="s">
        <v>222</v>
      </c>
      <c r="AB324" s="80" t="s">
        <v>1137</v>
      </c>
      <c r="AC324" s="80" t="s">
        <v>1176</v>
      </c>
    </row>
    <row r="325" spans="1:29" x14ac:dyDescent="0.4">
      <c r="A325" s="10" t="s">
        <v>1356</v>
      </c>
      <c r="B325" s="78" t="s">
        <v>96</v>
      </c>
      <c r="C325" s="78">
        <f>C324+(BudgetsTable[[#This Row],[lead]]&lt;&gt;K324)</f>
        <v>63</v>
      </c>
      <c r="D325" s="78">
        <f>D324*(BudgetsTable[[#This Row],[lead]]=K324)+(BudgetsTable[[#This Row],[prop_id]]&lt;&gt;A324)</f>
        <v>1</v>
      </c>
      <c r="E325" s="79">
        <v>42809.693749999999</v>
      </c>
      <c r="F325" s="80" t="s">
        <v>1136</v>
      </c>
      <c r="G325" s="80" t="s">
        <v>222</v>
      </c>
      <c r="H325" s="80" t="s">
        <v>1137</v>
      </c>
      <c r="I325" s="78" t="s">
        <v>406</v>
      </c>
      <c r="J325" s="78" t="s">
        <v>1358</v>
      </c>
      <c r="K325" s="80" t="s">
        <v>1356</v>
      </c>
      <c r="L325" s="7" t="str">
        <f>IF(BudgetsTable[[#This Row],[pi_last_name]]=" ","",HYPERLINK("https://www.ejacket.nsf.gov/ej/showProposal.do?Continue=Y&amp;ID="&amp;BudgetsTable[[#This Row],[prop_id]],BudgetsTable[[#This Row],[prop_id]]))</f>
        <v>1740828</v>
      </c>
      <c r="M325" s="15" t="str">
        <f>IF(BudgetsTable[[#This Row],[pi_last_name]]=" ","",HYPERLINK("https://www.ejacket.nsf.gov/ej/processReviewAnalysis.do?dispatch=add&amp;uniqId="&amp;BudgetsTable[[#This Row],[prop_id]]&amp;PO_id,"&gt;ra"))</f>
        <v>&gt;ra</v>
      </c>
      <c r="N325" s="80" t="s">
        <v>1357</v>
      </c>
      <c r="O325" s="7" t="str">
        <f>IF(BudgetsTable[[#This Row],[pi_last_name]]=" ","",HYPERLINK("mailto:"&amp;BudgetsTable[[#This Row],[pi_email]]&amp;"&amp;subject=Your NSF Proposal:  "&amp;BudgetsTable[[#This Row],[prop_id]],BudgetsTable[[#This Row],[pi_email]]))</f>
        <v>mcgregor@cs.umass.edu</v>
      </c>
      <c r="P325" s="80" t="s">
        <v>1075</v>
      </c>
      <c r="Q325" s="80"/>
      <c r="R325" s="80"/>
      <c r="S325" s="81"/>
      <c r="T325" s="81"/>
      <c r="U325" s="81"/>
      <c r="V325" s="82"/>
      <c r="W325" s="80">
        <v>0</v>
      </c>
      <c r="X325" s="80"/>
      <c r="Y325" s="11" t="str">
        <f ca="1">IF(ISBLANK(BudgetsTable[[#This Row],[budg_seq_yr]]),"FY"&amp;fiscalyear,"FY"&amp;fiscalyear-1+BudgetsTable[[#This Row],[budg_seq_yr]])</f>
        <v>FY18</v>
      </c>
      <c r="Z325" s="81">
        <v>1499733</v>
      </c>
      <c r="AA325" s="80" t="s">
        <v>222</v>
      </c>
      <c r="AB325" s="80" t="s">
        <v>1137</v>
      </c>
      <c r="AC325" s="80" t="s">
        <v>1142</v>
      </c>
    </row>
    <row r="326" spans="1:29" x14ac:dyDescent="0.4">
      <c r="A326" s="10" t="s">
        <v>1356</v>
      </c>
      <c r="B326" s="78" t="s">
        <v>96</v>
      </c>
      <c r="C326" s="78">
        <f>C325+(BudgetsTable[[#This Row],[lead]]&lt;&gt;K325)</f>
        <v>63</v>
      </c>
      <c r="D326" s="78">
        <f>D325*(BudgetsTable[[#This Row],[lead]]=K325)+(BudgetsTable[[#This Row],[prop_id]]&lt;&gt;A325)</f>
        <v>1</v>
      </c>
      <c r="E326" s="79">
        <v>42809.693749999999</v>
      </c>
      <c r="F326" s="80" t="s">
        <v>1136</v>
      </c>
      <c r="G326" s="80" t="s">
        <v>222</v>
      </c>
      <c r="H326" s="80" t="s">
        <v>1137</v>
      </c>
      <c r="I326" s="78" t="s">
        <v>406</v>
      </c>
      <c r="J326" s="78" t="s">
        <v>13</v>
      </c>
      <c r="K326" s="80" t="s">
        <v>1356</v>
      </c>
      <c r="L326" s="7" t="str">
        <f>IF(BudgetsTable[[#This Row],[pi_last_name]]=" ","",HYPERLINK("https://www.ejacket.nsf.gov/ej/showProposal.do?Continue=Y&amp;ID="&amp;BudgetsTable[[#This Row],[prop_id]],BudgetsTable[[#This Row],[prop_id]]))</f>
        <v/>
      </c>
      <c r="M326" s="15" t="str">
        <f>IF(BudgetsTable[[#This Row],[pi_last_name]]=" ","",HYPERLINK("https://www.ejacket.nsf.gov/ej/processReviewAnalysis.do?dispatch=add&amp;uniqId="&amp;BudgetsTable[[#This Row],[prop_id]]&amp;PO_id,"&gt;ra"))</f>
        <v/>
      </c>
      <c r="N326" s="80" t="s">
        <v>13</v>
      </c>
      <c r="O326" s="7" t="str">
        <f>IF(BudgetsTable[[#This Row],[pi_last_name]]=" ","",HYPERLINK("mailto:"&amp;BudgetsTable[[#This Row],[pi_email]]&amp;"&amp;subject=Your NSF Proposal:  "&amp;BudgetsTable[[#This Row],[prop_id]],BudgetsTable[[#This Row],[pi_email]]))</f>
        <v/>
      </c>
      <c r="P326" s="80" t="s">
        <v>13</v>
      </c>
      <c r="Q326" s="80">
        <v>5</v>
      </c>
      <c r="R326" s="80">
        <v>5</v>
      </c>
      <c r="S326" s="81">
        <v>175000</v>
      </c>
      <c r="T326" s="81">
        <v>0</v>
      </c>
      <c r="U326" s="81">
        <v>33000</v>
      </c>
      <c r="V326" s="82">
        <v>499933</v>
      </c>
      <c r="W326" s="80">
        <v>0</v>
      </c>
      <c r="X326" s="80">
        <v>1</v>
      </c>
      <c r="Y326" s="11" t="str">
        <f ca="1">IF(ISBLANK(BudgetsTable[[#This Row],[budg_seq_yr]]),"FY"&amp;fiscalyear,"FY"&amp;fiscalyear-1+BudgetsTable[[#This Row],[budg_seq_yr]])</f>
        <v>FY18</v>
      </c>
      <c r="Z326" s="81">
        <v>499933</v>
      </c>
      <c r="AA326" s="80" t="s">
        <v>222</v>
      </c>
      <c r="AB326" s="80" t="s">
        <v>1137</v>
      </c>
      <c r="AC326" s="80" t="s">
        <v>1142</v>
      </c>
    </row>
    <row r="327" spans="1:29" x14ac:dyDescent="0.4">
      <c r="A327" s="10" t="s">
        <v>1356</v>
      </c>
      <c r="B327" s="78" t="s">
        <v>96</v>
      </c>
      <c r="C327" s="78">
        <f>C326+(BudgetsTable[[#This Row],[lead]]&lt;&gt;K326)</f>
        <v>63</v>
      </c>
      <c r="D327" s="78">
        <f>D326*(BudgetsTable[[#This Row],[lead]]=K326)+(BudgetsTable[[#This Row],[prop_id]]&lt;&gt;A326)</f>
        <v>1</v>
      </c>
      <c r="E327" s="79">
        <v>42809.693749999999</v>
      </c>
      <c r="F327" s="80" t="s">
        <v>1136</v>
      </c>
      <c r="G327" s="80" t="s">
        <v>222</v>
      </c>
      <c r="H327" s="80" t="s">
        <v>1137</v>
      </c>
      <c r="I327" s="78" t="s">
        <v>406</v>
      </c>
      <c r="J327" s="78" t="s">
        <v>13</v>
      </c>
      <c r="K327" s="80" t="s">
        <v>1356</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80" t="s">
        <v>13</v>
      </c>
      <c r="O327" s="7" t="str">
        <f>IF(BudgetsTable[[#This Row],[pi_last_name]]=" ","",HYPERLINK("mailto:"&amp;BudgetsTable[[#This Row],[pi_email]]&amp;"&amp;subject=Your NSF Proposal:  "&amp;BudgetsTable[[#This Row],[prop_id]],BudgetsTable[[#This Row],[pi_email]]))</f>
        <v/>
      </c>
      <c r="P327" s="80" t="s">
        <v>13</v>
      </c>
      <c r="Q327" s="80">
        <v>5</v>
      </c>
      <c r="R327" s="80">
        <v>5</v>
      </c>
      <c r="S327" s="81">
        <v>181125</v>
      </c>
      <c r="T327" s="81">
        <v>0</v>
      </c>
      <c r="U327" s="81">
        <v>24000</v>
      </c>
      <c r="V327" s="82">
        <v>499834</v>
      </c>
      <c r="W327" s="80">
        <v>0</v>
      </c>
      <c r="X327" s="80">
        <v>2</v>
      </c>
      <c r="Y327" s="11" t="str">
        <f ca="1">IF(ISBLANK(BudgetsTable[[#This Row],[budg_seq_yr]]),"FY"&amp;fiscalyear,"FY"&amp;fiscalyear-1+BudgetsTable[[#This Row],[budg_seq_yr]])</f>
        <v>FY19</v>
      </c>
      <c r="Z327" s="81">
        <v>499834</v>
      </c>
      <c r="AA327" s="80" t="s">
        <v>222</v>
      </c>
      <c r="AB327" s="80" t="s">
        <v>1137</v>
      </c>
      <c r="AC327" s="80" t="s">
        <v>1142</v>
      </c>
    </row>
    <row r="328" spans="1:29" x14ac:dyDescent="0.4">
      <c r="A328" s="10" t="s">
        <v>1356</v>
      </c>
      <c r="B328" s="78" t="s">
        <v>96</v>
      </c>
      <c r="C328" s="78">
        <f>C327+(BudgetsTable[[#This Row],[lead]]&lt;&gt;K327)</f>
        <v>63</v>
      </c>
      <c r="D328" s="78">
        <f>D327*(BudgetsTable[[#This Row],[lead]]=K327)+(BudgetsTable[[#This Row],[prop_id]]&lt;&gt;A327)</f>
        <v>1</v>
      </c>
      <c r="E328" s="79">
        <v>42809.693749999999</v>
      </c>
      <c r="F328" s="80" t="s">
        <v>1136</v>
      </c>
      <c r="G328" s="80" t="s">
        <v>222</v>
      </c>
      <c r="H328" s="80" t="s">
        <v>1137</v>
      </c>
      <c r="I328" s="78" t="s">
        <v>406</v>
      </c>
      <c r="J328" s="78" t="s">
        <v>13</v>
      </c>
      <c r="K328" s="80" t="s">
        <v>1356</v>
      </c>
      <c r="L328" s="7" t="str">
        <f>IF(BudgetsTable[[#This Row],[pi_last_name]]=" ","",HYPERLINK("https://www.ejacket.nsf.gov/ej/showProposal.do?Continue=Y&amp;ID="&amp;BudgetsTable[[#This Row],[prop_id]],BudgetsTable[[#This Row],[prop_id]]))</f>
        <v/>
      </c>
      <c r="M328" s="15" t="str">
        <f>IF(BudgetsTable[[#This Row],[pi_last_name]]=" ","",HYPERLINK("https://www.ejacket.nsf.gov/ej/processReviewAnalysis.do?dispatch=add&amp;uniqId="&amp;BudgetsTable[[#This Row],[prop_id]]&amp;PO_id,"&gt;ra"))</f>
        <v/>
      </c>
      <c r="N328" s="80" t="s">
        <v>13</v>
      </c>
      <c r="O328" s="7" t="str">
        <f>IF(BudgetsTable[[#This Row],[pi_last_name]]=" ","",HYPERLINK("mailto:"&amp;BudgetsTable[[#This Row],[pi_email]]&amp;"&amp;subject=Your NSF Proposal:  "&amp;BudgetsTable[[#This Row],[prop_id]],BudgetsTable[[#This Row],[pi_email]]))</f>
        <v/>
      </c>
      <c r="P328" s="80" t="s">
        <v>13</v>
      </c>
      <c r="Q328" s="80">
        <v>5</v>
      </c>
      <c r="R328" s="80">
        <v>4.5</v>
      </c>
      <c r="S328" s="81">
        <v>187464</v>
      </c>
      <c r="T328" s="81">
        <v>0</v>
      </c>
      <c r="U328" s="81">
        <v>21000</v>
      </c>
      <c r="V328" s="82">
        <v>499966</v>
      </c>
      <c r="W328" s="80">
        <v>0</v>
      </c>
      <c r="X328" s="80">
        <v>3</v>
      </c>
      <c r="Y328" s="11" t="str">
        <f ca="1">IF(ISBLANK(BudgetsTable[[#This Row],[budg_seq_yr]]),"FY"&amp;fiscalyear,"FY"&amp;fiscalyear-1+BudgetsTable[[#This Row],[budg_seq_yr]])</f>
        <v>FY20</v>
      </c>
      <c r="Z328" s="81">
        <v>499966</v>
      </c>
      <c r="AA328" s="80" t="s">
        <v>222</v>
      </c>
      <c r="AB328" s="80" t="s">
        <v>1137</v>
      </c>
      <c r="AC328" s="80" t="s">
        <v>1142</v>
      </c>
    </row>
    <row r="329" spans="1:29" x14ac:dyDescent="0.4">
      <c r="A329" s="10" t="s">
        <v>1360</v>
      </c>
      <c r="B329" s="78" t="s">
        <v>96</v>
      </c>
      <c r="C329" s="78">
        <f>C328+(BudgetsTable[[#This Row],[lead]]&lt;&gt;K328)</f>
        <v>64</v>
      </c>
      <c r="D329" s="78">
        <f>D328*(BudgetsTable[[#This Row],[lead]]=K328)+(BudgetsTable[[#This Row],[prop_id]]&lt;&gt;A328)</f>
        <v>1</v>
      </c>
      <c r="E329" s="79">
        <v>42809.695138888892</v>
      </c>
      <c r="F329" s="80" t="s">
        <v>1136</v>
      </c>
      <c r="G329" s="80" t="s">
        <v>222</v>
      </c>
      <c r="H329" s="80" t="s">
        <v>1137</v>
      </c>
      <c r="I329" s="78" t="s">
        <v>406</v>
      </c>
      <c r="J329" s="78" t="s">
        <v>1364</v>
      </c>
      <c r="K329" s="80" t="s">
        <v>1360</v>
      </c>
      <c r="L329" s="7" t="str">
        <f>IF(BudgetsTable[[#This Row],[pi_last_name]]=" ","",HYPERLINK("https://www.ejacket.nsf.gov/ej/showProposal.do?Continue=Y&amp;ID="&amp;BudgetsTable[[#This Row],[prop_id]],BudgetsTable[[#This Row],[prop_id]]))</f>
        <v>1740829</v>
      </c>
      <c r="M329" s="15" t="str">
        <f>IF(BudgetsTable[[#This Row],[pi_last_name]]=" ","",HYPERLINK("https://www.ejacket.nsf.gov/ej/processReviewAnalysis.do?dispatch=add&amp;uniqId="&amp;BudgetsTable[[#This Row],[prop_id]]&amp;PO_id,"&gt;ra"))</f>
        <v>&gt;ra</v>
      </c>
      <c r="N329" s="80" t="s">
        <v>1361</v>
      </c>
      <c r="O329" s="7" t="str">
        <f>IF(BudgetsTable[[#This Row],[pi_last_name]]=" ","",HYPERLINK("mailto:"&amp;BudgetsTable[[#This Row],[pi_email]]&amp;"&amp;subject=Your NSF Proposal:  "&amp;BudgetsTable[[#This Row],[prop_id]],BudgetsTable[[#This Row],[pi_email]]))</f>
        <v>plahiri@umd.edu</v>
      </c>
      <c r="P329" s="80" t="s">
        <v>1363</v>
      </c>
      <c r="Q329" s="80"/>
      <c r="R329" s="80"/>
      <c r="S329" s="81"/>
      <c r="T329" s="81"/>
      <c r="U329" s="81"/>
      <c r="V329" s="82"/>
      <c r="W329" s="80">
        <v>0</v>
      </c>
      <c r="X329" s="80"/>
      <c r="Y329" s="11" t="str">
        <f ca="1">IF(ISBLANK(BudgetsTable[[#This Row],[budg_seq_yr]]),"FY"&amp;fiscalyear,"FY"&amp;fiscalyear-1+BudgetsTable[[#This Row],[budg_seq_yr]])</f>
        <v>FY18</v>
      </c>
      <c r="Z329" s="81">
        <v>1499984</v>
      </c>
      <c r="AA329" s="80" t="s">
        <v>222</v>
      </c>
      <c r="AB329" s="80" t="s">
        <v>1137</v>
      </c>
      <c r="AC329" s="80" t="s">
        <v>1142</v>
      </c>
    </row>
    <row r="330" spans="1:29" x14ac:dyDescent="0.4">
      <c r="A330" s="10" t="s">
        <v>1360</v>
      </c>
      <c r="B330" s="78" t="s">
        <v>96</v>
      </c>
      <c r="C330" s="78">
        <f>C329+(BudgetsTable[[#This Row],[lead]]&lt;&gt;K329)</f>
        <v>64</v>
      </c>
      <c r="D330" s="78">
        <f>D329*(BudgetsTable[[#This Row],[lead]]=K329)+(BudgetsTable[[#This Row],[prop_id]]&lt;&gt;A329)</f>
        <v>1</v>
      </c>
      <c r="E330" s="79">
        <v>42809.695138888892</v>
      </c>
      <c r="F330" s="80" t="s">
        <v>1136</v>
      </c>
      <c r="G330" s="80" t="s">
        <v>222</v>
      </c>
      <c r="H330" s="80" t="s">
        <v>1137</v>
      </c>
      <c r="I330" s="78" t="s">
        <v>406</v>
      </c>
      <c r="J330" s="78" t="s">
        <v>13</v>
      </c>
      <c r="K330" s="80" t="s">
        <v>1360</v>
      </c>
      <c r="L330" s="7" t="str">
        <f>IF(BudgetsTable[[#This Row],[pi_last_name]]=" ","",HYPERLINK("https://www.ejacket.nsf.gov/ej/showProposal.do?Continue=Y&amp;ID="&amp;BudgetsTable[[#This Row],[prop_id]],BudgetsTable[[#This Row],[prop_id]]))</f>
        <v/>
      </c>
      <c r="M330" s="15" t="str">
        <f>IF(BudgetsTable[[#This Row],[pi_last_name]]=" ","",HYPERLINK("https://www.ejacket.nsf.gov/ej/processReviewAnalysis.do?dispatch=add&amp;uniqId="&amp;BudgetsTable[[#This Row],[prop_id]]&amp;PO_id,"&gt;ra"))</f>
        <v/>
      </c>
      <c r="N330" s="80" t="s">
        <v>13</v>
      </c>
      <c r="O330" s="7" t="str">
        <f>IF(BudgetsTable[[#This Row],[pi_last_name]]=" ","",HYPERLINK("mailto:"&amp;BudgetsTable[[#This Row],[pi_email]]&amp;"&amp;subject=Your NSF Proposal:  "&amp;BudgetsTable[[#This Row],[prop_id]],BudgetsTable[[#This Row],[pi_email]]))</f>
        <v/>
      </c>
      <c r="P330" s="80" t="s">
        <v>13</v>
      </c>
      <c r="Q330" s="80">
        <v>8</v>
      </c>
      <c r="R330" s="80">
        <v>4.5</v>
      </c>
      <c r="S330" s="81">
        <v>0</v>
      </c>
      <c r="T330" s="81">
        <v>7000</v>
      </c>
      <c r="U330" s="81">
        <v>0</v>
      </c>
      <c r="V330" s="82">
        <v>499998</v>
      </c>
      <c r="W330" s="80">
        <v>0</v>
      </c>
      <c r="X330" s="80">
        <v>1</v>
      </c>
      <c r="Y330" s="11" t="str">
        <f ca="1">IF(ISBLANK(BudgetsTable[[#This Row],[budg_seq_yr]]),"FY"&amp;fiscalyear,"FY"&amp;fiscalyear-1+BudgetsTable[[#This Row],[budg_seq_yr]])</f>
        <v>FY18</v>
      </c>
      <c r="Z330" s="81">
        <v>499998</v>
      </c>
      <c r="AA330" s="80" t="s">
        <v>222</v>
      </c>
      <c r="AB330" s="80" t="s">
        <v>1137</v>
      </c>
      <c r="AC330" s="80" t="s">
        <v>1142</v>
      </c>
    </row>
    <row r="331" spans="1:29" x14ac:dyDescent="0.4">
      <c r="A331" s="10" t="s">
        <v>1360</v>
      </c>
      <c r="B331" s="78" t="s">
        <v>96</v>
      </c>
      <c r="C331" s="78">
        <f>C330+(BudgetsTable[[#This Row],[lead]]&lt;&gt;K330)</f>
        <v>64</v>
      </c>
      <c r="D331" s="78">
        <f>D330*(BudgetsTable[[#This Row],[lead]]=K330)+(BudgetsTable[[#This Row],[prop_id]]&lt;&gt;A330)</f>
        <v>1</v>
      </c>
      <c r="E331" s="79">
        <v>42809.695138888892</v>
      </c>
      <c r="F331" s="80" t="s">
        <v>1136</v>
      </c>
      <c r="G331" s="80" t="s">
        <v>222</v>
      </c>
      <c r="H331" s="80" t="s">
        <v>1137</v>
      </c>
      <c r="I331" s="78" t="s">
        <v>406</v>
      </c>
      <c r="J331" s="78" t="s">
        <v>13</v>
      </c>
      <c r="K331" s="80" t="s">
        <v>1360</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80" t="s">
        <v>13</v>
      </c>
      <c r="O331" s="7" t="str">
        <f>IF(BudgetsTable[[#This Row],[pi_last_name]]=" ","",HYPERLINK("mailto:"&amp;BudgetsTable[[#This Row],[pi_email]]&amp;"&amp;subject=Your NSF Proposal:  "&amp;BudgetsTable[[#This Row],[prop_id]],BudgetsTable[[#This Row],[pi_email]]))</f>
        <v/>
      </c>
      <c r="P331" s="80" t="s">
        <v>13</v>
      </c>
      <c r="Q331" s="80">
        <v>8</v>
      </c>
      <c r="R331" s="80">
        <v>4.5</v>
      </c>
      <c r="S331" s="81">
        <v>0</v>
      </c>
      <c r="T331" s="81">
        <v>7000</v>
      </c>
      <c r="U331" s="81">
        <v>0</v>
      </c>
      <c r="V331" s="82">
        <v>499994</v>
      </c>
      <c r="W331" s="80">
        <v>0</v>
      </c>
      <c r="X331" s="80">
        <v>2</v>
      </c>
      <c r="Y331" s="11" t="str">
        <f ca="1">IF(ISBLANK(BudgetsTable[[#This Row],[budg_seq_yr]]),"FY"&amp;fiscalyear,"FY"&amp;fiscalyear-1+BudgetsTable[[#This Row],[budg_seq_yr]])</f>
        <v>FY19</v>
      </c>
      <c r="Z331" s="81">
        <v>499994</v>
      </c>
      <c r="AA331" s="80" t="s">
        <v>222</v>
      </c>
      <c r="AB331" s="80" t="s">
        <v>1137</v>
      </c>
      <c r="AC331" s="80" t="s">
        <v>1142</v>
      </c>
    </row>
    <row r="332" spans="1:29" x14ac:dyDescent="0.4">
      <c r="A332" s="10" t="s">
        <v>1360</v>
      </c>
      <c r="B332" s="78" t="s">
        <v>96</v>
      </c>
      <c r="C332" s="78">
        <f>C331+(BudgetsTable[[#This Row],[lead]]&lt;&gt;K331)</f>
        <v>64</v>
      </c>
      <c r="D332" s="78">
        <f>D331*(BudgetsTable[[#This Row],[lead]]=K331)+(BudgetsTable[[#This Row],[prop_id]]&lt;&gt;A331)</f>
        <v>1</v>
      </c>
      <c r="E332" s="79">
        <v>42809.695138888892</v>
      </c>
      <c r="F332" s="80" t="s">
        <v>1136</v>
      </c>
      <c r="G332" s="80" t="s">
        <v>222</v>
      </c>
      <c r="H332" s="80" t="s">
        <v>1137</v>
      </c>
      <c r="I332" s="78" t="s">
        <v>406</v>
      </c>
      <c r="J332" s="78" t="s">
        <v>13</v>
      </c>
      <c r="K332" s="80" t="s">
        <v>1360</v>
      </c>
      <c r="L332" s="7" t="str">
        <f>IF(BudgetsTable[[#This Row],[pi_last_name]]=" ","",HYPERLINK("https://www.ejacket.nsf.gov/ej/showProposal.do?Continue=Y&amp;ID="&amp;BudgetsTable[[#This Row],[prop_id]],BudgetsTable[[#This Row],[prop_id]]))</f>
        <v/>
      </c>
      <c r="M332" s="15" t="str">
        <f>IF(BudgetsTable[[#This Row],[pi_last_name]]=" ","",HYPERLINK("https://www.ejacket.nsf.gov/ej/processReviewAnalysis.do?dispatch=add&amp;uniqId="&amp;BudgetsTable[[#This Row],[prop_id]]&amp;PO_id,"&gt;ra"))</f>
        <v/>
      </c>
      <c r="N332" s="80" t="s">
        <v>13</v>
      </c>
      <c r="O332" s="7" t="str">
        <f>IF(BudgetsTable[[#This Row],[pi_last_name]]=" ","",HYPERLINK("mailto:"&amp;BudgetsTable[[#This Row],[pi_email]]&amp;"&amp;subject=Your NSF Proposal:  "&amp;BudgetsTable[[#This Row],[prop_id]],BudgetsTable[[#This Row],[pi_email]]))</f>
        <v/>
      </c>
      <c r="P332" s="80" t="s">
        <v>13</v>
      </c>
      <c r="Q332" s="80">
        <v>8</v>
      </c>
      <c r="R332" s="80">
        <v>4.5</v>
      </c>
      <c r="S332" s="81">
        <v>0</v>
      </c>
      <c r="T332" s="81">
        <v>7000</v>
      </c>
      <c r="U332" s="81">
        <v>0</v>
      </c>
      <c r="V332" s="82">
        <v>499992</v>
      </c>
      <c r="W332" s="80">
        <v>0</v>
      </c>
      <c r="X332" s="80">
        <v>3</v>
      </c>
      <c r="Y332" s="11" t="str">
        <f ca="1">IF(ISBLANK(BudgetsTable[[#This Row],[budg_seq_yr]]),"FY"&amp;fiscalyear,"FY"&amp;fiscalyear-1+BudgetsTable[[#This Row],[budg_seq_yr]])</f>
        <v>FY20</v>
      </c>
      <c r="Z332" s="81">
        <v>499992</v>
      </c>
      <c r="AA332" s="80" t="s">
        <v>222</v>
      </c>
      <c r="AB332" s="80" t="s">
        <v>1137</v>
      </c>
      <c r="AC332" s="80" t="s">
        <v>1142</v>
      </c>
    </row>
    <row r="333" spans="1:29" x14ac:dyDescent="0.4">
      <c r="A333" s="10" t="s">
        <v>1367</v>
      </c>
      <c r="B333" s="78" t="s">
        <v>96</v>
      </c>
      <c r="C333" s="78">
        <f>C332+(BudgetsTable[[#This Row],[lead]]&lt;&gt;K332)</f>
        <v>65</v>
      </c>
      <c r="D333" s="78">
        <f>D332*(BudgetsTable[[#This Row],[lead]]=K332)+(BudgetsTable[[#This Row],[prop_id]]&lt;&gt;A332)</f>
        <v>1</v>
      </c>
      <c r="E333" s="79">
        <v>42809.700694444444</v>
      </c>
      <c r="F333" s="80" t="s">
        <v>1136</v>
      </c>
      <c r="G333" s="80" t="s">
        <v>222</v>
      </c>
      <c r="H333" s="80" t="s">
        <v>1137</v>
      </c>
      <c r="I333" s="78" t="s">
        <v>451</v>
      </c>
      <c r="J333" s="78" t="s">
        <v>1370</v>
      </c>
      <c r="K333" s="80" t="s">
        <v>1367</v>
      </c>
      <c r="L333" s="7" t="str">
        <f>IF(BudgetsTable[[#This Row],[pi_last_name]]=" ","",HYPERLINK("https://www.ejacket.nsf.gov/ej/showProposal.do?Continue=Y&amp;ID="&amp;BudgetsTable[[#This Row],[prop_id]],BudgetsTable[[#This Row],[prop_id]]))</f>
        <v>1740831</v>
      </c>
      <c r="M333" s="15" t="str">
        <f>IF(BudgetsTable[[#This Row],[pi_last_name]]=" ","",HYPERLINK("https://www.ejacket.nsf.gov/ej/processReviewAnalysis.do?dispatch=add&amp;uniqId="&amp;BudgetsTable[[#This Row],[prop_id]]&amp;PO_id,"&gt;ra"))</f>
        <v>&gt;ra</v>
      </c>
      <c r="N333" s="80" t="s">
        <v>1368</v>
      </c>
      <c r="O333" s="7" t="str">
        <f>IF(BudgetsTable[[#This Row],[pi_last_name]]=" ","",HYPERLINK("mailto:"&amp;BudgetsTable[[#This Row],[pi_email]]&amp;"&amp;subject=Your NSF Proposal:  "&amp;BudgetsTable[[#This Row],[prop_id]],BudgetsTable[[#This Row],[pi_email]]))</f>
        <v>ram@usf.edu</v>
      </c>
      <c r="P333" s="80" t="s">
        <v>559</v>
      </c>
      <c r="Q333" s="80"/>
      <c r="R333" s="80"/>
      <c r="S333" s="81"/>
      <c r="T333" s="81"/>
      <c r="U333" s="81"/>
      <c r="V333" s="82"/>
      <c r="W333" s="80">
        <v>0</v>
      </c>
      <c r="X333" s="80"/>
      <c r="Y333" s="11" t="str">
        <f ca="1">IF(ISBLANK(BudgetsTable[[#This Row],[budg_seq_yr]]),"FY"&amp;fiscalyear,"FY"&amp;fiscalyear-1+BudgetsTable[[#This Row],[budg_seq_yr]])</f>
        <v>FY18</v>
      </c>
      <c r="Z333" s="81">
        <v>1464858</v>
      </c>
      <c r="AA333" s="80" t="s">
        <v>222</v>
      </c>
      <c r="AB333" s="80" t="s">
        <v>1137</v>
      </c>
      <c r="AC333" s="80" t="s">
        <v>1142</v>
      </c>
    </row>
    <row r="334" spans="1:29" x14ac:dyDescent="0.4">
      <c r="A334" s="10" t="s">
        <v>1367</v>
      </c>
      <c r="B334" s="78" t="s">
        <v>96</v>
      </c>
      <c r="C334" s="78">
        <f>C333+(BudgetsTable[[#This Row],[lead]]&lt;&gt;K333)</f>
        <v>65</v>
      </c>
      <c r="D334" s="78">
        <f>D333*(BudgetsTable[[#This Row],[lead]]=K333)+(BudgetsTable[[#This Row],[prop_id]]&lt;&gt;A333)</f>
        <v>1</v>
      </c>
      <c r="E334" s="79">
        <v>42809.700694444444</v>
      </c>
      <c r="F334" s="80" t="s">
        <v>1136</v>
      </c>
      <c r="G334" s="80" t="s">
        <v>222</v>
      </c>
      <c r="H334" s="80" t="s">
        <v>1137</v>
      </c>
      <c r="I334" s="78" t="s">
        <v>451</v>
      </c>
      <c r="J334" s="78" t="s">
        <v>13</v>
      </c>
      <c r="K334" s="80" t="s">
        <v>1367</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80" t="s">
        <v>13</v>
      </c>
      <c r="O334" s="7" t="str">
        <f>IF(BudgetsTable[[#This Row],[pi_last_name]]=" ","",HYPERLINK("mailto:"&amp;BudgetsTable[[#This Row],[pi_email]]&amp;"&amp;subject=Your NSF Proposal:  "&amp;BudgetsTable[[#This Row],[prop_id]],BudgetsTable[[#This Row],[pi_email]]))</f>
        <v/>
      </c>
      <c r="P334" s="80" t="s">
        <v>13</v>
      </c>
      <c r="Q334" s="80">
        <v>5</v>
      </c>
      <c r="R334" s="80">
        <v>5</v>
      </c>
      <c r="S334" s="81">
        <v>0</v>
      </c>
      <c r="T334" s="81">
        <v>10000</v>
      </c>
      <c r="U334" s="81">
        <v>20536</v>
      </c>
      <c r="V334" s="82">
        <v>469905</v>
      </c>
      <c r="W334" s="80">
        <v>0</v>
      </c>
      <c r="X334" s="80">
        <v>1</v>
      </c>
      <c r="Y334" s="11" t="str">
        <f ca="1">IF(ISBLANK(BudgetsTable[[#This Row],[budg_seq_yr]]),"FY"&amp;fiscalyear,"FY"&amp;fiscalyear-1+BudgetsTable[[#This Row],[budg_seq_yr]])</f>
        <v>FY18</v>
      </c>
      <c r="Z334" s="81">
        <v>469905</v>
      </c>
      <c r="AA334" s="80" t="s">
        <v>222</v>
      </c>
      <c r="AB334" s="80" t="s">
        <v>1137</v>
      </c>
      <c r="AC334" s="80" t="s">
        <v>1142</v>
      </c>
    </row>
    <row r="335" spans="1:29" x14ac:dyDescent="0.4">
      <c r="A335" s="10" t="s">
        <v>1367</v>
      </c>
      <c r="B335" s="78" t="s">
        <v>96</v>
      </c>
      <c r="C335" s="78">
        <f>C334+(BudgetsTable[[#This Row],[lead]]&lt;&gt;K334)</f>
        <v>65</v>
      </c>
      <c r="D335" s="78">
        <f>D334*(BudgetsTable[[#This Row],[lead]]=K334)+(BudgetsTable[[#This Row],[prop_id]]&lt;&gt;A334)</f>
        <v>1</v>
      </c>
      <c r="E335" s="79">
        <v>42809.700694444444</v>
      </c>
      <c r="F335" s="80" t="s">
        <v>1136</v>
      </c>
      <c r="G335" s="80" t="s">
        <v>222</v>
      </c>
      <c r="H335" s="80" t="s">
        <v>1137</v>
      </c>
      <c r="I335" s="78" t="s">
        <v>451</v>
      </c>
      <c r="J335" s="78" t="s">
        <v>13</v>
      </c>
      <c r="K335" s="80" t="s">
        <v>1367</v>
      </c>
      <c r="L335" s="7" t="str">
        <f>IF(BudgetsTable[[#This Row],[pi_last_name]]=" ","",HYPERLINK("https://www.ejacket.nsf.gov/ej/showProposal.do?Continue=Y&amp;ID="&amp;BudgetsTable[[#This Row],[prop_id]],BudgetsTable[[#This Row],[prop_id]]))</f>
        <v/>
      </c>
      <c r="M335" s="15" t="str">
        <f>IF(BudgetsTable[[#This Row],[pi_last_name]]=" ","",HYPERLINK("https://www.ejacket.nsf.gov/ej/processReviewAnalysis.do?dispatch=add&amp;uniqId="&amp;BudgetsTable[[#This Row],[prop_id]]&amp;PO_id,"&gt;ra"))</f>
        <v/>
      </c>
      <c r="N335" s="80" t="s">
        <v>13</v>
      </c>
      <c r="O335" s="7" t="str">
        <f>IF(BudgetsTable[[#This Row],[pi_last_name]]=" ","",HYPERLINK("mailto:"&amp;BudgetsTable[[#This Row],[pi_email]]&amp;"&amp;subject=Your NSF Proposal:  "&amp;BudgetsTable[[#This Row],[prop_id]],BudgetsTable[[#This Row],[pi_email]]))</f>
        <v/>
      </c>
      <c r="P335" s="80" t="s">
        <v>13</v>
      </c>
      <c r="Q335" s="80">
        <v>5</v>
      </c>
      <c r="R335" s="80">
        <v>5</v>
      </c>
      <c r="S335" s="81">
        <v>0</v>
      </c>
      <c r="T335" s="81">
        <v>10000</v>
      </c>
      <c r="U335" s="81">
        <v>28536</v>
      </c>
      <c r="V335" s="82">
        <v>495283</v>
      </c>
      <c r="W335" s="80">
        <v>0</v>
      </c>
      <c r="X335" s="80">
        <v>2</v>
      </c>
      <c r="Y335" s="11" t="str">
        <f ca="1">IF(ISBLANK(BudgetsTable[[#This Row],[budg_seq_yr]]),"FY"&amp;fiscalyear,"FY"&amp;fiscalyear-1+BudgetsTable[[#This Row],[budg_seq_yr]])</f>
        <v>FY19</v>
      </c>
      <c r="Z335" s="81">
        <v>495283</v>
      </c>
      <c r="AA335" s="80" t="s">
        <v>222</v>
      </c>
      <c r="AB335" s="80" t="s">
        <v>1137</v>
      </c>
      <c r="AC335" s="80" t="s">
        <v>1142</v>
      </c>
    </row>
    <row r="336" spans="1:29" x14ac:dyDescent="0.4">
      <c r="A336" s="10" t="s">
        <v>1367</v>
      </c>
      <c r="B336" s="78" t="s">
        <v>96</v>
      </c>
      <c r="C336" s="78">
        <f>C335+(BudgetsTable[[#This Row],[lead]]&lt;&gt;K335)</f>
        <v>65</v>
      </c>
      <c r="D336" s="78">
        <f>D335*(BudgetsTable[[#This Row],[lead]]=K335)+(BudgetsTable[[#This Row],[prop_id]]&lt;&gt;A335)</f>
        <v>1</v>
      </c>
      <c r="E336" s="79">
        <v>42809.700694444444</v>
      </c>
      <c r="F336" s="80" t="s">
        <v>1136</v>
      </c>
      <c r="G336" s="80" t="s">
        <v>222</v>
      </c>
      <c r="H336" s="80" t="s">
        <v>1137</v>
      </c>
      <c r="I336" s="78" t="s">
        <v>451</v>
      </c>
      <c r="J336" s="78" t="s">
        <v>13</v>
      </c>
      <c r="K336" s="80" t="s">
        <v>1367</v>
      </c>
      <c r="L336" s="7" t="str">
        <f>IF(BudgetsTable[[#This Row],[pi_last_name]]=" ","",HYPERLINK("https://www.ejacket.nsf.gov/ej/showProposal.do?Continue=Y&amp;ID="&amp;BudgetsTable[[#This Row],[prop_id]],BudgetsTable[[#This Row],[prop_id]]))</f>
        <v/>
      </c>
      <c r="M336" s="15" t="str">
        <f>IF(BudgetsTable[[#This Row],[pi_last_name]]=" ","",HYPERLINK("https://www.ejacket.nsf.gov/ej/processReviewAnalysis.do?dispatch=add&amp;uniqId="&amp;BudgetsTable[[#This Row],[prop_id]]&amp;PO_id,"&gt;ra"))</f>
        <v/>
      </c>
      <c r="N336" s="80" t="s">
        <v>13</v>
      </c>
      <c r="O336" s="7" t="str">
        <f>IF(BudgetsTable[[#This Row],[pi_last_name]]=" ","",HYPERLINK("mailto:"&amp;BudgetsTable[[#This Row],[pi_email]]&amp;"&amp;subject=Your NSF Proposal:  "&amp;BudgetsTable[[#This Row],[prop_id]],BudgetsTable[[#This Row],[pi_email]]))</f>
        <v/>
      </c>
      <c r="P336" s="80" t="s">
        <v>13</v>
      </c>
      <c r="Q336" s="80">
        <v>5</v>
      </c>
      <c r="R336" s="80">
        <v>5</v>
      </c>
      <c r="S336" s="81">
        <v>0</v>
      </c>
      <c r="T336" s="81">
        <v>6500</v>
      </c>
      <c r="U336" s="81">
        <v>19328</v>
      </c>
      <c r="V336" s="82">
        <v>499670</v>
      </c>
      <c r="W336" s="80">
        <v>0</v>
      </c>
      <c r="X336" s="80">
        <v>3</v>
      </c>
      <c r="Y336" s="11" t="str">
        <f ca="1">IF(ISBLANK(BudgetsTable[[#This Row],[budg_seq_yr]]),"FY"&amp;fiscalyear,"FY"&amp;fiscalyear-1+BudgetsTable[[#This Row],[budg_seq_yr]])</f>
        <v>FY20</v>
      </c>
      <c r="Z336" s="81">
        <v>499670</v>
      </c>
      <c r="AA336" s="80" t="s">
        <v>222</v>
      </c>
      <c r="AB336" s="80" t="s">
        <v>1137</v>
      </c>
      <c r="AC336" s="80" t="s">
        <v>1142</v>
      </c>
    </row>
    <row r="337" spans="1:29" x14ac:dyDescent="0.4">
      <c r="A337" s="10" t="s">
        <v>1373</v>
      </c>
      <c r="B337" s="78" t="s">
        <v>96</v>
      </c>
      <c r="C337" s="78">
        <f>C336+(BudgetsTable[[#This Row],[lead]]&lt;&gt;K336)</f>
        <v>66</v>
      </c>
      <c r="D337" s="78">
        <f>D336*(BudgetsTable[[#This Row],[lead]]=K336)+(BudgetsTable[[#This Row],[prop_id]]&lt;&gt;A336)</f>
        <v>1</v>
      </c>
      <c r="E337" s="79">
        <v>42809.702777777777</v>
      </c>
      <c r="F337" s="80" t="s">
        <v>1136</v>
      </c>
      <c r="G337" s="80" t="s">
        <v>222</v>
      </c>
      <c r="H337" s="80" t="s">
        <v>1137</v>
      </c>
      <c r="I337" s="78" t="s">
        <v>1241</v>
      </c>
      <c r="J337" s="78" t="s">
        <v>1375</v>
      </c>
      <c r="K337" s="80" t="s">
        <v>1373</v>
      </c>
      <c r="L337" s="7" t="str">
        <f>IF(BudgetsTable[[#This Row],[pi_last_name]]=" ","",HYPERLINK("https://www.ejacket.nsf.gov/ej/showProposal.do?Continue=Y&amp;ID="&amp;BudgetsTable[[#This Row],[prop_id]],BudgetsTable[[#This Row],[prop_id]]))</f>
        <v>1740833</v>
      </c>
      <c r="M337" s="15" t="str">
        <f>IF(BudgetsTable[[#This Row],[pi_last_name]]=" ","",HYPERLINK("https://www.ejacket.nsf.gov/ej/processReviewAnalysis.do?dispatch=add&amp;uniqId="&amp;BudgetsTable[[#This Row],[prop_id]]&amp;PO_id,"&gt;ra"))</f>
        <v>&gt;ra</v>
      </c>
      <c r="N337" s="80" t="s">
        <v>1374</v>
      </c>
      <c r="O337" s="7" t="str">
        <f>IF(BudgetsTable[[#This Row],[pi_last_name]]=" ","",HYPERLINK("mailto:"&amp;BudgetsTable[[#This Row],[pi_email]]&amp;"&amp;subject=Your NSF Proposal:  "&amp;BudgetsTable[[#This Row],[prop_id]],BudgetsTable[[#This Row],[pi_email]]))</f>
        <v>jw2966@columbia.edu</v>
      </c>
      <c r="P337" s="80" t="s">
        <v>1220</v>
      </c>
      <c r="Q337" s="80"/>
      <c r="R337" s="80"/>
      <c r="S337" s="81"/>
      <c r="T337" s="81"/>
      <c r="U337" s="81"/>
      <c r="V337" s="82"/>
      <c r="W337" s="80">
        <v>0</v>
      </c>
      <c r="X337" s="80"/>
      <c r="Y337" s="11" t="str">
        <f ca="1">IF(ISBLANK(BudgetsTable[[#This Row],[budg_seq_yr]]),"FY"&amp;fiscalyear,"FY"&amp;fiscalyear-1+BudgetsTable[[#This Row],[budg_seq_yr]])</f>
        <v>FY18</v>
      </c>
      <c r="Z337" s="81">
        <v>1500000</v>
      </c>
      <c r="AA337" s="80" t="s">
        <v>222</v>
      </c>
      <c r="AB337" s="80" t="s">
        <v>1137</v>
      </c>
      <c r="AC337" s="80" t="s">
        <v>1142</v>
      </c>
    </row>
    <row r="338" spans="1:29" x14ac:dyDescent="0.4">
      <c r="A338" s="10" t="s">
        <v>1373</v>
      </c>
      <c r="B338" s="78" t="s">
        <v>96</v>
      </c>
      <c r="C338" s="78">
        <f>C337+(BudgetsTable[[#This Row],[lead]]&lt;&gt;K337)</f>
        <v>66</v>
      </c>
      <c r="D338" s="78">
        <f>D337*(BudgetsTable[[#This Row],[lead]]=K337)+(BudgetsTable[[#This Row],[prop_id]]&lt;&gt;A337)</f>
        <v>1</v>
      </c>
      <c r="E338" s="79">
        <v>42809.702777777777</v>
      </c>
      <c r="F338" s="80" t="s">
        <v>1136</v>
      </c>
      <c r="G338" s="80" t="s">
        <v>222</v>
      </c>
      <c r="H338" s="80" t="s">
        <v>1137</v>
      </c>
      <c r="I338" s="78" t="s">
        <v>1241</v>
      </c>
      <c r="J338" s="78" t="s">
        <v>13</v>
      </c>
      <c r="K338" s="80" t="s">
        <v>1373</v>
      </c>
      <c r="L338" s="7" t="str">
        <f>IF(BudgetsTable[[#This Row],[pi_last_name]]=" ","",HYPERLINK("https://www.ejacket.nsf.gov/ej/showProposal.do?Continue=Y&amp;ID="&amp;BudgetsTable[[#This Row],[prop_id]],BudgetsTable[[#This Row],[prop_id]]))</f>
        <v/>
      </c>
      <c r="M338" s="15" t="str">
        <f>IF(BudgetsTable[[#This Row],[pi_last_name]]=" ","",HYPERLINK("https://www.ejacket.nsf.gov/ej/processReviewAnalysis.do?dispatch=add&amp;uniqId="&amp;BudgetsTable[[#This Row],[prop_id]]&amp;PO_id,"&gt;ra"))</f>
        <v/>
      </c>
      <c r="N338" s="80" t="s">
        <v>13</v>
      </c>
      <c r="O338" s="7" t="str">
        <f>IF(BudgetsTable[[#This Row],[pi_last_name]]=" ","",HYPERLINK("mailto:"&amp;BudgetsTable[[#This Row],[pi_email]]&amp;"&amp;subject=Your NSF Proposal:  "&amp;BudgetsTable[[#This Row],[prop_id]],BudgetsTable[[#This Row],[pi_email]]))</f>
        <v/>
      </c>
      <c r="P338" s="80" t="s">
        <v>13</v>
      </c>
      <c r="Q338" s="80">
        <v>5</v>
      </c>
      <c r="R338" s="80">
        <v>1.25</v>
      </c>
      <c r="S338" s="81">
        <v>60000</v>
      </c>
      <c r="T338" s="81">
        <v>0</v>
      </c>
      <c r="U338" s="81">
        <v>10238</v>
      </c>
      <c r="V338" s="82">
        <v>500000</v>
      </c>
      <c r="W338" s="80">
        <v>0</v>
      </c>
      <c r="X338" s="80">
        <v>1</v>
      </c>
      <c r="Y338" s="11" t="str">
        <f ca="1">IF(ISBLANK(BudgetsTable[[#This Row],[budg_seq_yr]]),"FY"&amp;fiscalyear,"FY"&amp;fiscalyear-1+BudgetsTable[[#This Row],[budg_seq_yr]])</f>
        <v>FY18</v>
      </c>
      <c r="Z338" s="81">
        <v>500000</v>
      </c>
      <c r="AA338" s="80" t="s">
        <v>222</v>
      </c>
      <c r="AB338" s="80" t="s">
        <v>1137</v>
      </c>
      <c r="AC338" s="80" t="s">
        <v>1142</v>
      </c>
    </row>
    <row r="339" spans="1:29" x14ac:dyDescent="0.4">
      <c r="A339" s="10" t="s">
        <v>1373</v>
      </c>
      <c r="B339" s="78" t="s">
        <v>96</v>
      </c>
      <c r="C339" s="78">
        <f>C338+(BudgetsTable[[#This Row],[lead]]&lt;&gt;K338)</f>
        <v>66</v>
      </c>
      <c r="D339" s="78">
        <f>D338*(BudgetsTable[[#This Row],[lead]]=K338)+(BudgetsTable[[#This Row],[prop_id]]&lt;&gt;A338)</f>
        <v>1</v>
      </c>
      <c r="E339" s="79">
        <v>42809.702777777777</v>
      </c>
      <c r="F339" s="80" t="s">
        <v>1136</v>
      </c>
      <c r="G339" s="80" t="s">
        <v>222</v>
      </c>
      <c r="H339" s="80" t="s">
        <v>1137</v>
      </c>
      <c r="I339" s="78" t="s">
        <v>1241</v>
      </c>
      <c r="J339" s="78" t="s">
        <v>13</v>
      </c>
      <c r="K339" s="80" t="s">
        <v>1373</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80" t="s">
        <v>13</v>
      </c>
      <c r="O339" s="7" t="str">
        <f>IF(BudgetsTable[[#This Row],[pi_last_name]]=" ","",HYPERLINK("mailto:"&amp;BudgetsTable[[#This Row],[pi_email]]&amp;"&amp;subject=Your NSF Proposal:  "&amp;BudgetsTable[[#This Row],[prop_id]],BudgetsTable[[#This Row],[pi_email]]))</f>
        <v/>
      </c>
      <c r="P339" s="80" t="s">
        <v>13</v>
      </c>
      <c r="Q339" s="80">
        <v>5</v>
      </c>
      <c r="R339" s="80">
        <v>1.25</v>
      </c>
      <c r="S339" s="81">
        <v>61800</v>
      </c>
      <c r="T339" s="81">
        <v>0</v>
      </c>
      <c r="U339" s="81">
        <v>10749</v>
      </c>
      <c r="V339" s="82">
        <v>500000</v>
      </c>
      <c r="W339" s="80">
        <v>0</v>
      </c>
      <c r="X339" s="80">
        <v>2</v>
      </c>
      <c r="Y339" s="11" t="str">
        <f ca="1">IF(ISBLANK(BudgetsTable[[#This Row],[budg_seq_yr]]),"FY"&amp;fiscalyear,"FY"&amp;fiscalyear-1+BudgetsTable[[#This Row],[budg_seq_yr]])</f>
        <v>FY19</v>
      </c>
      <c r="Z339" s="81">
        <v>500000</v>
      </c>
      <c r="AA339" s="80" t="s">
        <v>222</v>
      </c>
      <c r="AB339" s="80" t="s">
        <v>1137</v>
      </c>
      <c r="AC339" s="80" t="s">
        <v>1142</v>
      </c>
    </row>
    <row r="340" spans="1:29" x14ac:dyDescent="0.4">
      <c r="A340" s="10" t="s">
        <v>1373</v>
      </c>
      <c r="B340" s="78" t="s">
        <v>96</v>
      </c>
      <c r="C340" s="78">
        <f>C339+(BudgetsTable[[#This Row],[lead]]&lt;&gt;K339)</f>
        <v>66</v>
      </c>
      <c r="D340" s="78">
        <f>D339*(BudgetsTable[[#This Row],[lead]]=K339)+(BudgetsTable[[#This Row],[prop_id]]&lt;&gt;A339)</f>
        <v>1</v>
      </c>
      <c r="E340" s="79">
        <v>42809.702777777777</v>
      </c>
      <c r="F340" s="80" t="s">
        <v>1136</v>
      </c>
      <c r="G340" s="80" t="s">
        <v>222</v>
      </c>
      <c r="H340" s="80" t="s">
        <v>1137</v>
      </c>
      <c r="I340" s="78" t="s">
        <v>1241</v>
      </c>
      <c r="J340" s="78" t="s">
        <v>13</v>
      </c>
      <c r="K340" s="80" t="s">
        <v>1373</v>
      </c>
      <c r="L340" s="7" t="str">
        <f>IF(BudgetsTable[[#This Row],[pi_last_name]]=" ","",HYPERLINK("https://www.ejacket.nsf.gov/ej/showProposal.do?Continue=Y&amp;ID="&amp;BudgetsTable[[#This Row],[prop_id]],BudgetsTable[[#This Row],[prop_id]]))</f>
        <v/>
      </c>
      <c r="M340" s="15" t="str">
        <f>IF(BudgetsTable[[#This Row],[pi_last_name]]=" ","",HYPERLINK("https://www.ejacket.nsf.gov/ej/processReviewAnalysis.do?dispatch=add&amp;uniqId="&amp;BudgetsTable[[#This Row],[prop_id]]&amp;PO_id,"&gt;ra"))</f>
        <v/>
      </c>
      <c r="N340" s="80" t="s">
        <v>13</v>
      </c>
      <c r="O340" s="7" t="str">
        <f>IF(BudgetsTable[[#This Row],[pi_last_name]]=" ","",HYPERLINK("mailto:"&amp;BudgetsTable[[#This Row],[pi_email]]&amp;"&amp;subject=Your NSF Proposal:  "&amp;BudgetsTable[[#This Row],[prop_id]],BudgetsTable[[#This Row],[pi_email]]))</f>
        <v/>
      </c>
      <c r="P340" s="80" t="s">
        <v>13</v>
      </c>
      <c r="Q340" s="80">
        <v>5</v>
      </c>
      <c r="R340" s="80">
        <v>1.25</v>
      </c>
      <c r="S340" s="81">
        <v>63654</v>
      </c>
      <c r="T340" s="81">
        <v>0</v>
      </c>
      <c r="U340" s="81">
        <v>11287</v>
      </c>
      <c r="V340" s="82">
        <v>500000</v>
      </c>
      <c r="W340" s="80">
        <v>0</v>
      </c>
      <c r="X340" s="80">
        <v>3</v>
      </c>
      <c r="Y340" s="11" t="str">
        <f ca="1">IF(ISBLANK(BudgetsTable[[#This Row],[budg_seq_yr]]),"FY"&amp;fiscalyear,"FY"&amp;fiscalyear-1+BudgetsTable[[#This Row],[budg_seq_yr]])</f>
        <v>FY20</v>
      </c>
      <c r="Z340" s="81">
        <v>500000</v>
      </c>
      <c r="AA340" s="80" t="s">
        <v>222</v>
      </c>
      <c r="AB340" s="80" t="s">
        <v>1137</v>
      </c>
      <c r="AC340" s="80" t="s">
        <v>1142</v>
      </c>
    </row>
    <row r="341" spans="1:29" x14ac:dyDescent="0.4">
      <c r="A341" s="10" t="s">
        <v>1378</v>
      </c>
      <c r="B341" s="78" t="s">
        <v>96</v>
      </c>
      <c r="C341" s="78">
        <f>C340+(BudgetsTable[[#This Row],[lead]]&lt;&gt;K340)</f>
        <v>67</v>
      </c>
      <c r="D341" s="78">
        <f>D340*(BudgetsTable[[#This Row],[lead]]=K340)+(BudgetsTable[[#This Row],[prop_id]]&lt;&gt;A340)</f>
        <v>1</v>
      </c>
      <c r="E341" s="79">
        <v>42809.705555555556</v>
      </c>
      <c r="F341" s="80" t="s">
        <v>1136</v>
      </c>
      <c r="G341" s="80" t="s">
        <v>222</v>
      </c>
      <c r="H341" s="80" t="s">
        <v>1137</v>
      </c>
      <c r="I341" s="78" t="s">
        <v>406</v>
      </c>
      <c r="J341" s="78" t="s">
        <v>1382</v>
      </c>
      <c r="K341" s="80" t="s">
        <v>1378</v>
      </c>
      <c r="L341" s="7" t="str">
        <f>IF(BudgetsTable[[#This Row],[pi_last_name]]=" ","",HYPERLINK("https://www.ejacket.nsf.gov/ej/showProposal.do?Continue=Y&amp;ID="&amp;BudgetsTable[[#This Row],[prop_id]],BudgetsTable[[#This Row],[prop_id]]))</f>
        <v>1740834</v>
      </c>
      <c r="M341" s="15" t="str">
        <f>IF(BudgetsTable[[#This Row],[pi_last_name]]=" ","",HYPERLINK("https://www.ejacket.nsf.gov/ej/processReviewAnalysis.do?dispatch=add&amp;uniqId="&amp;BudgetsTable[[#This Row],[prop_id]]&amp;PO_id,"&gt;ra"))</f>
        <v>&gt;ra</v>
      </c>
      <c r="N341" s="80" t="s">
        <v>1379</v>
      </c>
      <c r="O341" s="7" t="str">
        <f>IF(BudgetsTable[[#This Row],[pi_last_name]]=" ","",HYPERLINK("mailto:"&amp;BudgetsTable[[#This Row],[pi_email]]&amp;"&amp;subject=Your NSF Proposal:  "&amp;BudgetsTable[[#This Row],[prop_id]],BudgetsTable[[#This Row],[pi_email]]))</f>
        <v>mischaik@math.rutgers.edu</v>
      </c>
      <c r="P341" s="80" t="s">
        <v>1381</v>
      </c>
      <c r="Q341" s="80"/>
      <c r="R341" s="80"/>
      <c r="S341" s="81"/>
      <c r="T341" s="81"/>
      <c r="U341" s="81"/>
      <c r="V341" s="82"/>
      <c r="W341" s="80">
        <v>0</v>
      </c>
      <c r="X341" s="80"/>
      <c r="Y341" s="11" t="str">
        <f ca="1">IF(ISBLANK(BudgetsTable[[#This Row],[budg_seq_yr]]),"FY"&amp;fiscalyear,"FY"&amp;fiscalyear-1+BudgetsTable[[#This Row],[budg_seq_yr]])</f>
        <v>FY18</v>
      </c>
      <c r="Z341" s="81">
        <v>1499998</v>
      </c>
      <c r="AA341" s="80" t="s">
        <v>222</v>
      </c>
      <c r="AB341" s="80" t="s">
        <v>1137</v>
      </c>
      <c r="AC341" s="80" t="s">
        <v>1176</v>
      </c>
    </row>
    <row r="342" spans="1:29" x14ac:dyDescent="0.4">
      <c r="A342" s="10" t="s">
        <v>1378</v>
      </c>
      <c r="B342" s="78" t="s">
        <v>96</v>
      </c>
      <c r="C342" s="78">
        <f>C341+(BudgetsTable[[#This Row],[lead]]&lt;&gt;K341)</f>
        <v>67</v>
      </c>
      <c r="D342" s="78">
        <f>D341*(BudgetsTable[[#This Row],[lead]]=K341)+(BudgetsTable[[#This Row],[prop_id]]&lt;&gt;A341)</f>
        <v>1</v>
      </c>
      <c r="E342" s="79">
        <v>42809.705555555556</v>
      </c>
      <c r="F342" s="80" t="s">
        <v>1136</v>
      </c>
      <c r="G342" s="80" t="s">
        <v>222</v>
      </c>
      <c r="H342" s="80" t="s">
        <v>1137</v>
      </c>
      <c r="I342" s="78" t="s">
        <v>406</v>
      </c>
      <c r="J342" s="78" t="s">
        <v>13</v>
      </c>
      <c r="K342" s="80" t="s">
        <v>1378</v>
      </c>
      <c r="L342" s="7" t="str">
        <f>IF(BudgetsTable[[#This Row],[pi_last_name]]=" ","",HYPERLINK("https://www.ejacket.nsf.gov/ej/showProposal.do?Continue=Y&amp;ID="&amp;BudgetsTable[[#This Row],[prop_id]],BudgetsTable[[#This Row],[prop_id]]))</f>
        <v/>
      </c>
      <c r="M342" s="15" t="str">
        <f>IF(BudgetsTable[[#This Row],[pi_last_name]]=" ","",HYPERLINK("https://www.ejacket.nsf.gov/ej/processReviewAnalysis.do?dispatch=add&amp;uniqId="&amp;BudgetsTable[[#This Row],[prop_id]]&amp;PO_id,"&gt;ra"))</f>
        <v/>
      </c>
      <c r="N342" s="80" t="s">
        <v>13</v>
      </c>
      <c r="O342" s="7" t="str">
        <f>IF(BudgetsTable[[#This Row],[pi_last_name]]=" ","",HYPERLINK("mailto:"&amp;BudgetsTable[[#This Row],[pi_email]]&amp;"&amp;subject=Your NSF Proposal:  "&amp;BudgetsTable[[#This Row],[prop_id]],BudgetsTable[[#This Row],[pi_email]]))</f>
        <v/>
      </c>
      <c r="P342" s="80" t="s">
        <v>13</v>
      </c>
      <c r="Q342" s="80">
        <v>3</v>
      </c>
      <c r="R342" s="80">
        <v>1</v>
      </c>
      <c r="S342" s="81">
        <v>0</v>
      </c>
      <c r="T342" s="81">
        <v>0</v>
      </c>
      <c r="U342" s="81">
        <v>271449</v>
      </c>
      <c r="V342" s="82">
        <v>499998</v>
      </c>
      <c r="W342" s="80">
        <v>0</v>
      </c>
      <c r="X342" s="80">
        <v>1</v>
      </c>
      <c r="Y342" s="11" t="str">
        <f ca="1">IF(ISBLANK(BudgetsTable[[#This Row],[budg_seq_yr]]),"FY"&amp;fiscalyear,"FY"&amp;fiscalyear-1+BudgetsTable[[#This Row],[budg_seq_yr]])</f>
        <v>FY18</v>
      </c>
      <c r="Z342" s="81">
        <v>499998</v>
      </c>
      <c r="AA342" s="80" t="s">
        <v>222</v>
      </c>
      <c r="AB342" s="80" t="s">
        <v>1137</v>
      </c>
      <c r="AC342" s="80" t="s">
        <v>1176</v>
      </c>
    </row>
    <row r="343" spans="1:29" x14ac:dyDescent="0.4">
      <c r="A343" s="10" t="s">
        <v>1378</v>
      </c>
      <c r="B343" s="78" t="s">
        <v>96</v>
      </c>
      <c r="C343" s="78">
        <f>C342+(BudgetsTable[[#This Row],[lead]]&lt;&gt;K342)</f>
        <v>67</v>
      </c>
      <c r="D343" s="78">
        <f>D342*(BudgetsTable[[#This Row],[lead]]=K342)+(BudgetsTable[[#This Row],[prop_id]]&lt;&gt;A342)</f>
        <v>1</v>
      </c>
      <c r="E343" s="79">
        <v>42809.705555555556</v>
      </c>
      <c r="F343" s="80" t="s">
        <v>1136</v>
      </c>
      <c r="G343" s="80" t="s">
        <v>222</v>
      </c>
      <c r="H343" s="80" t="s">
        <v>1137</v>
      </c>
      <c r="I343" s="78" t="s">
        <v>406</v>
      </c>
      <c r="J343" s="78" t="s">
        <v>13</v>
      </c>
      <c r="K343" s="80" t="s">
        <v>1378</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80" t="s">
        <v>13</v>
      </c>
      <c r="O343" s="7" t="str">
        <f>IF(BudgetsTable[[#This Row],[pi_last_name]]=" ","",HYPERLINK("mailto:"&amp;BudgetsTable[[#This Row],[pi_email]]&amp;"&amp;subject=Your NSF Proposal:  "&amp;BudgetsTable[[#This Row],[prop_id]],BudgetsTable[[#This Row],[pi_email]]))</f>
        <v/>
      </c>
      <c r="P343" s="80" t="s">
        <v>13</v>
      </c>
      <c r="Q343" s="80">
        <v>5</v>
      </c>
      <c r="R343" s="80">
        <v>0.5</v>
      </c>
      <c r="S343" s="81">
        <v>0</v>
      </c>
      <c r="T343" s="81">
        <v>0</v>
      </c>
      <c r="U343" s="81">
        <v>265483</v>
      </c>
      <c r="V343" s="82">
        <v>500000</v>
      </c>
      <c r="W343" s="80">
        <v>0</v>
      </c>
      <c r="X343" s="80">
        <v>2</v>
      </c>
      <c r="Y343" s="11" t="str">
        <f ca="1">IF(ISBLANK(BudgetsTable[[#This Row],[budg_seq_yr]]),"FY"&amp;fiscalyear,"FY"&amp;fiscalyear-1+BudgetsTable[[#This Row],[budg_seq_yr]])</f>
        <v>FY19</v>
      </c>
      <c r="Z343" s="81">
        <v>500000</v>
      </c>
      <c r="AA343" s="80" t="s">
        <v>222</v>
      </c>
      <c r="AB343" s="80" t="s">
        <v>1137</v>
      </c>
      <c r="AC343" s="80" t="s">
        <v>1176</v>
      </c>
    </row>
    <row r="344" spans="1:29" x14ac:dyDescent="0.4">
      <c r="A344" s="10" t="s">
        <v>1378</v>
      </c>
      <c r="B344" s="78" t="s">
        <v>96</v>
      </c>
      <c r="C344" s="78">
        <f>C343+(BudgetsTable[[#This Row],[lead]]&lt;&gt;K343)</f>
        <v>67</v>
      </c>
      <c r="D344" s="78">
        <f>D343*(BudgetsTable[[#This Row],[lead]]=K343)+(BudgetsTable[[#This Row],[prop_id]]&lt;&gt;A343)</f>
        <v>1</v>
      </c>
      <c r="E344" s="79">
        <v>42809.705555555556</v>
      </c>
      <c r="F344" s="80" t="s">
        <v>1136</v>
      </c>
      <c r="G344" s="80" t="s">
        <v>222</v>
      </c>
      <c r="H344" s="80" t="s">
        <v>1137</v>
      </c>
      <c r="I344" s="78" t="s">
        <v>406</v>
      </c>
      <c r="J344" s="78" t="s">
        <v>13</v>
      </c>
      <c r="K344" s="80" t="s">
        <v>1378</v>
      </c>
      <c r="L344" s="7" t="str">
        <f>IF(BudgetsTable[[#This Row],[pi_last_name]]=" ","",HYPERLINK("https://www.ejacket.nsf.gov/ej/showProposal.do?Continue=Y&amp;ID="&amp;BudgetsTable[[#This Row],[prop_id]],BudgetsTable[[#This Row],[prop_id]]))</f>
        <v/>
      </c>
      <c r="M344" s="15" t="str">
        <f>IF(BudgetsTable[[#This Row],[pi_last_name]]=" ","",HYPERLINK("https://www.ejacket.nsf.gov/ej/processReviewAnalysis.do?dispatch=add&amp;uniqId="&amp;BudgetsTable[[#This Row],[prop_id]]&amp;PO_id,"&gt;ra"))</f>
        <v/>
      </c>
      <c r="N344" s="80" t="s">
        <v>13</v>
      </c>
      <c r="O344" s="7" t="str">
        <f>IF(BudgetsTable[[#This Row],[pi_last_name]]=" ","",HYPERLINK("mailto:"&amp;BudgetsTable[[#This Row],[pi_email]]&amp;"&amp;subject=Your NSF Proposal:  "&amp;BudgetsTable[[#This Row],[prop_id]],BudgetsTable[[#This Row],[pi_email]]))</f>
        <v/>
      </c>
      <c r="P344" s="80" t="s">
        <v>13</v>
      </c>
      <c r="Q344" s="80">
        <v>4</v>
      </c>
      <c r="R344" s="80">
        <v>0.5</v>
      </c>
      <c r="S344" s="81">
        <v>0</v>
      </c>
      <c r="T344" s="81">
        <v>0</v>
      </c>
      <c r="U344" s="81">
        <v>264316</v>
      </c>
      <c r="V344" s="82">
        <v>500000</v>
      </c>
      <c r="W344" s="80">
        <v>0</v>
      </c>
      <c r="X344" s="80">
        <v>3</v>
      </c>
      <c r="Y344" s="11" t="str">
        <f ca="1">IF(ISBLANK(BudgetsTable[[#This Row],[budg_seq_yr]]),"FY"&amp;fiscalyear,"FY"&amp;fiscalyear-1+BudgetsTable[[#This Row],[budg_seq_yr]])</f>
        <v>FY20</v>
      </c>
      <c r="Z344" s="81">
        <v>500000</v>
      </c>
      <c r="AA344" s="80" t="s">
        <v>222</v>
      </c>
      <c r="AB344" s="80" t="s">
        <v>1137</v>
      </c>
      <c r="AC344" s="80" t="s">
        <v>1176</v>
      </c>
    </row>
    <row r="345" spans="1:29" x14ac:dyDescent="0.4">
      <c r="A345" s="10" t="s">
        <v>1384</v>
      </c>
      <c r="B345" s="78" t="s">
        <v>96</v>
      </c>
      <c r="C345" s="78">
        <f>C344+(BudgetsTable[[#This Row],[lead]]&lt;&gt;K344)</f>
        <v>68</v>
      </c>
      <c r="D345" s="78">
        <f>D344*(BudgetsTable[[#This Row],[lead]]=K344)+(BudgetsTable[[#This Row],[prop_id]]&lt;&gt;A344)</f>
        <v>1</v>
      </c>
      <c r="E345" s="79">
        <v>42809.706250000003</v>
      </c>
      <c r="F345" s="80" t="s">
        <v>1136</v>
      </c>
      <c r="G345" s="80" t="s">
        <v>222</v>
      </c>
      <c r="H345" s="80" t="s">
        <v>1137</v>
      </c>
      <c r="I345" s="78" t="s">
        <v>451</v>
      </c>
      <c r="J345" s="78" t="s">
        <v>1387</v>
      </c>
      <c r="K345" s="80" t="s">
        <v>1384</v>
      </c>
      <c r="L345" s="7" t="str">
        <f>IF(BudgetsTable[[#This Row],[pi_last_name]]=" ","",HYPERLINK("https://www.ejacket.nsf.gov/ej/showProposal.do?Continue=Y&amp;ID="&amp;BudgetsTable[[#This Row],[prop_id]],BudgetsTable[[#This Row],[prop_id]]))</f>
        <v>1740835</v>
      </c>
      <c r="M345" s="15" t="str">
        <f>IF(BudgetsTable[[#This Row],[pi_last_name]]=" ","",HYPERLINK("https://www.ejacket.nsf.gov/ej/processReviewAnalysis.do?dispatch=add&amp;uniqId="&amp;BudgetsTable[[#This Row],[prop_id]]&amp;PO_id,"&gt;ra"))</f>
        <v>&gt;ra</v>
      </c>
      <c r="N345" s="80" t="s">
        <v>1385</v>
      </c>
      <c r="O345" s="7" t="str">
        <f>IF(BudgetsTable[[#This Row],[pi_last_name]]=" ","",HYPERLINK("mailto:"&amp;BudgetsTable[[#This Row],[pi_email]]&amp;"&amp;subject=Your NSF Proposal:  "&amp;BudgetsTable[[#This Row],[prop_id]],BudgetsTable[[#This Row],[pi_email]]))</f>
        <v>orecchia@bu.edu</v>
      </c>
      <c r="P345" s="80" t="s">
        <v>501</v>
      </c>
      <c r="Q345" s="80"/>
      <c r="R345" s="80"/>
      <c r="S345" s="81"/>
      <c r="T345" s="81"/>
      <c r="U345" s="81"/>
      <c r="V345" s="82"/>
      <c r="W345" s="80">
        <v>0</v>
      </c>
      <c r="X345" s="80"/>
      <c r="Y345" s="11" t="str">
        <f ca="1">IF(ISBLANK(BudgetsTable[[#This Row],[budg_seq_yr]]),"FY"&amp;fiscalyear,"FY"&amp;fiscalyear-1+BudgetsTable[[#This Row],[budg_seq_yr]])</f>
        <v>FY18</v>
      </c>
      <c r="Z345" s="81">
        <v>1493907</v>
      </c>
      <c r="AA345" s="80" t="s">
        <v>222</v>
      </c>
      <c r="AB345" s="80" t="s">
        <v>1137</v>
      </c>
      <c r="AC345" s="80" t="s">
        <v>1142</v>
      </c>
    </row>
    <row r="346" spans="1:29" x14ac:dyDescent="0.4">
      <c r="A346" s="10" t="s">
        <v>1384</v>
      </c>
      <c r="B346" s="78" t="s">
        <v>96</v>
      </c>
      <c r="C346" s="78">
        <f>C345+(BudgetsTable[[#This Row],[lead]]&lt;&gt;K345)</f>
        <v>68</v>
      </c>
      <c r="D346" s="78">
        <f>D345*(BudgetsTable[[#This Row],[lead]]=K345)+(BudgetsTable[[#This Row],[prop_id]]&lt;&gt;A345)</f>
        <v>1</v>
      </c>
      <c r="E346" s="79">
        <v>42809.706250000003</v>
      </c>
      <c r="F346" s="80" t="s">
        <v>1136</v>
      </c>
      <c r="G346" s="80" t="s">
        <v>222</v>
      </c>
      <c r="H346" s="80" t="s">
        <v>1137</v>
      </c>
      <c r="I346" s="78" t="s">
        <v>451</v>
      </c>
      <c r="J346" s="78" t="s">
        <v>13</v>
      </c>
      <c r="K346" s="80" t="s">
        <v>1384</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80" t="s">
        <v>13</v>
      </c>
      <c r="O346" s="7" t="str">
        <f>IF(BudgetsTable[[#This Row],[pi_last_name]]=" ","",HYPERLINK("mailto:"&amp;BudgetsTable[[#This Row],[pi_email]]&amp;"&amp;subject=Your NSF Proposal:  "&amp;BudgetsTable[[#This Row],[prop_id]],BudgetsTable[[#This Row],[pi_email]]))</f>
        <v/>
      </c>
      <c r="P346" s="80" t="s">
        <v>13</v>
      </c>
      <c r="Q346" s="80">
        <v>10</v>
      </c>
      <c r="R346" s="80">
        <v>2.4500000000000002</v>
      </c>
      <c r="S346" s="81">
        <v>0</v>
      </c>
      <c r="T346" s="81">
        <v>0</v>
      </c>
      <c r="U346" s="81">
        <v>318990</v>
      </c>
      <c r="V346" s="82">
        <v>496136</v>
      </c>
      <c r="W346" s="80">
        <v>0</v>
      </c>
      <c r="X346" s="80">
        <v>1</v>
      </c>
      <c r="Y346" s="11" t="str">
        <f ca="1">IF(ISBLANK(BudgetsTable[[#This Row],[budg_seq_yr]]),"FY"&amp;fiscalyear,"FY"&amp;fiscalyear-1+BudgetsTable[[#This Row],[budg_seq_yr]])</f>
        <v>FY18</v>
      </c>
      <c r="Z346" s="81">
        <v>496136</v>
      </c>
      <c r="AA346" s="80" t="s">
        <v>222</v>
      </c>
      <c r="AB346" s="80" t="s">
        <v>1137</v>
      </c>
      <c r="AC346" s="80" t="s">
        <v>1142</v>
      </c>
    </row>
    <row r="347" spans="1:29" x14ac:dyDescent="0.4">
      <c r="A347" s="10" t="s">
        <v>1384</v>
      </c>
      <c r="B347" s="78" t="s">
        <v>96</v>
      </c>
      <c r="C347" s="78">
        <f>C346+(BudgetsTable[[#This Row],[lead]]&lt;&gt;K346)</f>
        <v>68</v>
      </c>
      <c r="D347" s="78">
        <f>D346*(BudgetsTable[[#This Row],[lead]]=K346)+(BudgetsTable[[#This Row],[prop_id]]&lt;&gt;A346)</f>
        <v>1</v>
      </c>
      <c r="E347" s="79">
        <v>42809.706250000003</v>
      </c>
      <c r="F347" s="80" t="s">
        <v>1136</v>
      </c>
      <c r="G347" s="80" t="s">
        <v>222</v>
      </c>
      <c r="H347" s="80" t="s">
        <v>1137</v>
      </c>
      <c r="I347" s="78" t="s">
        <v>451</v>
      </c>
      <c r="J347" s="78" t="s">
        <v>13</v>
      </c>
      <c r="K347" s="80" t="s">
        <v>1384</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80" t="s">
        <v>13</v>
      </c>
      <c r="O347" s="7" t="str">
        <f>IF(BudgetsTable[[#This Row],[pi_last_name]]=" ","",HYPERLINK("mailto:"&amp;BudgetsTable[[#This Row],[pi_email]]&amp;"&amp;subject=Your NSF Proposal:  "&amp;BudgetsTable[[#This Row],[prop_id]],BudgetsTable[[#This Row],[pi_email]]))</f>
        <v/>
      </c>
      <c r="P347" s="80" t="s">
        <v>13</v>
      </c>
      <c r="Q347" s="80">
        <v>10</v>
      </c>
      <c r="R347" s="80">
        <v>2.4500000000000002</v>
      </c>
      <c r="S347" s="81">
        <v>0</v>
      </c>
      <c r="T347" s="81">
        <v>0</v>
      </c>
      <c r="U347" s="81">
        <v>318990</v>
      </c>
      <c r="V347" s="82">
        <v>498566</v>
      </c>
      <c r="W347" s="80">
        <v>0</v>
      </c>
      <c r="X347" s="80">
        <v>2</v>
      </c>
      <c r="Y347" s="11" t="str">
        <f ca="1">IF(ISBLANK(BudgetsTable[[#This Row],[budg_seq_yr]]),"FY"&amp;fiscalyear,"FY"&amp;fiscalyear-1+BudgetsTable[[#This Row],[budg_seq_yr]])</f>
        <v>FY19</v>
      </c>
      <c r="Z347" s="81">
        <v>498566</v>
      </c>
      <c r="AA347" s="80" t="s">
        <v>222</v>
      </c>
      <c r="AB347" s="80" t="s">
        <v>1137</v>
      </c>
      <c r="AC347" s="80" t="s">
        <v>1142</v>
      </c>
    </row>
    <row r="348" spans="1:29" x14ac:dyDescent="0.4">
      <c r="A348" s="10" t="s">
        <v>1384</v>
      </c>
      <c r="B348" s="78" t="s">
        <v>96</v>
      </c>
      <c r="C348" s="78">
        <f>C347+(BudgetsTable[[#This Row],[lead]]&lt;&gt;K347)</f>
        <v>68</v>
      </c>
      <c r="D348" s="78">
        <f>D347*(BudgetsTable[[#This Row],[lead]]=K347)+(BudgetsTable[[#This Row],[prop_id]]&lt;&gt;A347)</f>
        <v>1</v>
      </c>
      <c r="E348" s="79">
        <v>42809.706250000003</v>
      </c>
      <c r="F348" s="80" t="s">
        <v>1136</v>
      </c>
      <c r="G348" s="80" t="s">
        <v>222</v>
      </c>
      <c r="H348" s="80" t="s">
        <v>1137</v>
      </c>
      <c r="I348" s="78" t="s">
        <v>451</v>
      </c>
      <c r="J348" s="78" t="s">
        <v>13</v>
      </c>
      <c r="K348" s="80" t="s">
        <v>1384</v>
      </c>
      <c r="L348" s="7" t="str">
        <f>IF(BudgetsTable[[#This Row],[pi_last_name]]=" ","",HYPERLINK("https://www.ejacket.nsf.gov/ej/showProposal.do?Continue=Y&amp;ID="&amp;BudgetsTable[[#This Row],[prop_id]],BudgetsTable[[#This Row],[prop_id]]))</f>
        <v/>
      </c>
      <c r="M348" s="15" t="str">
        <f>IF(BudgetsTable[[#This Row],[pi_last_name]]=" ","",HYPERLINK("https://www.ejacket.nsf.gov/ej/processReviewAnalysis.do?dispatch=add&amp;uniqId="&amp;BudgetsTable[[#This Row],[prop_id]]&amp;PO_id,"&gt;ra"))</f>
        <v/>
      </c>
      <c r="N348" s="80" t="s">
        <v>13</v>
      </c>
      <c r="O348" s="7" t="str">
        <f>IF(BudgetsTable[[#This Row],[pi_last_name]]=" ","",HYPERLINK("mailto:"&amp;BudgetsTable[[#This Row],[pi_email]]&amp;"&amp;subject=Your NSF Proposal:  "&amp;BudgetsTable[[#This Row],[prop_id]],BudgetsTable[[#This Row],[pi_email]]))</f>
        <v/>
      </c>
      <c r="P348" s="80" t="s">
        <v>13</v>
      </c>
      <c r="Q348" s="80">
        <v>10</v>
      </c>
      <c r="R348" s="80">
        <v>2.4500000000000002</v>
      </c>
      <c r="S348" s="81">
        <v>0</v>
      </c>
      <c r="T348" s="81">
        <v>0</v>
      </c>
      <c r="U348" s="81">
        <v>318990</v>
      </c>
      <c r="V348" s="82">
        <v>499205</v>
      </c>
      <c r="W348" s="80">
        <v>0</v>
      </c>
      <c r="X348" s="80">
        <v>3</v>
      </c>
      <c r="Y348" s="11" t="str">
        <f ca="1">IF(ISBLANK(BudgetsTable[[#This Row],[budg_seq_yr]]),"FY"&amp;fiscalyear,"FY"&amp;fiscalyear-1+BudgetsTable[[#This Row],[budg_seq_yr]])</f>
        <v>FY20</v>
      </c>
      <c r="Z348" s="81">
        <v>499205</v>
      </c>
      <c r="AA348" s="80" t="s">
        <v>222</v>
      </c>
      <c r="AB348" s="80" t="s">
        <v>1137</v>
      </c>
      <c r="AC348" s="80" t="s">
        <v>1142</v>
      </c>
    </row>
    <row r="349" spans="1:29" x14ac:dyDescent="0.4">
      <c r="A349" s="10" t="s">
        <v>1389</v>
      </c>
      <c r="B349" s="78" t="s">
        <v>1145</v>
      </c>
      <c r="C349" s="78">
        <f>C348+(BudgetsTable[[#This Row],[lead]]&lt;&gt;K348)</f>
        <v>69</v>
      </c>
      <c r="D349" s="78">
        <f>D348*(BudgetsTable[[#This Row],[lead]]=K348)+(BudgetsTable[[#This Row],[prop_id]]&lt;&gt;A348)</f>
        <v>1</v>
      </c>
      <c r="E349" s="79">
        <v>42810.679861111108</v>
      </c>
      <c r="F349" s="80" t="s">
        <v>1136</v>
      </c>
      <c r="G349" s="80" t="s">
        <v>222</v>
      </c>
      <c r="H349" s="80" t="s">
        <v>1137</v>
      </c>
      <c r="I349" s="78" t="s">
        <v>451</v>
      </c>
      <c r="J349" s="78" t="s">
        <v>1393</v>
      </c>
      <c r="K349" s="80" t="s">
        <v>1389</v>
      </c>
      <c r="L349" s="7" t="str">
        <f>IF(BudgetsTable[[#This Row],[pi_last_name]]=" ","",HYPERLINK("https://www.ejacket.nsf.gov/ej/showProposal.do?Continue=Y&amp;ID="&amp;BudgetsTable[[#This Row],[prop_id]],BudgetsTable[[#This Row],[prop_id]]))</f>
        <v>1740904</v>
      </c>
      <c r="M349" s="15" t="str">
        <f>IF(BudgetsTable[[#This Row],[pi_last_name]]=" ","",HYPERLINK("https://www.ejacket.nsf.gov/ej/processReviewAnalysis.do?dispatch=add&amp;uniqId="&amp;BudgetsTable[[#This Row],[prop_id]]&amp;PO_id,"&gt;ra"))</f>
        <v>&gt;ra</v>
      </c>
      <c r="N349" s="80" t="s">
        <v>1390</v>
      </c>
      <c r="O349" s="7" t="str">
        <f>IF(BudgetsTable[[#This Row],[pi_last_name]]=" ","",HYPERLINK("mailto:"&amp;BudgetsTable[[#This Row],[pi_email]]&amp;"&amp;subject=Your NSF Proposal:  "&amp;BudgetsTable[[#This Row],[prop_id]],BudgetsTable[[#This Row],[pi_email]]))</f>
        <v>byener@gmail.com</v>
      </c>
      <c r="P349" s="80" t="s">
        <v>1392</v>
      </c>
      <c r="Q349" s="80"/>
      <c r="R349" s="80"/>
      <c r="S349" s="81"/>
      <c r="T349" s="81"/>
      <c r="U349" s="81"/>
      <c r="V349" s="82"/>
      <c r="W349" s="80">
        <v>0</v>
      </c>
      <c r="X349" s="80"/>
      <c r="Y349" s="11" t="str">
        <f ca="1">IF(ISBLANK(BudgetsTable[[#This Row],[budg_seq_yr]]),"FY"&amp;fiscalyear,"FY"&amp;fiscalyear-1+BudgetsTable[[#This Row],[budg_seq_yr]])</f>
        <v>FY18</v>
      </c>
      <c r="Z349" s="81">
        <v>1277934</v>
      </c>
      <c r="AA349" s="80" t="s">
        <v>222</v>
      </c>
      <c r="AB349" s="80" t="s">
        <v>1137</v>
      </c>
      <c r="AC349" s="80" t="s">
        <v>1142</v>
      </c>
    </row>
    <row r="350" spans="1:29" x14ac:dyDescent="0.4">
      <c r="A350" s="10" t="s">
        <v>1389</v>
      </c>
      <c r="B350" s="78" t="s">
        <v>1145</v>
      </c>
      <c r="C350" s="78">
        <f>C349+(BudgetsTable[[#This Row],[lead]]&lt;&gt;K349)</f>
        <v>69</v>
      </c>
      <c r="D350" s="78">
        <f>D349*(BudgetsTable[[#This Row],[lead]]=K349)+(BudgetsTable[[#This Row],[prop_id]]&lt;&gt;A349)</f>
        <v>1</v>
      </c>
      <c r="E350" s="79">
        <v>42810.679861111108</v>
      </c>
      <c r="F350" s="80" t="s">
        <v>1136</v>
      </c>
      <c r="G350" s="80" t="s">
        <v>222</v>
      </c>
      <c r="H350" s="80" t="s">
        <v>1137</v>
      </c>
      <c r="I350" s="78" t="s">
        <v>451</v>
      </c>
      <c r="J350" s="78" t="s">
        <v>13</v>
      </c>
      <c r="K350" s="80" t="s">
        <v>1389</v>
      </c>
      <c r="L350" s="7" t="str">
        <f>IF(BudgetsTable[[#This Row],[pi_last_name]]=" ","",HYPERLINK("https://www.ejacket.nsf.gov/ej/showProposal.do?Continue=Y&amp;ID="&amp;BudgetsTable[[#This Row],[prop_id]],BudgetsTable[[#This Row],[prop_id]]))</f>
        <v/>
      </c>
      <c r="M350" s="15" t="str">
        <f>IF(BudgetsTable[[#This Row],[pi_last_name]]=" ","",HYPERLINK("https://www.ejacket.nsf.gov/ej/processReviewAnalysis.do?dispatch=add&amp;uniqId="&amp;BudgetsTable[[#This Row],[prop_id]]&amp;PO_id,"&gt;ra"))</f>
        <v/>
      </c>
      <c r="N350" s="80" t="s">
        <v>13</v>
      </c>
      <c r="O350" s="7" t="str">
        <f>IF(BudgetsTable[[#This Row],[pi_last_name]]=" ","",HYPERLINK("mailto:"&amp;BudgetsTable[[#This Row],[pi_email]]&amp;"&amp;subject=Your NSF Proposal:  "&amp;BudgetsTable[[#This Row],[prop_id]],BudgetsTable[[#This Row],[pi_email]]))</f>
        <v/>
      </c>
      <c r="P350" s="80" t="s">
        <v>13</v>
      </c>
      <c r="Q350" s="80">
        <v>4</v>
      </c>
      <c r="R350" s="80">
        <v>2.25</v>
      </c>
      <c r="S350" s="81">
        <v>0</v>
      </c>
      <c r="T350" s="81">
        <v>0</v>
      </c>
      <c r="U350" s="81">
        <v>0</v>
      </c>
      <c r="V350" s="82">
        <v>428214</v>
      </c>
      <c r="W350" s="80">
        <v>0</v>
      </c>
      <c r="X350" s="80">
        <v>1</v>
      </c>
      <c r="Y350" s="11" t="str">
        <f ca="1">IF(ISBLANK(BudgetsTable[[#This Row],[budg_seq_yr]]),"FY"&amp;fiscalyear,"FY"&amp;fiscalyear-1+BudgetsTable[[#This Row],[budg_seq_yr]])</f>
        <v>FY18</v>
      </c>
      <c r="Z350" s="81">
        <v>428214</v>
      </c>
      <c r="AA350" s="80" t="s">
        <v>222</v>
      </c>
      <c r="AB350" s="80" t="s">
        <v>1137</v>
      </c>
      <c r="AC350" s="80" t="s">
        <v>1142</v>
      </c>
    </row>
    <row r="351" spans="1:29" x14ac:dyDescent="0.4">
      <c r="A351" s="10" t="s">
        <v>1389</v>
      </c>
      <c r="B351" s="78" t="s">
        <v>1145</v>
      </c>
      <c r="C351" s="78">
        <f>C350+(BudgetsTable[[#This Row],[lead]]&lt;&gt;K350)</f>
        <v>69</v>
      </c>
      <c r="D351" s="78">
        <f>D350*(BudgetsTable[[#This Row],[lead]]=K350)+(BudgetsTable[[#This Row],[prop_id]]&lt;&gt;A350)</f>
        <v>1</v>
      </c>
      <c r="E351" s="79">
        <v>42810.679861111108</v>
      </c>
      <c r="F351" s="80" t="s">
        <v>1136</v>
      </c>
      <c r="G351" s="80" t="s">
        <v>222</v>
      </c>
      <c r="H351" s="80" t="s">
        <v>1137</v>
      </c>
      <c r="I351" s="78" t="s">
        <v>451</v>
      </c>
      <c r="J351" s="78" t="s">
        <v>13</v>
      </c>
      <c r="K351" s="80" t="s">
        <v>1389</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80" t="s">
        <v>13</v>
      </c>
      <c r="O351" s="7" t="str">
        <f>IF(BudgetsTable[[#This Row],[pi_last_name]]=" ","",HYPERLINK("mailto:"&amp;BudgetsTable[[#This Row],[pi_email]]&amp;"&amp;subject=Your NSF Proposal:  "&amp;BudgetsTable[[#This Row],[prop_id]],BudgetsTable[[#This Row],[pi_email]]))</f>
        <v/>
      </c>
      <c r="P351" s="80" t="s">
        <v>13</v>
      </c>
      <c r="Q351" s="80">
        <v>4</v>
      </c>
      <c r="R351" s="80">
        <v>2.25</v>
      </c>
      <c r="S351" s="81">
        <v>0</v>
      </c>
      <c r="T351" s="81">
        <v>0</v>
      </c>
      <c r="U351" s="81">
        <v>0</v>
      </c>
      <c r="V351" s="82">
        <v>425943</v>
      </c>
      <c r="W351" s="80">
        <v>0</v>
      </c>
      <c r="X351" s="80">
        <v>2</v>
      </c>
      <c r="Y351" s="11" t="str">
        <f ca="1">IF(ISBLANK(BudgetsTable[[#This Row],[budg_seq_yr]]),"FY"&amp;fiscalyear,"FY"&amp;fiscalyear-1+BudgetsTable[[#This Row],[budg_seq_yr]])</f>
        <v>FY19</v>
      </c>
      <c r="Z351" s="81">
        <v>425943</v>
      </c>
      <c r="AA351" s="80" t="s">
        <v>222</v>
      </c>
      <c r="AB351" s="80" t="s">
        <v>1137</v>
      </c>
      <c r="AC351" s="80" t="s">
        <v>1142</v>
      </c>
    </row>
    <row r="352" spans="1:29" x14ac:dyDescent="0.4">
      <c r="A352" s="10" t="s">
        <v>1389</v>
      </c>
      <c r="B352" s="78" t="s">
        <v>1145</v>
      </c>
      <c r="C352" s="78">
        <f>C351+(BudgetsTable[[#This Row],[lead]]&lt;&gt;K351)</f>
        <v>69</v>
      </c>
      <c r="D352" s="78">
        <f>D351*(BudgetsTable[[#This Row],[lead]]=K351)+(BudgetsTable[[#This Row],[prop_id]]&lt;&gt;A351)</f>
        <v>1</v>
      </c>
      <c r="E352" s="79">
        <v>42810.679861111108</v>
      </c>
      <c r="F352" s="80" t="s">
        <v>1136</v>
      </c>
      <c r="G352" s="80" t="s">
        <v>222</v>
      </c>
      <c r="H352" s="80" t="s">
        <v>1137</v>
      </c>
      <c r="I352" s="78" t="s">
        <v>451</v>
      </c>
      <c r="J352" s="78" t="s">
        <v>13</v>
      </c>
      <c r="K352" s="80" t="s">
        <v>1389</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80" t="s">
        <v>13</v>
      </c>
      <c r="O352" s="7" t="str">
        <f>IF(BudgetsTable[[#This Row],[pi_last_name]]=" ","",HYPERLINK("mailto:"&amp;BudgetsTable[[#This Row],[pi_email]]&amp;"&amp;subject=Your NSF Proposal:  "&amp;BudgetsTable[[#This Row],[prop_id]],BudgetsTable[[#This Row],[pi_email]]))</f>
        <v/>
      </c>
      <c r="P352" s="80" t="s">
        <v>13</v>
      </c>
      <c r="Q352" s="80">
        <v>4</v>
      </c>
      <c r="R352" s="80">
        <v>2.25</v>
      </c>
      <c r="S352" s="81">
        <v>0</v>
      </c>
      <c r="T352" s="81">
        <v>0</v>
      </c>
      <c r="U352" s="81">
        <v>0</v>
      </c>
      <c r="V352" s="82">
        <v>423777</v>
      </c>
      <c r="W352" s="80">
        <v>0</v>
      </c>
      <c r="X352" s="80">
        <v>3</v>
      </c>
      <c r="Y352" s="11" t="str">
        <f ca="1">IF(ISBLANK(BudgetsTable[[#This Row],[budg_seq_yr]]),"FY"&amp;fiscalyear,"FY"&amp;fiscalyear-1+BudgetsTable[[#This Row],[budg_seq_yr]])</f>
        <v>FY20</v>
      </c>
      <c r="Z352" s="81">
        <v>423777</v>
      </c>
      <c r="AA352" s="80" t="s">
        <v>222</v>
      </c>
      <c r="AB352" s="80" t="s">
        <v>1137</v>
      </c>
      <c r="AC352" s="80" t="s">
        <v>1142</v>
      </c>
    </row>
    <row r="353" spans="1:29" x14ac:dyDescent="0.4">
      <c r="A353" s="10" t="s">
        <v>1396</v>
      </c>
      <c r="B353" s="78" t="s">
        <v>965</v>
      </c>
      <c r="C353" s="78">
        <f>C352+(BudgetsTable[[#This Row],[lead]]&lt;&gt;K352)</f>
        <v>69</v>
      </c>
      <c r="D353" s="78">
        <f>D352*(BudgetsTable[[#This Row],[lead]]=K352)+(BudgetsTable[[#This Row],[prop_id]]&lt;&gt;A352)</f>
        <v>2</v>
      </c>
      <c r="E353" s="79">
        <v>42809.634027777778</v>
      </c>
      <c r="F353" s="80" t="s">
        <v>1136</v>
      </c>
      <c r="G353" s="80" t="s">
        <v>222</v>
      </c>
      <c r="H353" s="80" t="s">
        <v>1137</v>
      </c>
      <c r="I353" s="78" t="s">
        <v>451</v>
      </c>
      <c r="J353" s="78" t="s">
        <v>1400</v>
      </c>
      <c r="K353" s="80" t="s">
        <v>1389</v>
      </c>
      <c r="L353" s="7" t="str">
        <f>IF(BudgetsTable[[#This Row],[pi_last_name]]=" ","",HYPERLINK("https://www.ejacket.nsf.gov/ej/showProposal.do?Continue=Y&amp;ID="&amp;BudgetsTable[[#This Row],[prop_id]],BudgetsTable[[#This Row],[prop_id]]))</f>
        <v>1740792</v>
      </c>
      <c r="M353" s="15" t="str">
        <f>IF(BudgetsTable[[#This Row],[pi_last_name]]=" ","",HYPERLINK("https://www.ejacket.nsf.gov/ej/processReviewAnalysis.do?dispatch=add&amp;uniqId="&amp;BudgetsTable[[#This Row],[prop_id]]&amp;PO_id,"&gt;ra"))</f>
        <v>&gt;ra</v>
      </c>
      <c r="N353" s="80" t="s">
        <v>1397</v>
      </c>
      <c r="O353" s="7" t="str">
        <f>IF(BudgetsTable[[#This Row],[pi_last_name]]=" ","",HYPERLINK("mailto:"&amp;BudgetsTable[[#This Row],[pi_email]]&amp;"&amp;subject=Your NSF Proposal:  "&amp;BudgetsTable[[#This Row],[prop_id]],BudgetsTable[[#This Row],[pi_email]]))</f>
        <v>kk3ab@virginia.edu</v>
      </c>
      <c r="P353" s="80" t="s">
        <v>1399</v>
      </c>
      <c r="Q353" s="80"/>
      <c r="R353" s="80"/>
      <c r="S353" s="81"/>
      <c r="T353" s="81"/>
      <c r="U353" s="81"/>
      <c r="V353" s="82"/>
      <c r="W353" s="80">
        <v>0</v>
      </c>
      <c r="X353" s="80"/>
      <c r="Y353" s="11" t="str">
        <f ca="1">IF(ISBLANK(BudgetsTable[[#This Row],[budg_seq_yr]]),"FY"&amp;fiscalyear,"FY"&amp;fiscalyear-1+BudgetsTable[[#This Row],[budg_seq_yr]])</f>
        <v>FY18</v>
      </c>
      <c r="Z353" s="81">
        <v>222063</v>
      </c>
      <c r="AA353" s="80" t="s">
        <v>222</v>
      </c>
      <c r="AB353" s="80" t="s">
        <v>1137</v>
      </c>
      <c r="AC353" s="80" t="s">
        <v>1176</v>
      </c>
    </row>
    <row r="354" spans="1:29" x14ac:dyDescent="0.4">
      <c r="A354" s="10" t="s">
        <v>1396</v>
      </c>
      <c r="B354" s="78" t="s">
        <v>965</v>
      </c>
      <c r="C354" s="78">
        <f>C353+(BudgetsTable[[#This Row],[lead]]&lt;&gt;K353)</f>
        <v>69</v>
      </c>
      <c r="D354" s="78">
        <f>D353*(BudgetsTable[[#This Row],[lead]]=K353)+(BudgetsTable[[#This Row],[prop_id]]&lt;&gt;A353)</f>
        <v>2</v>
      </c>
      <c r="E354" s="79">
        <v>42809.634027777778</v>
      </c>
      <c r="F354" s="80" t="s">
        <v>1136</v>
      </c>
      <c r="G354" s="80" t="s">
        <v>222</v>
      </c>
      <c r="H354" s="80" t="s">
        <v>1137</v>
      </c>
      <c r="I354" s="78" t="s">
        <v>451</v>
      </c>
      <c r="J354" s="78" t="s">
        <v>13</v>
      </c>
      <c r="K354" s="80" t="s">
        <v>1389</v>
      </c>
      <c r="L354" s="7" t="str">
        <f>IF(BudgetsTable[[#This Row],[pi_last_name]]=" ","",HYPERLINK("https://www.ejacket.nsf.gov/ej/showProposal.do?Continue=Y&amp;ID="&amp;BudgetsTable[[#This Row],[prop_id]],BudgetsTable[[#This Row],[prop_id]]))</f>
        <v/>
      </c>
      <c r="M354" s="15" t="str">
        <f>IF(BudgetsTable[[#This Row],[pi_last_name]]=" ","",HYPERLINK("https://www.ejacket.nsf.gov/ej/processReviewAnalysis.do?dispatch=add&amp;uniqId="&amp;BudgetsTable[[#This Row],[prop_id]]&amp;PO_id,"&gt;ra"))</f>
        <v/>
      </c>
      <c r="N354" s="80" t="s">
        <v>13</v>
      </c>
      <c r="O354" s="7" t="str">
        <f>IF(BudgetsTable[[#This Row],[pi_last_name]]=" ","",HYPERLINK("mailto:"&amp;BudgetsTable[[#This Row],[pi_email]]&amp;"&amp;subject=Your NSF Proposal:  "&amp;BudgetsTable[[#This Row],[prop_id]],BudgetsTable[[#This Row],[pi_email]]))</f>
        <v/>
      </c>
      <c r="P354" s="80" t="s">
        <v>13</v>
      </c>
      <c r="Q354" s="80">
        <v>1</v>
      </c>
      <c r="R354" s="80">
        <v>1</v>
      </c>
      <c r="S354" s="81">
        <v>0</v>
      </c>
      <c r="T354" s="81">
        <v>0</v>
      </c>
      <c r="U354" s="81">
        <v>0</v>
      </c>
      <c r="V354" s="82">
        <v>71785</v>
      </c>
      <c r="W354" s="80">
        <v>0</v>
      </c>
      <c r="X354" s="80">
        <v>1</v>
      </c>
      <c r="Y354" s="11" t="str">
        <f ca="1">IF(ISBLANK(BudgetsTable[[#This Row],[budg_seq_yr]]),"FY"&amp;fiscalyear,"FY"&amp;fiscalyear-1+BudgetsTable[[#This Row],[budg_seq_yr]])</f>
        <v>FY18</v>
      </c>
      <c r="Z354" s="81">
        <v>71785</v>
      </c>
      <c r="AA354" s="80" t="s">
        <v>222</v>
      </c>
      <c r="AB354" s="80" t="s">
        <v>1137</v>
      </c>
      <c r="AC354" s="80" t="s">
        <v>1176</v>
      </c>
    </row>
    <row r="355" spans="1:29" x14ac:dyDescent="0.4">
      <c r="A355" s="10" t="s">
        <v>1396</v>
      </c>
      <c r="B355" s="78" t="s">
        <v>965</v>
      </c>
      <c r="C355" s="78">
        <f>C354+(BudgetsTable[[#This Row],[lead]]&lt;&gt;K354)</f>
        <v>69</v>
      </c>
      <c r="D355" s="78">
        <f>D354*(BudgetsTable[[#This Row],[lead]]=K354)+(BudgetsTable[[#This Row],[prop_id]]&lt;&gt;A354)</f>
        <v>2</v>
      </c>
      <c r="E355" s="79">
        <v>42809.634027777778</v>
      </c>
      <c r="F355" s="80" t="s">
        <v>1136</v>
      </c>
      <c r="G355" s="80" t="s">
        <v>222</v>
      </c>
      <c r="H355" s="80" t="s">
        <v>1137</v>
      </c>
      <c r="I355" s="78" t="s">
        <v>451</v>
      </c>
      <c r="J355" s="78" t="s">
        <v>13</v>
      </c>
      <c r="K355" s="80" t="s">
        <v>1389</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80" t="s">
        <v>13</v>
      </c>
      <c r="O355" s="7" t="str">
        <f>IF(BudgetsTable[[#This Row],[pi_last_name]]=" ","",HYPERLINK("mailto:"&amp;BudgetsTable[[#This Row],[pi_email]]&amp;"&amp;subject=Your NSF Proposal:  "&amp;BudgetsTable[[#This Row],[prop_id]],BudgetsTable[[#This Row],[pi_email]]))</f>
        <v/>
      </c>
      <c r="P355" s="80" t="s">
        <v>13</v>
      </c>
      <c r="Q355" s="80">
        <v>1</v>
      </c>
      <c r="R355" s="80">
        <v>1</v>
      </c>
      <c r="S355" s="81">
        <v>0</v>
      </c>
      <c r="T355" s="81">
        <v>0</v>
      </c>
      <c r="U355" s="81">
        <v>0</v>
      </c>
      <c r="V355" s="82">
        <v>74056</v>
      </c>
      <c r="W355" s="80">
        <v>0</v>
      </c>
      <c r="X355" s="80">
        <v>2</v>
      </c>
      <c r="Y355" s="11" t="str">
        <f ca="1">IF(ISBLANK(BudgetsTable[[#This Row],[budg_seq_yr]]),"FY"&amp;fiscalyear,"FY"&amp;fiscalyear-1+BudgetsTable[[#This Row],[budg_seq_yr]])</f>
        <v>FY19</v>
      </c>
      <c r="Z355" s="81">
        <v>74056</v>
      </c>
      <c r="AA355" s="80" t="s">
        <v>222</v>
      </c>
      <c r="AB355" s="80" t="s">
        <v>1137</v>
      </c>
      <c r="AC355" s="80" t="s">
        <v>1176</v>
      </c>
    </row>
    <row r="356" spans="1:29" x14ac:dyDescent="0.4">
      <c r="A356" s="10" t="s">
        <v>1396</v>
      </c>
      <c r="B356" s="78" t="s">
        <v>965</v>
      </c>
      <c r="C356" s="78">
        <f>C355+(BudgetsTable[[#This Row],[lead]]&lt;&gt;K355)</f>
        <v>69</v>
      </c>
      <c r="D356" s="78">
        <f>D355*(BudgetsTable[[#This Row],[lead]]=K355)+(BudgetsTable[[#This Row],[prop_id]]&lt;&gt;A355)</f>
        <v>2</v>
      </c>
      <c r="E356" s="79">
        <v>42809.634027777778</v>
      </c>
      <c r="F356" s="80" t="s">
        <v>1136</v>
      </c>
      <c r="G356" s="80" t="s">
        <v>222</v>
      </c>
      <c r="H356" s="80" t="s">
        <v>1137</v>
      </c>
      <c r="I356" s="78" t="s">
        <v>451</v>
      </c>
      <c r="J356" s="78" t="s">
        <v>13</v>
      </c>
      <c r="K356" s="80" t="s">
        <v>1389</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80" t="s">
        <v>13</v>
      </c>
      <c r="O356" s="7" t="str">
        <f>IF(BudgetsTable[[#This Row],[pi_last_name]]=" ","",HYPERLINK("mailto:"&amp;BudgetsTable[[#This Row],[pi_email]]&amp;"&amp;subject=Your NSF Proposal:  "&amp;BudgetsTable[[#This Row],[prop_id]],BudgetsTable[[#This Row],[pi_email]]))</f>
        <v/>
      </c>
      <c r="P356" s="80" t="s">
        <v>13</v>
      </c>
      <c r="Q356" s="80">
        <v>1</v>
      </c>
      <c r="R356" s="80">
        <v>1</v>
      </c>
      <c r="S356" s="81">
        <v>0</v>
      </c>
      <c r="T356" s="81">
        <v>0</v>
      </c>
      <c r="U356" s="81">
        <v>0</v>
      </c>
      <c r="V356" s="82">
        <v>76222</v>
      </c>
      <c r="W356" s="80">
        <v>0</v>
      </c>
      <c r="X356" s="80">
        <v>3</v>
      </c>
      <c r="Y356" s="11" t="str">
        <f ca="1">IF(ISBLANK(BudgetsTable[[#This Row],[budg_seq_yr]]),"FY"&amp;fiscalyear,"FY"&amp;fiscalyear-1+BudgetsTable[[#This Row],[budg_seq_yr]])</f>
        <v>FY20</v>
      </c>
      <c r="Z356" s="81">
        <v>76222</v>
      </c>
      <c r="AA356" s="80" t="s">
        <v>222</v>
      </c>
      <c r="AB356" s="80" t="s">
        <v>1137</v>
      </c>
      <c r="AC356" s="80" t="s">
        <v>1176</v>
      </c>
    </row>
    <row r="357" spans="1:29" x14ac:dyDescent="0.4">
      <c r="A357" s="10" t="s">
        <v>354</v>
      </c>
      <c r="B357" s="78" t="s">
        <v>96</v>
      </c>
      <c r="C357" s="78">
        <f>C356+(BudgetsTable[[#This Row],[lead]]&lt;&gt;K356)</f>
        <v>70</v>
      </c>
      <c r="D357" s="78">
        <f>D356*(BudgetsTable[[#This Row],[lead]]=K356)+(BudgetsTable[[#This Row],[prop_id]]&lt;&gt;A356)</f>
        <v>1</v>
      </c>
      <c r="E357" s="79">
        <v>42930.554166666669</v>
      </c>
      <c r="F357" s="80" t="s">
        <v>256</v>
      </c>
      <c r="G357" s="80" t="s">
        <v>222</v>
      </c>
      <c r="H357" s="80" t="s">
        <v>405</v>
      </c>
      <c r="I357" s="78" t="s">
        <v>406</v>
      </c>
      <c r="J357" s="78" t="s">
        <v>410</v>
      </c>
      <c r="K357" s="80" t="s">
        <v>354</v>
      </c>
      <c r="L357" s="7" t="str">
        <f>IF(BudgetsTable[[#This Row],[pi_last_name]]=" ","",HYPERLINK("https://www.ejacket.nsf.gov/ej/showProposal.do?Continue=Y&amp;ID="&amp;BudgetsTable[[#This Row],[prop_id]],BudgetsTable[[#This Row],[prop_id]]))</f>
        <v>1749173</v>
      </c>
      <c r="M357" s="15" t="str">
        <f>IF(BudgetsTable[[#This Row],[pi_last_name]]=" ","",HYPERLINK("https://www.ejacket.nsf.gov/ej/processReviewAnalysis.do?dispatch=add&amp;uniqId="&amp;BudgetsTable[[#This Row],[prop_id]]&amp;PO_id,"&gt;ra"))</f>
        <v>&gt;ra</v>
      </c>
      <c r="N357" s="80" t="s">
        <v>407</v>
      </c>
      <c r="O357" s="7" t="str">
        <f>IF(BudgetsTable[[#This Row],[pi_last_name]]=" ","",HYPERLINK("mailto:"&amp;BudgetsTable[[#This Row],[pi_email]]&amp;"&amp;subject=Your NSF Proposal:  "&amp;BudgetsTable[[#This Row],[prop_id]],BudgetsTable[[#This Row],[pi_email]]))</f>
        <v>steffen.borgwardt@ucdenver.edu</v>
      </c>
      <c r="P357" s="80" t="s">
        <v>409</v>
      </c>
      <c r="Q357" s="80"/>
      <c r="R357" s="80"/>
      <c r="S357" s="81"/>
      <c r="T357" s="81"/>
      <c r="U357" s="81"/>
      <c r="V357" s="82"/>
      <c r="W357" s="80">
        <v>0</v>
      </c>
      <c r="X357" s="80"/>
      <c r="Y357" s="11" t="str">
        <f ca="1">IF(ISBLANK(BudgetsTable[[#This Row],[budg_seq_yr]]),"FY"&amp;fiscalyear,"FY"&amp;fiscalyear-1+BudgetsTable[[#This Row],[budg_seq_yr]])</f>
        <v>FY18</v>
      </c>
      <c r="Z357" s="81">
        <v>470400</v>
      </c>
      <c r="AA357" s="80" t="s">
        <v>222</v>
      </c>
      <c r="AB357" s="80" t="s">
        <v>405</v>
      </c>
      <c r="AC357" s="80" t="s">
        <v>411</v>
      </c>
    </row>
    <row r="358" spans="1:29" x14ac:dyDescent="0.4">
      <c r="A358" s="10" t="s">
        <v>354</v>
      </c>
      <c r="B358" s="78" t="s">
        <v>96</v>
      </c>
      <c r="C358" s="78">
        <f>C357+(BudgetsTable[[#This Row],[lead]]&lt;&gt;K357)</f>
        <v>70</v>
      </c>
      <c r="D358" s="78">
        <f>D357*(BudgetsTable[[#This Row],[lead]]=K357)+(BudgetsTable[[#This Row],[prop_id]]&lt;&gt;A357)</f>
        <v>1</v>
      </c>
      <c r="E358" s="79">
        <v>42930.554166666669</v>
      </c>
      <c r="F358" s="80" t="s">
        <v>256</v>
      </c>
      <c r="G358" s="80" t="s">
        <v>222</v>
      </c>
      <c r="H358" s="80" t="s">
        <v>405</v>
      </c>
      <c r="I358" s="78" t="s">
        <v>406</v>
      </c>
      <c r="J358" s="78" t="s">
        <v>13</v>
      </c>
      <c r="K358" s="80" t="s">
        <v>354</v>
      </c>
      <c r="L358" s="7" t="str">
        <f>IF(BudgetsTable[[#This Row],[pi_last_name]]=" ","",HYPERLINK("https://www.ejacket.nsf.gov/ej/showProposal.do?Continue=Y&amp;ID="&amp;BudgetsTable[[#This Row],[prop_id]],BudgetsTable[[#This Row],[prop_id]]))</f>
        <v/>
      </c>
      <c r="M358" s="15" t="str">
        <f>IF(BudgetsTable[[#This Row],[pi_last_name]]=" ","",HYPERLINK("https://www.ejacket.nsf.gov/ej/processReviewAnalysis.do?dispatch=add&amp;uniqId="&amp;BudgetsTable[[#This Row],[prop_id]]&amp;PO_id,"&gt;ra"))</f>
        <v/>
      </c>
      <c r="N358" s="80" t="s">
        <v>13</v>
      </c>
      <c r="O358" s="7" t="str">
        <f>IF(BudgetsTable[[#This Row],[pi_last_name]]=" ","",HYPERLINK("mailto:"&amp;BudgetsTable[[#This Row],[pi_email]]&amp;"&amp;subject=Your NSF Proposal:  "&amp;BudgetsTable[[#This Row],[prop_id]],BudgetsTable[[#This Row],[pi_email]]))</f>
        <v/>
      </c>
      <c r="P358" s="80" t="s">
        <v>13</v>
      </c>
      <c r="Q358" s="80">
        <v>1</v>
      </c>
      <c r="R358" s="80">
        <v>1.5</v>
      </c>
      <c r="S358" s="81">
        <v>0</v>
      </c>
      <c r="T358" s="81">
        <v>1920</v>
      </c>
      <c r="U358" s="81">
        <v>0</v>
      </c>
      <c r="V358" s="82">
        <v>87855</v>
      </c>
      <c r="W358" s="80">
        <v>0</v>
      </c>
      <c r="X358" s="80">
        <v>1</v>
      </c>
      <c r="Y358" s="11" t="str">
        <f ca="1">IF(ISBLANK(BudgetsTable[[#This Row],[budg_seq_yr]]),"FY"&amp;fiscalyear,"FY"&amp;fiscalyear-1+BudgetsTable[[#This Row],[budg_seq_yr]])</f>
        <v>FY18</v>
      </c>
      <c r="Z358" s="81">
        <v>87855</v>
      </c>
      <c r="AA358" s="80" t="s">
        <v>222</v>
      </c>
      <c r="AB358" s="80" t="s">
        <v>405</v>
      </c>
      <c r="AC358" s="80" t="s">
        <v>411</v>
      </c>
    </row>
    <row r="359" spans="1:29" x14ac:dyDescent="0.4">
      <c r="A359" s="10" t="s">
        <v>354</v>
      </c>
      <c r="B359" s="78" t="s">
        <v>96</v>
      </c>
      <c r="C359" s="78">
        <f>C358+(BudgetsTable[[#This Row],[lead]]&lt;&gt;K358)</f>
        <v>70</v>
      </c>
      <c r="D359" s="78">
        <f>D358*(BudgetsTable[[#This Row],[lead]]=K358)+(BudgetsTable[[#This Row],[prop_id]]&lt;&gt;A358)</f>
        <v>1</v>
      </c>
      <c r="E359" s="79">
        <v>42930.554166666669</v>
      </c>
      <c r="F359" s="80" t="s">
        <v>256</v>
      </c>
      <c r="G359" s="80" t="s">
        <v>222</v>
      </c>
      <c r="H359" s="80" t="s">
        <v>405</v>
      </c>
      <c r="I359" s="78" t="s">
        <v>406</v>
      </c>
      <c r="J359" s="78" t="s">
        <v>13</v>
      </c>
      <c r="K359" s="80" t="s">
        <v>354</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80" t="s">
        <v>13</v>
      </c>
      <c r="O359" s="7" t="str">
        <f>IF(BudgetsTable[[#This Row],[pi_last_name]]=" ","",HYPERLINK("mailto:"&amp;BudgetsTable[[#This Row],[pi_email]]&amp;"&amp;subject=Your NSF Proposal:  "&amp;BudgetsTable[[#This Row],[prop_id]],BudgetsTable[[#This Row],[pi_email]]))</f>
        <v/>
      </c>
      <c r="P359" s="80" t="s">
        <v>13</v>
      </c>
      <c r="Q359" s="80">
        <v>1</v>
      </c>
      <c r="R359" s="80">
        <v>1.5</v>
      </c>
      <c r="S359" s="81">
        <v>0</v>
      </c>
      <c r="T359" s="81">
        <v>1920</v>
      </c>
      <c r="U359" s="81">
        <v>0</v>
      </c>
      <c r="V359" s="82">
        <v>90367</v>
      </c>
      <c r="W359" s="80">
        <v>0</v>
      </c>
      <c r="X359" s="80">
        <v>2</v>
      </c>
      <c r="Y359" s="11" t="str">
        <f ca="1">IF(ISBLANK(BudgetsTable[[#This Row],[budg_seq_yr]]),"FY"&amp;fiscalyear,"FY"&amp;fiscalyear-1+BudgetsTable[[#This Row],[budg_seq_yr]])</f>
        <v>FY19</v>
      </c>
      <c r="Z359" s="81">
        <v>90367</v>
      </c>
      <c r="AA359" s="80" t="s">
        <v>222</v>
      </c>
      <c r="AB359" s="80" t="s">
        <v>405</v>
      </c>
      <c r="AC359" s="80" t="s">
        <v>411</v>
      </c>
    </row>
    <row r="360" spans="1:29" x14ac:dyDescent="0.4">
      <c r="A360" s="10" t="s">
        <v>354</v>
      </c>
      <c r="B360" s="78" t="s">
        <v>96</v>
      </c>
      <c r="C360" s="78">
        <f>C359+(BudgetsTable[[#This Row],[lead]]&lt;&gt;K359)</f>
        <v>70</v>
      </c>
      <c r="D360" s="78">
        <f>D359*(BudgetsTable[[#This Row],[lead]]=K359)+(BudgetsTable[[#This Row],[prop_id]]&lt;&gt;A359)</f>
        <v>1</v>
      </c>
      <c r="E360" s="79">
        <v>42930.554166666669</v>
      </c>
      <c r="F360" s="80" t="s">
        <v>256</v>
      </c>
      <c r="G360" s="80" t="s">
        <v>222</v>
      </c>
      <c r="H360" s="80" t="s">
        <v>405</v>
      </c>
      <c r="I360" s="78" t="s">
        <v>406</v>
      </c>
      <c r="J360" s="78" t="s">
        <v>13</v>
      </c>
      <c r="K360" s="80" t="s">
        <v>354</v>
      </c>
      <c r="L360" s="7" t="str">
        <f>IF(BudgetsTable[[#This Row],[pi_last_name]]=" ","",HYPERLINK("https://www.ejacket.nsf.gov/ej/showProposal.do?Continue=Y&amp;ID="&amp;BudgetsTable[[#This Row],[prop_id]],BudgetsTable[[#This Row],[prop_id]]))</f>
        <v/>
      </c>
      <c r="M360" s="15" t="str">
        <f>IF(BudgetsTable[[#This Row],[pi_last_name]]=" ","",HYPERLINK("https://www.ejacket.nsf.gov/ej/processReviewAnalysis.do?dispatch=add&amp;uniqId="&amp;BudgetsTable[[#This Row],[prop_id]]&amp;PO_id,"&gt;ra"))</f>
        <v/>
      </c>
      <c r="N360" s="80" t="s">
        <v>13</v>
      </c>
      <c r="O360" s="7" t="str">
        <f>IF(BudgetsTable[[#This Row],[pi_last_name]]=" ","",HYPERLINK("mailto:"&amp;BudgetsTable[[#This Row],[pi_email]]&amp;"&amp;subject=Your NSF Proposal:  "&amp;BudgetsTable[[#This Row],[prop_id]],BudgetsTable[[#This Row],[pi_email]]))</f>
        <v/>
      </c>
      <c r="P360" s="80" t="s">
        <v>13</v>
      </c>
      <c r="Q360" s="80">
        <v>1</v>
      </c>
      <c r="R360" s="80">
        <v>1.5</v>
      </c>
      <c r="S360" s="81">
        <v>0</v>
      </c>
      <c r="T360" s="81">
        <v>1920</v>
      </c>
      <c r="U360" s="81">
        <v>0</v>
      </c>
      <c r="V360" s="82">
        <v>94608</v>
      </c>
      <c r="W360" s="80">
        <v>0</v>
      </c>
      <c r="X360" s="80">
        <v>3</v>
      </c>
      <c r="Y360" s="11" t="str">
        <f ca="1">IF(ISBLANK(BudgetsTable[[#This Row],[budg_seq_yr]]),"FY"&amp;fiscalyear,"FY"&amp;fiscalyear-1+BudgetsTable[[#This Row],[budg_seq_yr]])</f>
        <v>FY20</v>
      </c>
      <c r="Z360" s="81">
        <v>94608</v>
      </c>
      <c r="AA360" s="80" t="s">
        <v>222</v>
      </c>
      <c r="AB360" s="80" t="s">
        <v>405</v>
      </c>
      <c r="AC360" s="80" t="s">
        <v>411</v>
      </c>
    </row>
    <row r="361" spans="1:29" x14ac:dyDescent="0.4">
      <c r="A361" s="10" t="s">
        <v>354</v>
      </c>
      <c r="B361" s="78" t="s">
        <v>96</v>
      </c>
      <c r="C361" s="78">
        <f>C360+(BudgetsTable[[#This Row],[lead]]&lt;&gt;K360)</f>
        <v>70</v>
      </c>
      <c r="D361" s="78">
        <f>D360*(BudgetsTable[[#This Row],[lead]]=K360)+(BudgetsTable[[#This Row],[prop_id]]&lt;&gt;A360)</f>
        <v>1</v>
      </c>
      <c r="E361" s="79">
        <v>42930.554166666669</v>
      </c>
      <c r="F361" s="80" t="s">
        <v>256</v>
      </c>
      <c r="G361" s="80" t="s">
        <v>222</v>
      </c>
      <c r="H361" s="80" t="s">
        <v>405</v>
      </c>
      <c r="I361" s="78" t="s">
        <v>406</v>
      </c>
      <c r="J361" s="78" t="s">
        <v>13</v>
      </c>
      <c r="K361" s="80" t="s">
        <v>354</v>
      </c>
      <c r="L361" s="7" t="str">
        <f>IF(BudgetsTable[[#This Row],[pi_last_name]]=" ","",HYPERLINK("https://www.ejacket.nsf.gov/ej/showProposal.do?Continue=Y&amp;ID="&amp;BudgetsTable[[#This Row],[prop_id]],BudgetsTable[[#This Row],[prop_id]]))</f>
        <v/>
      </c>
      <c r="M361" s="15" t="str">
        <f>IF(BudgetsTable[[#This Row],[pi_last_name]]=" ","",HYPERLINK("https://www.ejacket.nsf.gov/ej/processReviewAnalysis.do?dispatch=add&amp;uniqId="&amp;BudgetsTable[[#This Row],[prop_id]]&amp;PO_id,"&gt;ra"))</f>
        <v/>
      </c>
      <c r="N361" s="80" t="s">
        <v>13</v>
      </c>
      <c r="O361" s="7" t="str">
        <f>IF(BudgetsTable[[#This Row],[pi_last_name]]=" ","",HYPERLINK("mailto:"&amp;BudgetsTable[[#This Row],[pi_email]]&amp;"&amp;subject=Your NSF Proposal:  "&amp;BudgetsTable[[#This Row],[prop_id]],BudgetsTable[[#This Row],[pi_email]]))</f>
        <v/>
      </c>
      <c r="P361" s="80" t="s">
        <v>13</v>
      </c>
      <c r="Q361" s="80">
        <v>1</v>
      </c>
      <c r="R361" s="80">
        <v>1.5</v>
      </c>
      <c r="S361" s="81">
        <v>0</v>
      </c>
      <c r="T361" s="81">
        <v>1920</v>
      </c>
      <c r="U361" s="81">
        <v>0</v>
      </c>
      <c r="V361" s="82">
        <v>97358</v>
      </c>
      <c r="W361" s="80">
        <v>0</v>
      </c>
      <c r="X361" s="80">
        <v>4</v>
      </c>
      <c r="Y361" s="11" t="str">
        <f ca="1">IF(ISBLANK(BudgetsTable[[#This Row],[budg_seq_yr]]),"FY"&amp;fiscalyear,"FY"&amp;fiscalyear-1+BudgetsTable[[#This Row],[budg_seq_yr]])</f>
        <v>FY21</v>
      </c>
      <c r="Z361" s="81">
        <v>97358</v>
      </c>
      <c r="AA361" s="80" t="s">
        <v>222</v>
      </c>
      <c r="AB361" s="80" t="s">
        <v>405</v>
      </c>
      <c r="AC361" s="80" t="s">
        <v>411</v>
      </c>
    </row>
    <row r="362" spans="1:29" x14ac:dyDescent="0.4">
      <c r="A362" s="10" t="s">
        <v>354</v>
      </c>
      <c r="B362" s="78" t="s">
        <v>96</v>
      </c>
      <c r="C362" s="78">
        <f>C361+(BudgetsTable[[#This Row],[lead]]&lt;&gt;K361)</f>
        <v>70</v>
      </c>
      <c r="D362" s="78">
        <f>D361*(BudgetsTable[[#This Row],[lead]]=K361)+(BudgetsTable[[#This Row],[prop_id]]&lt;&gt;A361)</f>
        <v>1</v>
      </c>
      <c r="E362" s="79">
        <v>42930.554166666669</v>
      </c>
      <c r="F362" s="80" t="s">
        <v>256</v>
      </c>
      <c r="G362" s="80" t="s">
        <v>222</v>
      </c>
      <c r="H362" s="80" t="s">
        <v>405</v>
      </c>
      <c r="I362" s="78" t="s">
        <v>406</v>
      </c>
      <c r="J362" s="78" t="s">
        <v>13</v>
      </c>
      <c r="K362" s="80" t="s">
        <v>354</v>
      </c>
      <c r="L362" s="7" t="str">
        <f>IF(BudgetsTable[[#This Row],[pi_last_name]]=" ","",HYPERLINK("https://www.ejacket.nsf.gov/ej/showProposal.do?Continue=Y&amp;ID="&amp;BudgetsTable[[#This Row],[prop_id]],BudgetsTable[[#This Row],[prop_id]]))</f>
        <v/>
      </c>
      <c r="M362" s="15" t="str">
        <f>IF(BudgetsTable[[#This Row],[pi_last_name]]=" ","",HYPERLINK("https://www.ejacket.nsf.gov/ej/processReviewAnalysis.do?dispatch=add&amp;uniqId="&amp;BudgetsTable[[#This Row],[prop_id]]&amp;PO_id,"&gt;ra"))</f>
        <v/>
      </c>
      <c r="N362" s="80" t="s">
        <v>13</v>
      </c>
      <c r="O362" s="7" t="str">
        <f>IF(BudgetsTable[[#This Row],[pi_last_name]]=" ","",HYPERLINK("mailto:"&amp;BudgetsTable[[#This Row],[pi_email]]&amp;"&amp;subject=Your NSF Proposal:  "&amp;BudgetsTable[[#This Row],[prop_id]],BudgetsTable[[#This Row],[pi_email]]))</f>
        <v/>
      </c>
      <c r="P362" s="80" t="s">
        <v>13</v>
      </c>
      <c r="Q362" s="80">
        <v>1</v>
      </c>
      <c r="R362" s="80">
        <v>1.5</v>
      </c>
      <c r="S362" s="81">
        <v>0</v>
      </c>
      <c r="T362" s="81">
        <v>1920</v>
      </c>
      <c r="U362" s="81">
        <v>0</v>
      </c>
      <c r="V362" s="82">
        <v>100212</v>
      </c>
      <c r="W362" s="80">
        <v>0</v>
      </c>
      <c r="X362" s="80">
        <v>5</v>
      </c>
      <c r="Y362" s="11" t="str">
        <f ca="1">IF(ISBLANK(BudgetsTable[[#This Row],[budg_seq_yr]]),"FY"&amp;fiscalyear,"FY"&amp;fiscalyear-1+BudgetsTable[[#This Row],[budg_seq_yr]])</f>
        <v>FY22</v>
      </c>
      <c r="Z362" s="81">
        <v>100212</v>
      </c>
      <c r="AA362" s="80" t="s">
        <v>222</v>
      </c>
      <c r="AB362" s="80" t="s">
        <v>405</v>
      </c>
      <c r="AC362" s="80" t="s">
        <v>411</v>
      </c>
    </row>
    <row r="363" spans="1:29" x14ac:dyDescent="0.4">
      <c r="A363" s="10" t="s">
        <v>355</v>
      </c>
      <c r="B363" s="78" t="s">
        <v>96</v>
      </c>
      <c r="C363" s="78">
        <f>C362+(BudgetsTable[[#This Row],[lead]]&lt;&gt;K362)</f>
        <v>71</v>
      </c>
      <c r="D363" s="78">
        <f>D362*(BudgetsTable[[#This Row],[lead]]=K362)+(BudgetsTable[[#This Row],[prop_id]]&lt;&gt;A362)</f>
        <v>1</v>
      </c>
      <c r="E363" s="79">
        <v>42933.547222222223</v>
      </c>
      <c r="F363" s="80" t="s">
        <v>256</v>
      </c>
      <c r="G363" s="80" t="s">
        <v>222</v>
      </c>
      <c r="H363" s="80" t="s">
        <v>405</v>
      </c>
      <c r="I363" s="78" t="s">
        <v>406</v>
      </c>
      <c r="J363" s="78" t="s">
        <v>418</v>
      </c>
      <c r="K363" s="80" t="s">
        <v>355</v>
      </c>
      <c r="L363" s="7" t="str">
        <f>IF(BudgetsTable[[#This Row],[pi_last_name]]=" ","",HYPERLINK("https://www.ejacket.nsf.gov/ej/showProposal.do?Continue=Y&amp;ID="&amp;BudgetsTable[[#This Row],[prop_id]],BudgetsTable[[#This Row],[prop_id]]))</f>
        <v>1749385</v>
      </c>
      <c r="M363" s="15" t="str">
        <f>IF(BudgetsTable[[#This Row],[pi_last_name]]=" ","",HYPERLINK("https://www.ejacket.nsf.gov/ej/processReviewAnalysis.do?dispatch=add&amp;uniqId="&amp;BudgetsTable[[#This Row],[prop_id]]&amp;PO_id,"&gt;ra"))</f>
        <v>&gt;ra</v>
      </c>
      <c r="N363" s="80" t="s">
        <v>414</v>
      </c>
      <c r="O363" s="7" t="str">
        <f>IF(BudgetsTable[[#This Row],[pi_last_name]]=" ","",HYPERLINK("mailto:"&amp;BudgetsTable[[#This Row],[pi_email]]&amp;"&amp;subject=Your NSF Proposal:  "&amp;BudgetsTable[[#This Row],[prop_id]],BudgetsTable[[#This Row],[pi_email]]))</f>
        <v>haitao.wang@usu.edu</v>
      </c>
      <c r="P363" s="80" t="s">
        <v>416</v>
      </c>
      <c r="Q363" s="80"/>
      <c r="R363" s="80"/>
      <c r="S363" s="81"/>
      <c r="T363" s="81"/>
      <c r="U363" s="81"/>
      <c r="V363" s="82"/>
      <c r="W363" s="80">
        <v>0</v>
      </c>
      <c r="X363" s="80"/>
      <c r="Y363" s="11" t="str">
        <f ca="1">IF(ISBLANK(BudgetsTable[[#This Row],[budg_seq_yr]]),"FY"&amp;fiscalyear,"FY"&amp;fiscalyear-1+BudgetsTable[[#This Row],[budg_seq_yr]])</f>
        <v>FY18</v>
      </c>
      <c r="Z363" s="81">
        <v>524898</v>
      </c>
      <c r="AA363" s="80" t="s">
        <v>222</v>
      </c>
      <c r="AB363" s="80" t="s">
        <v>405</v>
      </c>
      <c r="AC363" s="80" t="s">
        <v>419</v>
      </c>
    </row>
    <row r="364" spans="1:29" x14ac:dyDescent="0.4">
      <c r="A364" s="10" t="s">
        <v>355</v>
      </c>
      <c r="B364" s="78" t="s">
        <v>96</v>
      </c>
      <c r="C364" s="78">
        <f>C363+(BudgetsTable[[#This Row],[lead]]&lt;&gt;K363)</f>
        <v>71</v>
      </c>
      <c r="D364" s="78">
        <f>D363*(BudgetsTable[[#This Row],[lead]]=K363)+(BudgetsTable[[#This Row],[prop_id]]&lt;&gt;A363)</f>
        <v>1</v>
      </c>
      <c r="E364" s="79">
        <v>42933.547222222223</v>
      </c>
      <c r="F364" s="80" t="s">
        <v>256</v>
      </c>
      <c r="G364" s="80" t="s">
        <v>222</v>
      </c>
      <c r="H364" s="80" t="s">
        <v>405</v>
      </c>
      <c r="I364" s="78" t="s">
        <v>406</v>
      </c>
      <c r="J364" s="78" t="s">
        <v>13</v>
      </c>
      <c r="K364" s="80" t="s">
        <v>355</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80" t="s">
        <v>13</v>
      </c>
      <c r="O364" s="7" t="str">
        <f>IF(BudgetsTable[[#This Row],[pi_last_name]]=" ","",HYPERLINK("mailto:"&amp;BudgetsTable[[#This Row],[pi_email]]&amp;"&amp;subject=Your NSF Proposal:  "&amp;BudgetsTable[[#This Row],[prop_id]],BudgetsTable[[#This Row],[pi_email]]))</f>
        <v/>
      </c>
      <c r="P364" s="80" t="s">
        <v>13</v>
      </c>
      <c r="Q364" s="80">
        <v>1</v>
      </c>
      <c r="R364" s="80">
        <v>1</v>
      </c>
      <c r="S364" s="81">
        <v>0</v>
      </c>
      <c r="T364" s="81">
        <v>3000</v>
      </c>
      <c r="U364" s="81">
        <v>0</v>
      </c>
      <c r="V364" s="82">
        <v>101597</v>
      </c>
      <c r="W364" s="80">
        <v>0</v>
      </c>
      <c r="X364" s="80">
        <v>1</v>
      </c>
      <c r="Y364" s="11" t="str">
        <f ca="1">IF(ISBLANK(BudgetsTable[[#This Row],[budg_seq_yr]]),"FY"&amp;fiscalyear,"FY"&amp;fiscalyear-1+BudgetsTable[[#This Row],[budg_seq_yr]])</f>
        <v>FY18</v>
      </c>
      <c r="Z364" s="81">
        <v>101597</v>
      </c>
      <c r="AA364" s="80" t="s">
        <v>222</v>
      </c>
      <c r="AB364" s="80" t="s">
        <v>405</v>
      </c>
      <c r="AC364" s="80" t="s">
        <v>419</v>
      </c>
    </row>
    <row r="365" spans="1:29" x14ac:dyDescent="0.4">
      <c r="A365" s="10" t="s">
        <v>355</v>
      </c>
      <c r="B365" s="78" t="s">
        <v>96</v>
      </c>
      <c r="C365" s="78">
        <f>C364+(BudgetsTable[[#This Row],[lead]]&lt;&gt;K364)</f>
        <v>71</v>
      </c>
      <c r="D365" s="78">
        <f>D364*(BudgetsTable[[#This Row],[lead]]=K364)+(BudgetsTable[[#This Row],[prop_id]]&lt;&gt;A364)</f>
        <v>1</v>
      </c>
      <c r="E365" s="79">
        <v>42933.547222222223</v>
      </c>
      <c r="F365" s="80" t="s">
        <v>256</v>
      </c>
      <c r="G365" s="80" t="s">
        <v>222</v>
      </c>
      <c r="H365" s="80" t="s">
        <v>405</v>
      </c>
      <c r="I365" s="78" t="s">
        <v>406</v>
      </c>
      <c r="J365" s="78" t="s">
        <v>13</v>
      </c>
      <c r="K365" s="80" t="s">
        <v>355</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80" t="s">
        <v>13</v>
      </c>
      <c r="O365" s="7" t="str">
        <f>IF(BudgetsTable[[#This Row],[pi_last_name]]=" ","",HYPERLINK("mailto:"&amp;BudgetsTable[[#This Row],[pi_email]]&amp;"&amp;subject=Your NSF Proposal:  "&amp;BudgetsTable[[#This Row],[prop_id]],BudgetsTable[[#This Row],[pi_email]]))</f>
        <v/>
      </c>
      <c r="P365" s="80" t="s">
        <v>13</v>
      </c>
      <c r="Q365" s="80">
        <v>1</v>
      </c>
      <c r="R365" s="80">
        <v>1</v>
      </c>
      <c r="S365" s="81">
        <v>0</v>
      </c>
      <c r="T365" s="81">
        <v>3000</v>
      </c>
      <c r="U365" s="81">
        <v>0</v>
      </c>
      <c r="V365" s="82">
        <v>103235</v>
      </c>
      <c r="W365" s="80">
        <v>0</v>
      </c>
      <c r="X365" s="80">
        <v>2</v>
      </c>
      <c r="Y365" s="11" t="str">
        <f ca="1">IF(ISBLANK(BudgetsTable[[#This Row],[budg_seq_yr]]),"FY"&amp;fiscalyear,"FY"&amp;fiscalyear-1+BudgetsTable[[#This Row],[budg_seq_yr]])</f>
        <v>FY19</v>
      </c>
      <c r="Z365" s="81">
        <v>103235</v>
      </c>
      <c r="AA365" s="80" t="s">
        <v>222</v>
      </c>
      <c r="AB365" s="80" t="s">
        <v>405</v>
      </c>
      <c r="AC365" s="80" t="s">
        <v>419</v>
      </c>
    </row>
    <row r="366" spans="1:29" x14ac:dyDescent="0.4">
      <c r="A366" s="10" t="s">
        <v>355</v>
      </c>
      <c r="B366" s="78" t="s">
        <v>96</v>
      </c>
      <c r="C366" s="78">
        <f>C365+(BudgetsTable[[#This Row],[lead]]&lt;&gt;K365)</f>
        <v>71</v>
      </c>
      <c r="D366" s="78">
        <f>D365*(BudgetsTable[[#This Row],[lead]]=K365)+(BudgetsTable[[#This Row],[prop_id]]&lt;&gt;A365)</f>
        <v>1</v>
      </c>
      <c r="E366" s="79">
        <v>42933.547222222223</v>
      </c>
      <c r="F366" s="80" t="s">
        <v>256</v>
      </c>
      <c r="G366" s="80" t="s">
        <v>222</v>
      </c>
      <c r="H366" s="80" t="s">
        <v>405</v>
      </c>
      <c r="I366" s="78" t="s">
        <v>406</v>
      </c>
      <c r="J366" s="78" t="s">
        <v>13</v>
      </c>
      <c r="K366" s="80" t="s">
        <v>355</v>
      </c>
      <c r="L366" s="7" t="str">
        <f>IF(BudgetsTable[[#This Row],[pi_last_name]]=" ","",HYPERLINK("https://www.ejacket.nsf.gov/ej/showProposal.do?Continue=Y&amp;ID="&amp;BudgetsTable[[#This Row],[prop_id]],BudgetsTable[[#This Row],[prop_id]]))</f>
        <v/>
      </c>
      <c r="M366" s="15" t="str">
        <f>IF(BudgetsTable[[#This Row],[pi_last_name]]=" ","",HYPERLINK("https://www.ejacket.nsf.gov/ej/processReviewAnalysis.do?dispatch=add&amp;uniqId="&amp;BudgetsTable[[#This Row],[prop_id]]&amp;PO_id,"&gt;ra"))</f>
        <v/>
      </c>
      <c r="N366" s="80" t="s">
        <v>13</v>
      </c>
      <c r="O366" s="7" t="str">
        <f>IF(BudgetsTable[[#This Row],[pi_last_name]]=" ","",HYPERLINK("mailto:"&amp;BudgetsTable[[#This Row],[pi_email]]&amp;"&amp;subject=Your NSF Proposal:  "&amp;BudgetsTable[[#This Row],[prop_id]],BudgetsTable[[#This Row],[pi_email]]))</f>
        <v/>
      </c>
      <c r="P366" s="80" t="s">
        <v>13</v>
      </c>
      <c r="Q366" s="80">
        <v>1</v>
      </c>
      <c r="R366" s="80">
        <v>1</v>
      </c>
      <c r="S366" s="81">
        <v>0</v>
      </c>
      <c r="T366" s="81">
        <v>3000</v>
      </c>
      <c r="U366" s="81">
        <v>0</v>
      </c>
      <c r="V366" s="82">
        <v>104944</v>
      </c>
      <c r="W366" s="80">
        <v>0</v>
      </c>
      <c r="X366" s="80">
        <v>3</v>
      </c>
      <c r="Y366" s="11" t="str">
        <f ca="1">IF(ISBLANK(BudgetsTable[[#This Row],[budg_seq_yr]]),"FY"&amp;fiscalyear,"FY"&amp;fiscalyear-1+BudgetsTable[[#This Row],[budg_seq_yr]])</f>
        <v>FY20</v>
      </c>
      <c r="Z366" s="81">
        <v>104944</v>
      </c>
      <c r="AA366" s="80" t="s">
        <v>222</v>
      </c>
      <c r="AB366" s="80" t="s">
        <v>405</v>
      </c>
      <c r="AC366" s="80" t="s">
        <v>419</v>
      </c>
    </row>
    <row r="367" spans="1:29" x14ac:dyDescent="0.4">
      <c r="A367" s="10" t="s">
        <v>355</v>
      </c>
      <c r="B367" s="78" t="s">
        <v>96</v>
      </c>
      <c r="C367" s="78">
        <f>C366+(BudgetsTable[[#This Row],[lead]]&lt;&gt;K366)</f>
        <v>71</v>
      </c>
      <c r="D367" s="78">
        <f>D366*(BudgetsTable[[#This Row],[lead]]=K366)+(BudgetsTable[[#This Row],[prop_id]]&lt;&gt;A366)</f>
        <v>1</v>
      </c>
      <c r="E367" s="79">
        <v>42933.547222222223</v>
      </c>
      <c r="F367" s="80" t="s">
        <v>256</v>
      </c>
      <c r="G367" s="80" t="s">
        <v>222</v>
      </c>
      <c r="H367" s="80" t="s">
        <v>405</v>
      </c>
      <c r="I367" s="78" t="s">
        <v>406</v>
      </c>
      <c r="J367" s="78" t="s">
        <v>13</v>
      </c>
      <c r="K367" s="80" t="s">
        <v>355</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80" t="s">
        <v>13</v>
      </c>
      <c r="O367" s="7" t="str">
        <f>IF(BudgetsTable[[#This Row],[pi_last_name]]=" ","",HYPERLINK("mailto:"&amp;BudgetsTable[[#This Row],[pi_email]]&amp;"&amp;subject=Your NSF Proposal:  "&amp;BudgetsTable[[#This Row],[prop_id]],BudgetsTable[[#This Row],[pi_email]]))</f>
        <v/>
      </c>
      <c r="P367" s="80" t="s">
        <v>13</v>
      </c>
      <c r="Q367" s="80">
        <v>1</v>
      </c>
      <c r="R367" s="80">
        <v>1</v>
      </c>
      <c r="S367" s="81">
        <v>0</v>
      </c>
      <c r="T367" s="81">
        <v>3000</v>
      </c>
      <c r="U367" s="81">
        <v>0</v>
      </c>
      <c r="V367" s="82">
        <v>106666</v>
      </c>
      <c r="W367" s="80">
        <v>0</v>
      </c>
      <c r="X367" s="80">
        <v>4</v>
      </c>
      <c r="Y367" s="11" t="str">
        <f ca="1">IF(ISBLANK(BudgetsTable[[#This Row],[budg_seq_yr]]),"FY"&amp;fiscalyear,"FY"&amp;fiscalyear-1+BudgetsTable[[#This Row],[budg_seq_yr]])</f>
        <v>FY21</v>
      </c>
      <c r="Z367" s="81">
        <v>106666</v>
      </c>
      <c r="AA367" s="80" t="s">
        <v>222</v>
      </c>
      <c r="AB367" s="80" t="s">
        <v>405</v>
      </c>
      <c r="AC367" s="80" t="s">
        <v>419</v>
      </c>
    </row>
    <row r="368" spans="1:29" x14ac:dyDescent="0.4">
      <c r="A368" s="10" t="s">
        <v>355</v>
      </c>
      <c r="B368" s="78" t="s">
        <v>96</v>
      </c>
      <c r="C368" s="78">
        <f>C367+(BudgetsTable[[#This Row],[lead]]&lt;&gt;K367)</f>
        <v>71</v>
      </c>
      <c r="D368" s="78">
        <f>D367*(BudgetsTable[[#This Row],[lead]]=K367)+(BudgetsTable[[#This Row],[prop_id]]&lt;&gt;A367)</f>
        <v>1</v>
      </c>
      <c r="E368" s="79">
        <v>42933.547222222223</v>
      </c>
      <c r="F368" s="80" t="s">
        <v>256</v>
      </c>
      <c r="G368" s="80" t="s">
        <v>222</v>
      </c>
      <c r="H368" s="80" t="s">
        <v>405</v>
      </c>
      <c r="I368" s="78" t="s">
        <v>406</v>
      </c>
      <c r="J368" s="78" t="s">
        <v>13</v>
      </c>
      <c r="K368" s="80" t="s">
        <v>355</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80" t="s">
        <v>13</v>
      </c>
      <c r="O368" s="7" t="str">
        <f>IF(BudgetsTable[[#This Row],[pi_last_name]]=" ","",HYPERLINK("mailto:"&amp;BudgetsTable[[#This Row],[pi_email]]&amp;"&amp;subject=Your NSF Proposal:  "&amp;BudgetsTable[[#This Row],[prop_id]],BudgetsTable[[#This Row],[pi_email]]))</f>
        <v/>
      </c>
      <c r="P368" s="80" t="s">
        <v>13</v>
      </c>
      <c r="Q368" s="80">
        <v>1</v>
      </c>
      <c r="R368" s="80">
        <v>1</v>
      </c>
      <c r="S368" s="81">
        <v>0</v>
      </c>
      <c r="T368" s="81">
        <v>3000</v>
      </c>
      <c r="U368" s="81">
        <v>0</v>
      </c>
      <c r="V368" s="82">
        <v>108456</v>
      </c>
      <c r="W368" s="80">
        <v>0</v>
      </c>
      <c r="X368" s="80">
        <v>5</v>
      </c>
      <c r="Y368" s="11" t="str">
        <f ca="1">IF(ISBLANK(BudgetsTable[[#This Row],[budg_seq_yr]]),"FY"&amp;fiscalyear,"FY"&amp;fiscalyear-1+BudgetsTable[[#This Row],[budg_seq_yr]])</f>
        <v>FY22</v>
      </c>
      <c r="Z368" s="81">
        <v>108456</v>
      </c>
      <c r="AA368" s="80" t="s">
        <v>222</v>
      </c>
      <c r="AB368" s="80" t="s">
        <v>405</v>
      </c>
      <c r="AC368" s="80" t="s">
        <v>419</v>
      </c>
    </row>
    <row r="369" spans="1:29" x14ac:dyDescent="0.4">
      <c r="A369" s="10" t="s">
        <v>356</v>
      </c>
      <c r="B369" s="78" t="s">
        <v>96</v>
      </c>
      <c r="C369" s="78">
        <f>C368+(BudgetsTable[[#This Row],[lead]]&lt;&gt;K368)</f>
        <v>72</v>
      </c>
      <c r="D369" s="78">
        <f>D368*(BudgetsTable[[#This Row],[lead]]=K368)+(BudgetsTable[[#This Row],[prop_id]]&lt;&gt;A368)</f>
        <v>1</v>
      </c>
      <c r="E369" s="79">
        <v>42933.579861111109</v>
      </c>
      <c r="F369" s="80" t="s">
        <v>256</v>
      </c>
      <c r="G369" s="80" t="s">
        <v>222</v>
      </c>
      <c r="H369" s="80" t="s">
        <v>405</v>
      </c>
      <c r="I369" s="78" t="s">
        <v>422</v>
      </c>
      <c r="J369" s="78" t="s">
        <v>425</v>
      </c>
      <c r="K369" s="80" t="s">
        <v>356</v>
      </c>
      <c r="L369" s="7" t="str">
        <f>IF(BudgetsTable[[#This Row],[pi_last_name]]=" ","",HYPERLINK("https://www.ejacket.nsf.gov/ej/showProposal.do?Continue=Y&amp;ID="&amp;BudgetsTable[[#This Row],[prop_id]],BudgetsTable[[#This Row],[prop_id]]))</f>
        <v>1749414</v>
      </c>
      <c r="M369" s="15" t="str">
        <f>IF(BudgetsTable[[#This Row],[pi_last_name]]=" ","",HYPERLINK("https://www.ejacket.nsf.gov/ej/processReviewAnalysis.do?dispatch=add&amp;uniqId="&amp;BudgetsTable[[#This Row],[prop_id]]&amp;PO_id,"&gt;ra"))</f>
        <v>&gt;ra</v>
      </c>
      <c r="N369" s="80" t="s">
        <v>423</v>
      </c>
      <c r="O369" s="7" t="str">
        <f>IF(BudgetsTable[[#This Row],[pi_last_name]]=" ","",HYPERLINK("mailto:"&amp;BudgetsTable[[#This Row],[pi_email]]&amp;"&amp;subject=Your NSF Proposal:  "&amp;BudgetsTable[[#This Row],[prop_id]],BudgetsTable[[#This Row],[pi_email]]))</f>
        <v>bmoseley@seas.wustl.edu</v>
      </c>
      <c r="P369" s="80" t="s">
        <v>424</v>
      </c>
      <c r="Q369" s="80"/>
      <c r="R369" s="80"/>
      <c r="S369" s="81"/>
      <c r="T369" s="81"/>
      <c r="U369" s="81"/>
      <c r="V369" s="82"/>
      <c r="W369" s="80">
        <v>0</v>
      </c>
      <c r="X369" s="80"/>
      <c r="Y369" s="11" t="str">
        <f ca="1">IF(ISBLANK(BudgetsTable[[#This Row],[budg_seq_yr]]),"FY"&amp;fiscalyear,"FY"&amp;fiscalyear-1+BudgetsTable[[#This Row],[budg_seq_yr]])</f>
        <v>FY18</v>
      </c>
      <c r="Z369" s="81">
        <v>545000</v>
      </c>
      <c r="AA369" s="80" t="s">
        <v>222</v>
      </c>
      <c r="AB369" s="80" t="s">
        <v>405</v>
      </c>
      <c r="AC369" s="80" t="s">
        <v>426</v>
      </c>
    </row>
    <row r="370" spans="1:29" x14ac:dyDescent="0.4">
      <c r="A370" s="10" t="s">
        <v>356</v>
      </c>
      <c r="B370" s="78" t="s">
        <v>96</v>
      </c>
      <c r="C370" s="78">
        <f>C369+(BudgetsTable[[#This Row],[lead]]&lt;&gt;K369)</f>
        <v>72</v>
      </c>
      <c r="D370" s="78">
        <f>D369*(BudgetsTable[[#This Row],[lead]]=K369)+(BudgetsTable[[#This Row],[prop_id]]&lt;&gt;A369)</f>
        <v>1</v>
      </c>
      <c r="E370" s="79">
        <v>42933.579861111109</v>
      </c>
      <c r="F370" s="80" t="s">
        <v>256</v>
      </c>
      <c r="G370" s="80" t="s">
        <v>222</v>
      </c>
      <c r="H370" s="80" t="s">
        <v>405</v>
      </c>
      <c r="I370" s="78" t="s">
        <v>422</v>
      </c>
      <c r="J370" s="78" t="s">
        <v>13</v>
      </c>
      <c r="K370" s="80" t="s">
        <v>356</v>
      </c>
      <c r="L370" s="7" t="str">
        <f>IF(BudgetsTable[[#This Row],[pi_last_name]]=" ","",HYPERLINK("https://www.ejacket.nsf.gov/ej/showProposal.do?Continue=Y&amp;ID="&amp;BudgetsTable[[#This Row],[prop_id]],BudgetsTable[[#This Row],[prop_id]]))</f>
        <v/>
      </c>
      <c r="M370" s="15" t="str">
        <f>IF(BudgetsTable[[#This Row],[pi_last_name]]=" ","",HYPERLINK("https://www.ejacket.nsf.gov/ej/processReviewAnalysis.do?dispatch=add&amp;uniqId="&amp;BudgetsTable[[#This Row],[prop_id]]&amp;PO_id,"&gt;ra"))</f>
        <v/>
      </c>
      <c r="N370" s="80" t="s">
        <v>13</v>
      </c>
      <c r="O370" s="7" t="str">
        <f>IF(BudgetsTable[[#This Row],[pi_last_name]]=" ","",HYPERLINK("mailto:"&amp;BudgetsTable[[#This Row],[pi_email]]&amp;"&amp;subject=Your NSF Proposal:  "&amp;BudgetsTable[[#This Row],[prop_id]],BudgetsTable[[#This Row],[pi_email]]))</f>
        <v/>
      </c>
      <c r="P370" s="80" t="s">
        <v>13</v>
      </c>
      <c r="Q370" s="80">
        <v>1</v>
      </c>
      <c r="R370" s="80">
        <v>1.3</v>
      </c>
      <c r="S370" s="81">
        <v>0</v>
      </c>
      <c r="T370" s="81">
        <v>0</v>
      </c>
      <c r="U370" s="81">
        <v>8000</v>
      </c>
      <c r="V370" s="82">
        <v>118096</v>
      </c>
      <c r="W370" s="80">
        <v>0</v>
      </c>
      <c r="X370" s="80">
        <v>1</v>
      </c>
      <c r="Y370" s="11" t="str">
        <f ca="1">IF(ISBLANK(BudgetsTable[[#This Row],[budg_seq_yr]]),"FY"&amp;fiscalyear,"FY"&amp;fiscalyear-1+BudgetsTable[[#This Row],[budg_seq_yr]])</f>
        <v>FY18</v>
      </c>
      <c r="Z370" s="81">
        <v>118096</v>
      </c>
      <c r="AA370" s="80" t="s">
        <v>222</v>
      </c>
      <c r="AB370" s="80" t="s">
        <v>405</v>
      </c>
      <c r="AC370" s="80" t="s">
        <v>426</v>
      </c>
    </row>
    <row r="371" spans="1:29" x14ac:dyDescent="0.4">
      <c r="A371" s="10" t="s">
        <v>356</v>
      </c>
      <c r="B371" s="78" t="s">
        <v>96</v>
      </c>
      <c r="C371" s="78">
        <f>C370+(BudgetsTable[[#This Row],[lead]]&lt;&gt;K370)</f>
        <v>72</v>
      </c>
      <c r="D371" s="78">
        <f>D370*(BudgetsTable[[#This Row],[lead]]=K370)+(BudgetsTable[[#This Row],[prop_id]]&lt;&gt;A370)</f>
        <v>1</v>
      </c>
      <c r="E371" s="79">
        <v>42933.579861111109</v>
      </c>
      <c r="F371" s="80" t="s">
        <v>256</v>
      </c>
      <c r="G371" s="80" t="s">
        <v>222</v>
      </c>
      <c r="H371" s="80" t="s">
        <v>405</v>
      </c>
      <c r="I371" s="78" t="s">
        <v>422</v>
      </c>
      <c r="J371" s="78" t="s">
        <v>13</v>
      </c>
      <c r="K371" s="80" t="s">
        <v>356</v>
      </c>
      <c r="L371" s="7" t="str">
        <f>IF(BudgetsTable[[#This Row],[pi_last_name]]=" ","",HYPERLINK("https://www.ejacket.nsf.gov/ej/showProposal.do?Continue=Y&amp;ID="&amp;BudgetsTable[[#This Row],[prop_id]],BudgetsTable[[#This Row],[prop_id]]))</f>
        <v/>
      </c>
      <c r="M371" s="15" t="str">
        <f>IF(BudgetsTable[[#This Row],[pi_last_name]]=" ","",HYPERLINK("https://www.ejacket.nsf.gov/ej/processReviewAnalysis.do?dispatch=add&amp;uniqId="&amp;BudgetsTable[[#This Row],[prop_id]]&amp;PO_id,"&gt;ra"))</f>
        <v/>
      </c>
      <c r="N371" s="80" t="s">
        <v>13</v>
      </c>
      <c r="O371" s="7" t="str">
        <f>IF(BudgetsTable[[#This Row],[pi_last_name]]=" ","",HYPERLINK("mailto:"&amp;BudgetsTable[[#This Row],[pi_email]]&amp;"&amp;subject=Your NSF Proposal:  "&amp;BudgetsTable[[#This Row],[prop_id]],BudgetsTable[[#This Row],[pi_email]]))</f>
        <v/>
      </c>
      <c r="P371" s="80" t="s">
        <v>13</v>
      </c>
      <c r="Q371" s="80">
        <v>1</v>
      </c>
      <c r="R371" s="80">
        <v>1.3</v>
      </c>
      <c r="S371" s="81">
        <v>0</v>
      </c>
      <c r="T371" s="81">
        <v>0</v>
      </c>
      <c r="U371" s="81">
        <v>0</v>
      </c>
      <c r="V371" s="82">
        <v>103981</v>
      </c>
      <c r="W371" s="80">
        <v>0</v>
      </c>
      <c r="X371" s="80">
        <v>2</v>
      </c>
      <c r="Y371" s="11" t="str">
        <f ca="1">IF(ISBLANK(BudgetsTable[[#This Row],[budg_seq_yr]]),"FY"&amp;fiscalyear,"FY"&amp;fiscalyear-1+BudgetsTable[[#This Row],[budg_seq_yr]])</f>
        <v>FY19</v>
      </c>
      <c r="Z371" s="81">
        <v>103981</v>
      </c>
      <c r="AA371" s="80" t="s">
        <v>222</v>
      </c>
      <c r="AB371" s="80" t="s">
        <v>405</v>
      </c>
      <c r="AC371" s="80" t="s">
        <v>426</v>
      </c>
    </row>
    <row r="372" spans="1:29" x14ac:dyDescent="0.4">
      <c r="A372" s="10" t="s">
        <v>356</v>
      </c>
      <c r="B372" s="78" t="s">
        <v>96</v>
      </c>
      <c r="C372" s="78">
        <f>C371+(BudgetsTable[[#This Row],[lead]]&lt;&gt;K371)</f>
        <v>72</v>
      </c>
      <c r="D372" s="78">
        <f>D371*(BudgetsTable[[#This Row],[lead]]=K371)+(BudgetsTable[[#This Row],[prop_id]]&lt;&gt;A371)</f>
        <v>1</v>
      </c>
      <c r="E372" s="79">
        <v>42933.579861111109</v>
      </c>
      <c r="F372" s="80" t="s">
        <v>256</v>
      </c>
      <c r="G372" s="80" t="s">
        <v>222</v>
      </c>
      <c r="H372" s="80" t="s">
        <v>405</v>
      </c>
      <c r="I372" s="78" t="s">
        <v>422</v>
      </c>
      <c r="J372" s="78" t="s">
        <v>13</v>
      </c>
      <c r="K372" s="80" t="s">
        <v>356</v>
      </c>
      <c r="L372" s="7" t="str">
        <f>IF(BudgetsTable[[#This Row],[pi_last_name]]=" ","",HYPERLINK("https://www.ejacket.nsf.gov/ej/showProposal.do?Continue=Y&amp;ID="&amp;BudgetsTable[[#This Row],[prop_id]],BudgetsTable[[#This Row],[prop_id]]))</f>
        <v/>
      </c>
      <c r="M372" s="15" t="str">
        <f>IF(BudgetsTable[[#This Row],[pi_last_name]]=" ","",HYPERLINK("https://www.ejacket.nsf.gov/ej/processReviewAnalysis.do?dispatch=add&amp;uniqId="&amp;BudgetsTable[[#This Row],[prop_id]]&amp;PO_id,"&gt;ra"))</f>
        <v/>
      </c>
      <c r="N372" s="80" t="s">
        <v>13</v>
      </c>
      <c r="O372" s="7" t="str">
        <f>IF(BudgetsTable[[#This Row],[pi_last_name]]=" ","",HYPERLINK("mailto:"&amp;BudgetsTable[[#This Row],[pi_email]]&amp;"&amp;subject=Your NSF Proposal:  "&amp;BudgetsTable[[#This Row],[prop_id]],BudgetsTable[[#This Row],[pi_email]]))</f>
        <v/>
      </c>
      <c r="P372" s="80" t="s">
        <v>13</v>
      </c>
      <c r="Q372" s="80">
        <v>1</v>
      </c>
      <c r="R372" s="80">
        <v>1.3</v>
      </c>
      <c r="S372" s="81">
        <v>0</v>
      </c>
      <c r="T372" s="81">
        <v>0</v>
      </c>
      <c r="U372" s="81">
        <v>0</v>
      </c>
      <c r="V372" s="82">
        <v>105714</v>
      </c>
      <c r="W372" s="80">
        <v>0</v>
      </c>
      <c r="X372" s="80">
        <v>3</v>
      </c>
      <c r="Y372" s="11" t="str">
        <f ca="1">IF(ISBLANK(BudgetsTable[[#This Row],[budg_seq_yr]]),"FY"&amp;fiscalyear,"FY"&amp;fiscalyear-1+BudgetsTable[[#This Row],[budg_seq_yr]])</f>
        <v>FY20</v>
      </c>
      <c r="Z372" s="81">
        <v>105714</v>
      </c>
      <c r="AA372" s="80" t="s">
        <v>222</v>
      </c>
      <c r="AB372" s="80" t="s">
        <v>405</v>
      </c>
      <c r="AC372" s="80" t="s">
        <v>426</v>
      </c>
    </row>
    <row r="373" spans="1:29" x14ac:dyDescent="0.4">
      <c r="A373" s="10" t="s">
        <v>356</v>
      </c>
      <c r="B373" s="78" t="s">
        <v>96</v>
      </c>
      <c r="C373" s="78">
        <f>C372+(BudgetsTable[[#This Row],[lead]]&lt;&gt;K372)</f>
        <v>72</v>
      </c>
      <c r="D373" s="78">
        <f>D372*(BudgetsTable[[#This Row],[lead]]=K372)+(BudgetsTable[[#This Row],[prop_id]]&lt;&gt;A372)</f>
        <v>1</v>
      </c>
      <c r="E373" s="79">
        <v>42933.579861111109</v>
      </c>
      <c r="F373" s="80" t="s">
        <v>256</v>
      </c>
      <c r="G373" s="80" t="s">
        <v>222</v>
      </c>
      <c r="H373" s="80" t="s">
        <v>405</v>
      </c>
      <c r="I373" s="78" t="s">
        <v>422</v>
      </c>
      <c r="J373" s="78" t="s">
        <v>13</v>
      </c>
      <c r="K373" s="80" t="s">
        <v>356</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80" t="s">
        <v>13</v>
      </c>
      <c r="O373" s="7" t="str">
        <f>IF(BudgetsTable[[#This Row],[pi_last_name]]=" ","",HYPERLINK("mailto:"&amp;BudgetsTable[[#This Row],[pi_email]]&amp;"&amp;subject=Your NSF Proposal:  "&amp;BudgetsTable[[#This Row],[prop_id]],BudgetsTable[[#This Row],[pi_email]]))</f>
        <v/>
      </c>
      <c r="P373" s="80" t="s">
        <v>13</v>
      </c>
      <c r="Q373" s="80">
        <v>1</v>
      </c>
      <c r="R373" s="80">
        <v>1.3</v>
      </c>
      <c r="S373" s="81">
        <v>0</v>
      </c>
      <c r="T373" s="81">
        <v>0</v>
      </c>
      <c r="U373" s="81">
        <v>0</v>
      </c>
      <c r="V373" s="82">
        <v>107658</v>
      </c>
      <c r="W373" s="80">
        <v>0</v>
      </c>
      <c r="X373" s="80">
        <v>4</v>
      </c>
      <c r="Y373" s="11" t="str">
        <f ca="1">IF(ISBLANK(BudgetsTable[[#This Row],[budg_seq_yr]]),"FY"&amp;fiscalyear,"FY"&amp;fiscalyear-1+BudgetsTable[[#This Row],[budg_seq_yr]])</f>
        <v>FY21</v>
      </c>
      <c r="Z373" s="81">
        <v>107658</v>
      </c>
      <c r="AA373" s="80" t="s">
        <v>222</v>
      </c>
      <c r="AB373" s="80" t="s">
        <v>405</v>
      </c>
      <c r="AC373" s="80" t="s">
        <v>426</v>
      </c>
    </row>
    <row r="374" spans="1:29" x14ac:dyDescent="0.4">
      <c r="A374" s="10" t="s">
        <v>356</v>
      </c>
      <c r="B374" s="78" t="s">
        <v>96</v>
      </c>
      <c r="C374" s="78">
        <f>C373+(BudgetsTable[[#This Row],[lead]]&lt;&gt;K373)</f>
        <v>72</v>
      </c>
      <c r="D374" s="78">
        <f>D373*(BudgetsTable[[#This Row],[lead]]=K373)+(BudgetsTable[[#This Row],[prop_id]]&lt;&gt;A373)</f>
        <v>1</v>
      </c>
      <c r="E374" s="79">
        <v>42933.579861111109</v>
      </c>
      <c r="F374" s="80" t="s">
        <v>256</v>
      </c>
      <c r="G374" s="80" t="s">
        <v>222</v>
      </c>
      <c r="H374" s="80" t="s">
        <v>405</v>
      </c>
      <c r="I374" s="78" t="s">
        <v>422</v>
      </c>
      <c r="J374" s="78" t="s">
        <v>13</v>
      </c>
      <c r="K374" s="80" t="s">
        <v>356</v>
      </c>
      <c r="L374" s="7" t="str">
        <f>IF(BudgetsTable[[#This Row],[pi_last_name]]=" ","",HYPERLINK("https://www.ejacket.nsf.gov/ej/showProposal.do?Continue=Y&amp;ID="&amp;BudgetsTable[[#This Row],[prop_id]],BudgetsTable[[#This Row],[prop_id]]))</f>
        <v/>
      </c>
      <c r="M374" s="15" t="str">
        <f>IF(BudgetsTable[[#This Row],[pi_last_name]]=" ","",HYPERLINK("https://www.ejacket.nsf.gov/ej/processReviewAnalysis.do?dispatch=add&amp;uniqId="&amp;BudgetsTable[[#This Row],[prop_id]]&amp;PO_id,"&gt;ra"))</f>
        <v/>
      </c>
      <c r="N374" s="80" t="s">
        <v>13</v>
      </c>
      <c r="O374" s="7" t="str">
        <f>IF(BudgetsTable[[#This Row],[pi_last_name]]=" ","",HYPERLINK("mailto:"&amp;BudgetsTable[[#This Row],[pi_email]]&amp;"&amp;subject=Your NSF Proposal:  "&amp;BudgetsTable[[#This Row],[prop_id]],BudgetsTable[[#This Row],[pi_email]]))</f>
        <v/>
      </c>
      <c r="P374" s="80" t="s">
        <v>13</v>
      </c>
      <c r="Q374" s="80">
        <v>1</v>
      </c>
      <c r="R374" s="80">
        <v>1.3</v>
      </c>
      <c r="S374" s="81">
        <v>0</v>
      </c>
      <c r="T374" s="81">
        <v>0</v>
      </c>
      <c r="U374" s="81">
        <v>0</v>
      </c>
      <c r="V374" s="82">
        <v>109551</v>
      </c>
      <c r="W374" s="80">
        <v>0</v>
      </c>
      <c r="X374" s="80">
        <v>5</v>
      </c>
      <c r="Y374" s="11" t="str">
        <f ca="1">IF(ISBLANK(BudgetsTable[[#This Row],[budg_seq_yr]]),"FY"&amp;fiscalyear,"FY"&amp;fiscalyear-1+BudgetsTable[[#This Row],[budg_seq_yr]])</f>
        <v>FY22</v>
      </c>
      <c r="Z374" s="81">
        <v>109551</v>
      </c>
      <c r="AA374" s="80" t="s">
        <v>222</v>
      </c>
      <c r="AB374" s="80" t="s">
        <v>405</v>
      </c>
      <c r="AC374" s="80" t="s">
        <v>426</v>
      </c>
    </row>
    <row r="375" spans="1:29" x14ac:dyDescent="0.4">
      <c r="A375" s="10" t="s">
        <v>357</v>
      </c>
      <c r="B375" s="78" t="s">
        <v>96</v>
      </c>
      <c r="C375" s="78">
        <f>C374+(BudgetsTable[[#This Row],[lead]]&lt;&gt;K374)</f>
        <v>73</v>
      </c>
      <c r="D375" s="78">
        <f>D374*(BudgetsTable[[#This Row],[lead]]=K374)+(BudgetsTable[[#This Row],[prop_id]]&lt;&gt;A374)</f>
        <v>1</v>
      </c>
      <c r="E375" s="79">
        <v>42933.713888888888</v>
      </c>
      <c r="F375" s="80" t="s">
        <v>256</v>
      </c>
      <c r="G375" s="80" t="s">
        <v>222</v>
      </c>
      <c r="H375" s="80" t="s">
        <v>405</v>
      </c>
      <c r="I375" s="78" t="s">
        <v>406</v>
      </c>
      <c r="J375" s="78" t="s">
        <v>431</v>
      </c>
      <c r="K375" s="80" t="s">
        <v>357</v>
      </c>
      <c r="L375" s="7" t="str">
        <f>IF(BudgetsTable[[#This Row],[pi_last_name]]=" ","",HYPERLINK("https://www.ejacket.nsf.gov/ej/showProposal.do?Continue=Y&amp;ID="&amp;BudgetsTable[[#This Row],[prop_id]],BudgetsTable[[#This Row],[prop_id]]))</f>
        <v>1749563</v>
      </c>
      <c r="M375" s="15" t="str">
        <f>IF(BudgetsTable[[#This Row],[pi_last_name]]=" ","",HYPERLINK("https://www.ejacket.nsf.gov/ej/processReviewAnalysis.do?dispatch=add&amp;uniqId="&amp;BudgetsTable[[#This Row],[prop_id]]&amp;PO_id,"&gt;ra"))</f>
        <v>&gt;ra</v>
      </c>
      <c r="N375" s="80" t="s">
        <v>429</v>
      </c>
      <c r="O375" s="7" t="str">
        <f>IF(BudgetsTable[[#This Row],[pi_last_name]]=" ","",HYPERLINK("mailto:"&amp;BudgetsTable[[#This Row],[pi_email]]&amp;"&amp;subject=Your NSF Proposal:  "&amp;BudgetsTable[[#This Row],[prop_id]],BudgetsTable[[#This Row],[pi_email]]))</f>
        <v>delpia@wisc.edu</v>
      </c>
      <c r="P375" s="80" t="s">
        <v>261</v>
      </c>
      <c r="Q375" s="80"/>
      <c r="R375" s="80"/>
      <c r="S375" s="81"/>
      <c r="T375" s="81"/>
      <c r="U375" s="81"/>
      <c r="V375" s="82"/>
      <c r="W375" s="80">
        <v>0</v>
      </c>
      <c r="X375" s="80"/>
      <c r="Y375" s="11" t="str">
        <f ca="1">IF(ISBLANK(BudgetsTable[[#This Row],[budg_seq_yr]]),"FY"&amp;fiscalyear,"FY"&amp;fiscalyear-1+BudgetsTable[[#This Row],[budg_seq_yr]])</f>
        <v>FY18</v>
      </c>
      <c r="Z375" s="81">
        <v>500000</v>
      </c>
      <c r="AA375" s="80" t="s">
        <v>222</v>
      </c>
      <c r="AB375" s="80" t="s">
        <v>405</v>
      </c>
      <c r="AC375" s="80" t="s">
        <v>411</v>
      </c>
    </row>
    <row r="376" spans="1:29" x14ac:dyDescent="0.4">
      <c r="A376" s="10" t="s">
        <v>357</v>
      </c>
      <c r="B376" s="78" t="s">
        <v>96</v>
      </c>
      <c r="C376" s="78">
        <f>C375+(BudgetsTable[[#This Row],[lead]]&lt;&gt;K375)</f>
        <v>73</v>
      </c>
      <c r="D376" s="78">
        <f>D375*(BudgetsTable[[#This Row],[lead]]=K375)+(BudgetsTable[[#This Row],[prop_id]]&lt;&gt;A375)</f>
        <v>1</v>
      </c>
      <c r="E376" s="79">
        <v>42933.713888888888</v>
      </c>
      <c r="F376" s="80" t="s">
        <v>256</v>
      </c>
      <c r="G376" s="80" t="s">
        <v>222</v>
      </c>
      <c r="H376" s="80" t="s">
        <v>405</v>
      </c>
      <c r="I376" s="78" t="s">
        <v>406</v>
      </c>
      <c r="J376" s="78" t="s">
        <v>13</v>
      </c>
      <c r="K376" s="80" t="s">
        <v>357</v>
      </c>
      <c r="L376" s="7" t="str">
        <f>IF(BudgetsTable[[#This Row],[pi_last_name]]=" ","",HYPERLINK("https://www.ejacket.nsf.gov/ej/showProposal.do?Continue=Y&amp;ID="&amp;BudgetsTable[[#This Row],[prop_id]],BudgetsTable[[#This Row],[prop_id]]))</f>
        <v/>
      </c>
      <c r="M376" s="15" t="str">
        <f>IF(BudgetsTable[[#This Row],[pi_last_name]]=" ","",HYPERLINK("https://www.ejacket.nsf.gov/ej/processReviewAnalysis.do?dispatch=add&amp;uniqId="&amp;BudgetsTable[[#This Row],[prop_id]]&amp;PO_id,"&gt;ra"))</f>
        <v/>
      </c>
      <c r="N376" s="80" t="s">
        <v>13</v>
      </c>
      <c r="O376" s="7" t="str">
        <f>IF(BudgetsTable[[#This Row],[pi_last_name]]=" ","",HYPERLINK("mailto:"&amp;BudgetsTable[[#This Row],[pi_email]]&amp;"&amp;subject=Your NSF Proposal:  "&amp;BudgetsTable[[#This Row],[prop_id]],BudgetsTable[[#This Row],[pi_email]]))</f>
        <v/>
      </c>
      <c r="P376" s="80" t="s">
        <v>13</v>
      </c>
      <c r="Q376" s="80">
        <v>1</v>
      </c>
      <c r="R376" s="80">
        <v>1</v>
      </c>
      <c r="S376" s="81">
        <v>0</v>
      </c>
      <c r="T376" s="81">
        <v>2483</v>
      </c>
      <c r="U376" s="81">
        <v>0</v>
      </c>
      <c r="V376" s="82">
        <v>103953</v>
      </c>
      <c r="W376" s="80">
        <v>0</v>
      </c>
      <c r="X376" s="80">
        <v>1</v>
      </c>
      <c r="Y376" s="11" t="str">
        <f ca="1">IF(ISBLANK(BudgetsTable[[#This Row],[budg_seq_yr]]),"FY"&amp;fiscalyear,"FY"&amp;fiscalyear-1+BudgetsTable[[#This Row],[budg_seq_yr]])</f>
        <v>FY18</v>
      </c>
      <c r="Z376" s="81">
        <v>103953</v>
      </c>
      <c r="AA376" s="80" t="s">
        <v>222</v>
      </c>
      <c r="AB376" s="80" t="s">
        <v>405</v>
      </c>
      <c r="AC376" s="80" t="s">
        <v>411</v>
      </c>
    </row>
    <row r="377" spans="1:29" x14ac:dyDescent="0.4">
      <c r="A377" s="10" t="s">
        <v>357</v>
      </c>
      <c r="B377" s="78" t="s">
        <v>96</v>
      </c>
      <c r="C377" s="78">
        <f>C376+(BudgetsTable[[#This Row],[lead]]&lt;&gt;K376)</f>
        <v>73</v>
      </c>
      <c r="D377" s="78">
        <f>D376*(BudgetsTable[[#This Row],[lead]]=K376)+(BudgetsTable[[#This Row],[prop_id]]&lt;&gt;A376)</f>
        <v>1</v>
      </c>
      <c r="E377" s="79">
        <v>42933.713888888888</v>
      </c>
      <c r="F377" s="80" t="s">
        <v>256</v>
      </c>
      <c r="G377" s="80" t="s">
        <v>222</v>
      </c>
      <c r="H377" s="80" t="s">
        <v>405</v>
      </c>
      <c r="I377" s="78" t="s">
        <v>406</v>
      </c>
      <c r="J377" s="78" t="s">
        <v>13</v>
      </c>
      <c r="K377" s="80" t="s">
        <v>357</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80" t="s">
        <v>13</v>
      </c>
      <c r="O377" s="7" t="str">
        <f>IF(BudgetsTable[[#This Row],[pi_last_name]]=" ","",HYPERLINK("mailto:"&amp;BudgetsTable[[#This Row],[pi_email]]&amp;"&amp;subject=Your NSF Proposal:  "&amp;BudgetsTable[[#This Row],[prop_id]],BudgetsTable[[#This Row],[pi_email]]))</f>
        <v/>
      </c>
      <c r="P377" s="80" t="s">
        <v>13</v>
      </c>
      <c r="Q377" s="80">
        <v>1</v>
      </c>
      <c r="R377" s="80">
        <v>1</v>
      </c>
      <c r="S377" s="81">
        <v>0</v>
      </c>
      <c r="T377" s="81">
        <v>2483</v>
      </c>
      <c r="U377" s="81">
        <v>0</v>
      </c>
      <c r="V377" s="82">
        <v>95986</v>
      </c>
      <c r="W377" s="80">
        <v>0</v>
      </c>
      <c r="X377" s="80">
        <v>2</v>
      </c>
      <c r="Y377" s="11" t="str">
        <f ca="1">IF(ISBLANK(BudgetsTable[[#This Row],[budg_seq_yr]]),"FY"&amp;fiscalyear,"FY"&amp;fiscalyear-1+BudgetsTable[[#This Row],[budg_seq_yr]])</f>
        <v>FY19</v>
      </c>
      <c r="Z377" s="81">
        <v>95986</v>
      </c>
      <c r="AA377" s="80" t="s">
        <v>222</v>
      </c>
      <c r="AB377" s="80" t="s">
        <v>405</v>
      </c>
      <c r="AC377" s="80" t="s">
        <v>411</v>
      </c>
    </row>
    <row r="378" spans="1:29" x14ac:dyDescent="0.4">
      <c r="A378" s="10" t="s">
        <v>357</v>
      </c>
      <c r="B378" s="78" t="s">
        <v>96</v>
      </c>
      <c r="C378" s="78">
        <f>C377+(BudgetsTable[[#This Row],[lead]]&lt;&gt;K377)</f>
        <v>73</v>
      </c>
      <c r="D378" s="78">
        <f>D377*(BudgetsTable[[#This Row],[lead]]=K377)+(BudgetsTable[[#This Row],[prop_id]]&lt;&gt;A377)</f>
        <v>1</v>
      </c>
      <c r="E378" s="79">
        <v>42933.713888888888</v>
      </c>
      <c r="F378" s="80" t="s">
        <v>256</v>
      </c>
      <c r="G378" s="80" t="s">
        <v>222</v>
      </c>
      <c r="H378" s="80" t="s">
        <v>405</v>
      </c>
      <c r="I378" s="78" t="s">
        <v>406</v>
      </c>
      <c r="J378" s="78" t="s">
        <v>13</v>
      </c>
      <c r="K378" s="80" t="s">
        <v>357</v>
      </c>
      <c r="L378" s="7" t="str">
        <f>IF(BudgetsTable[[#This Row],[pi_last_name]]=" ","",HYPERLINK("https://www.ejacket.nsf.gov/ej/showProposal.do?Continue=Y&amp;ID="&amp;BudgetsTable[[#This Row],[prop_id]],BudgetsTable[[#This Row],[prop_id]]))</f>
        <v/>
      </c>
      <c r="M378" s="15" t="str">
        <f>IF(BudgetsTable[[#This Row],[pi_last_name]]=" ","",HYPERLINK("https://www.ejacket.nsf.gov/ej/processReviewAnalysis.do?dispatch=add&amp;uniqId="&amp;BudgetsTable[[#This Row],[prop_id]]&amp;PO_id,"&gt;ra"))</f>
        <v/>
      </c>
      <c r="N378" s="80" t="s">
        <v>13</v>
      </c>
      <c r="O378" s="7" t="str">
        <f>IF(BudgetsTable[[#This Row],[pi_last_name]]=" ","",HYPERLINK("mailto:"&amp;BudgetsTable[[#This Row],[pi_email]]&amp;"&amp;subject=Your NSF Proposal:  "&amp;BudgetsTable[[#This Row],[prop_id]],BudgetsTable[[#This Row],[pi_email]]))</f>
        <v/>
      </c>
      <c r="P378" s="80" t="s">
        <v>13</v>
      </c>
      <c r="Q378" s="80">
        <v>1</v>
      </c>
      <c r="R378" s="80">
        <v>1</v>
      </c>
      <c r="S378" s="81">
        <v>0</v>
      </c>
      <c r="T378" s="81">
        <v>2483</v>
      </c>
      <c r="U378" s="81">
        <v>0</v>
      </c>
      <c r="V378" s="82">
        <v>97655</v>
      </c>
      <c r="W378" s="80">
        <v>0</v>
      </c>
      <c r="X378" s="80">
        <v>3</v>
      </c>
      <c r="Y378" s="11" t="str">
        <f ca="1">IF(ISBLANK(BudgetsTable[[#This Row],[budg_seq_yr]]),"FY"&amp;fiscalyear,"FY"&amp;fiscalyear-1+BudgetsTable[[#This Row],[budg_seq_yr]])</f>
        <v>FY20</v>
      </c>
      <c r="Z378" s="81">
        <v>97655</v>
      </c>
      <c r="AA378" s="80" t="s">
        <v>222</v>
      </c>
      <c r="AB378" s="80" t="s">
        <v>405</v>
      </c>
      <c r="AC378" s="80" t="s">
        <v>411</v>
      </c>
    </row>
    <row r="379" spans="1:29" x14ac:dyDescent="0.4">
      <c r="A379" s="10" t="s">
        <v>357</v>
      </c>
      <c r="B379" s="78" t="s">
        <v>96</v>
      </c>
      <c r="C379" s="78">
        <f>C378+(BudgetsTable[[#This Row],[lead]]&lt;&gt;K378)</f>
        <v>73</v>
      </c>
      <c r="D379" s="78">
        <f>D378*(BudgetsTable[[#This Row],[lead]]=K378)+(BudgetsTable[[#This Row],[prop_id]]&lt;&gt;A378)</f>
        <v>1</v>
      </c>
      <c r="E379" s="79">
        <v>42933.713888888888</v>
      </c>
      <c r="F379" s="80" t="s">
        <v>256</v>
      </c>
      <c r="G379" s="80" t="s">
        <v>222</v>
      </c>
      <c r="H379" s="80" t="s">
        <v>405</v>
      </c>
      <c r="I379" s="78" t="s">
        <v>406</v>
      </c>
      <c r="J379" s="78" t="s">
        <v>13</v>
      </c>
      <c r="K379" s="80" t="s">
        <v>357</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80" t="s">
        <v>13</v>
      </c>
      <c r="O379" s="7" t="str">
        <f>IF(BudgetsTable[[#This Row],[pi_last_name]]=" ","",HYPERLINK("mailto:"&amp;BudgetsTable[[#This Row],[pi_email]]&amp;"&amp;subject=Your NSF Proposal:  "&amp;BudgetsTable[[#This Row],[prop_id]],BudgetsTable[[#This Row],[pi_email]]))</f>
        <v/>
      </c>
      <c r="P379" s="80" t="s">
        <v>13</v>
      </c>
      <c r="Q379" s="80">
        <v>1</v>
      </c>
      <c r="R379" s="80">
        <v>1</v>
      </c>
      <c r="S379" s="81">
        <v>0</v>
      </c>
      <c r="T379" s="81">
        <v>2483</v>
      </c>
      <c r="U379" s="81">
        <v>0</v>
      </c>
      <c r="V379" s="82">
        <v>99915</v>
      </c>
      <c r="W379" s="80">
        <v>0</v>
      </c>
      <c r="X379" s="80">
        <v>4</v>
      </c>
      <c r="Y379" s="11" t="str">
        <f ca="1">IF(ISBLANK(BudgetsTable[[#This Row],[budg_seq_yr]]),"FY"&amp;fiscalyear,"FY"&amp;fiscalyear-1+BudgetsTable[[#This Row],[budg_seq_yr]])</f>
        <v>FY21</v>
      </c>
      <c r="Z379" s="81">
        <v>99915</v>
      </c>
      <c r="AA379" s="80" t="s">
        <v>222</v>
      </c>
      <c r="AB379" s="80" t="s">
        <v>405</v>
      </c>
      <c r="AC379" s="80" t="s">
        <v>411</v>
      </c>
    </row>
    <row r="380" spans="1:29" x14ac:dyDescent="0.4">
      <c r="A380" s="10" t="s">
        <v>357</v>
      </c>
      <c r="B380" s="78" t="s">
        <v>96</v>
      </c>
      <c r="C380" s="78">
        <f>C379+(BudgetsTable[[#This Row],[lead]]&lt;&gt;K379)</f>
        <v>73</v>
      </c>
      <c r="D380" s="78">
        <f>D379*(BudgetsTable[[#This Row],[lead]]=K379)+(BudgetsTable[[#This Row],[prop_id]]&lt;&gt;A379)</f>
        <v>1</v>
      </c>
      <c r="E380" s="79">
        <v>42933.713888888888</v>
      </c>
      <c r="F380" s="80" t="s">
        <v>256</v>
      </c>
      <c r="G380" s="80" t="s">
        <v>222</v>
      </c>
      <c r="H380" s="80" t="s">
        <v>405</v>
      </c>
      <c r="I380" s="78" t="s">
        <v>406</v>
      </c>
      <c r="J380" s="78" t="s">
        <v>13</v>
      </c>
      <c r="K380" s="80" t="s">
        <v>357</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80" t="s">
        <v>13</v>
      </c>
      <c r="O380" s="7" t="str">
        <f>IF(BudgetsTable[[#This Row],[pi_last_name]]=" ","",HYPERLINK("mailto:"&amp;BudgetsTable[[#This Row],[pi_email]]&amp;"&amp;subject=Your NSF Proposal:  "&amp;BudgetsTable[[#This Row],[prop_id]],BudgetsTable[[#This Row],[pi_email]]))</f>
        <v/>
      </c>
      <c r="P380" s="80" t="s">
        <v>13</v>
      </c>
      <c r="Q380" s="80">
        <v>1</v>
      </c>
      <c r="R380" s="80">
        <v>1</v>
      </c>
      <c r="S380" s="81">
        <v>0</v>
      </c>
      <c r="T380" s="81">
        <v>2484</v>
      </c>
      <c r="U380" s="81">
        <v>0</v>
      </c>
      <c r="V380" s="82">
        <v>102491</v>
      </c>
      <c r="W380" s="80">
        <v>0</v>
      </c>
      <c r="X380" s="80">
        <v>5</v>
      </c>
      <c r="Y380" s="11" t="str">
        <f ca="1">IF(ISBLANK(BudgetsTable[[#This Row],[budg_seq_yr]]),"FY"&amp;fiscalyear,"FY"&amp;fiscalyear-1+BudgetsTable[[#This Row],[budg_seq_yr]])</f>
        <v>FY22</v>
      </c>
      <c r="Z380" s="81">
        <v>102491</v>
      </c>
      <c r="AA380" s="80" t="s">
        <v>222</v>
      </c>
      <c r="AB380" s="80" t="s">
        <v>405</v>
      </c>
      <c r="AC380" s="80" t="s">
        <v>411</v>
      </c>
    </row>
    <row r="381" spans="1:29" x14ac:dyDescent="0.4">
      <c r="A381" s="10" t="s">
        <v>358</v>
      </c>
      <c r="B381" s="78" t="s">
        <v>96</v>
      </c>
      <c r="C381" s="78">
        <f>C380+(BudgetsTable[[#This Row],[lead]]&lt;&gt;K380)</f>
        <v>74</v>
      </c>
      <c r="D381" s="78">
        <f>D380*(BudgetsTable[[#This Row],[lead]]=K380)+(BudgetsTable[[#This Row],[prop_id]]&lt;&gt;A380)</f>
        <v>1</v>
      </c>
      <c r="E381" s="79">
        <v>42933.820138888892</v>
      </c>
      <c r="F381" s="80" t="s">
        <v>256</v>
      </c>
      <c r="G381" s="80" t="s">
        <v>222</v>
      </c>
      <c r="H381" s="80" t="s">
        <v>405</v>
      </c>
      <c r="I381" s="78" t="s">
        <v>406</v>
      </c>
      <c r="J381" s="78" t="s">
        <v>436</v>
      </c>
      <c r="K381" s="80" t="s">
        <v>358</v>
      </c>
      <c r="L381" s="7" t="str">
        <f>IF(BudgetsTable[[#This Row],[pi_last_name]]=" ","",HYPERLINK("https://www.ejacket.nsf.gov/ej/showProposal.do?Continue=Y&amp;ID="&amp;BudgetsTable[[#This Row],[prop_id]],BudgetsTable[[#This Row],[prop_id]]))</f>
        <v>1749609</v>
      </c>
      <c r="M381" s="15" t="str">
        <f>IF(BudgetsTable[[#This Row],[pi_last_name]]=" ","",HYPERLINK("https://www.ejacket.nsf.gov/ej/processReviewAnalysis.do?dispatch=add&amp;uniqId="&amp;BudgetsTable[[#This Row],[prop_id]]&amp;PO_id,"&gt;ra"))</f>
        <v>&gt;ra</v>
      </c>
      <c r="N381" s="80" t="s">
        <v>434</v>
      </c>
      <c r="O381" s="7" t="str">
        <f>IF(BudgetsTable[[#This Row],[pi_last_name]]=" ","",HYPERLINK("mailto:"&amp;BudgetsTable[[#This Row],[pi_email]]&amp;"&amp;subject=Your NSF Proposal:  "&amp;BudgetsTable[[#This Row],[prop_id]],BudgetsTable[[#This Row],[pi_email]]))</f>
        <v>yintat@uw.edu</v>
      </c>
      <c r="P381" s="80" t="s">
        <v>258</v>
      </c>
      <c r="Q381" s="80"/>
      <c r="R381" s="80"/>
      <c r="S381" s="81"/>
      <c r="T381" s="81"/>
      <c r="U381" s="81"/>
      <c r="V381" s="82"/>
      <c r="W381" s="80">
        <v>0</v>
      </c>
      <c r="X381" s="80"/>
      <c r="Y381" s="11" t="str">
        <f ca="1">IF(ISBLANK(BudgetsTable[[#This Row],[budg_seq_yr]]),"FY"&amp;fiscalyear,"FY"&amp;fiscalyear-1+BudgetsTable[[#This Row],[budg_seq_yr]])</f>
        <v>FY18</v>
      </c>
      <c r="Z381" s="81">
        <v>549841</v>
      </c>
      <c r="AA381" s="80" t="s">
        <v>222</v>
      </c>
      <c r="AB381" s="80" t="s">
        <v>405</v>
      </c>
      <c r="AC381" s="80" t="s">
        <v>411</v>
      </c>
    </row>
    <row r="382" spans="1:29" x14ac:dyDescent="0.4">
      <c r="A382" s="10" t="s">
        <v>358</v>
      </c>
      <c r="B382" s="78" t="s">
        <v>96</v>
      </c>
      <c r="C382" s="78">
        <f>C381+(BudgetsTable[[#This Row],[lead]]&lt;&gt;K381)</f>
        <v>74</v>
      </c>
      <c r="D382" s="78">
        <f>D381*(BudgetsTable[[#This Row],[lead]]=K381)+(BudgetsTable[[#This Row],[prop_id]]&lt;&gt;A381)</f>
        <v>1</v>
      </c>
      <c r="E382" s="79">
        <v>42933.820138888892</v>
      </c>
      <c r="F382" s="80" t="s">
        <v>256</v>
      </c>
      <c r="G382" s="80" t="s">
        <v>222</v>
      </c>
      <c r="H382" s="80" t="s">
        <v>405</v>
      </c>
      <c r="I382" s="78" t="s">
        <v>406</v>
      </c>
      <c r="J382" s="78" t="s">
        <v>13</v>
      </c>
      <c r="K382" s="80" t="s">
        <v>358</v>
      </c>
      <c r="L382" s="7" t="str">
        <f>IF(BudgetsTable[[#This Row],[pi_last_name]]=" ","",HYPERLINK("https://www.ejacket.nsf.gov/ej/showProposal.do?Continue=Y&amp;ID="&amp;BudgetsTable[[#This Row],[prop_id]],BudgetsTable[[#This Row],[prop_id]]))</f>
        <v/>
      </c>
      <c r="M382" s="15" t="str">
        <f>IF(BudgetsTable[[#This Row],[pi_last_name]]=" ","",HYPERLINK("https://www.ejacket.nsf.gov/ej/processReviewAnalysis.do?dispatch=add&amp;uniqId="&amp;BudgetsTable[[#This Row],[prop_id]]&amp;PO_id,"&gt;ra"))</f>
        <v/>
      </c>
      <c r="N382" s="80" t="s">
        <v>13</v>
      </c>
      <c r="O382" s="7" t="str">
        <f>IF(BudgetsTable[[#This Row],[pi_last_name]]=" ","",HYPERLINK("mailto:"&amp;BudgetsTable[[#This Row],[pi_email]]&amp;"&amp;subject=Your NSF Proposal:  "&amp;BudgetsTable[[#This Row],[prop_id]],BudgetsTable[[#This Row],[pi_email]]))</f>
        <v/>
      </c>
      <c r="P382" s="80" t="s">
        <v>13</v>
      </c>
      <c r="Q382" s="80">
        <v>1</v>
      </c>
      <c r="R382" s="80">
        <v>0.5</v>
      </c>
      <c r="S382" s="81">
        <v>0</v>
      </c>
      <c r="T382" s="81">
        <v>0</v>
      </c>
      <c r="U382" s="81">
        <v>0</v>
      </c>
      <c r="V382" s="82">
        <v>105589</v>
      </c>
      <c r="W382" s="80">
        <v>0</v>
      </c>
      <c r="X382" s="80">
        <v>1</v>
      </c>
      <c r="Y382" s="11" t="str">
        <f ca="1">IF(ISBLANK(BudgetsTable[[#This Row],[budg_seq_yr]]),"FY"&amp;fiscalyear,"FY"&amp;fiscalyear-1+BudgetsTable[[#This Row],[budg_seq_yr]])</f>
        <v>FY18</v>
      </c>
      <c r="Z382" s="81">
        <v>105589</v>
      </c>
      <c r="AA382" s="80" t="s">
        <v>222</v>
      </c>
      <c r="AB382" s="80" t="s">
        <v>405</v>
      </c>
      <c r="AC382" s="80" t="s">
        <v>411</v>
      </c>
    </row>
    <row r="383" spans="1:29" x14ac:dyDescent="0.4">
      <c r="A383" s="10" t="s">
        <v>358</v>
      </c>
      <c r="B383" s="78" t="s">
        <v>96</v>
      </c>
      <c r="C383" s="78">
        <f>C382+(BudgetsTable[[#This Row],[lead]]&lt;&gt;K382)</f>
        <v>74</v>
      </c>
      <c r="D383" s="78">
        <f>D382*(BudgetsTable[[#This Row],[lead]]=K382)+(BudgetsTable[[#This Row],[prop_id]]&lt;&gt;A382)</f>
        <v>1</v>
      </c>
      <c r="E383" s="79">
        <v>42933.820138888892</v>
      </c>
      <c r="F383" s="80" t="s">
        <v>256</v>
      </c>
      <c r="G383" s="80" t="s">
        <v>222</v>
      </c>
      <c r="H383" s="80" t="s">
        <v>405</v>
      </c>
      <c r="I383" s="78" t="s">
        <v>406</v>
      </c>
      <c r="J383" s="78" t="s">
        <v>13</v>
      </c>
      <c r="K383" s="80" t="s">
        <v>358</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80" t="s">
        <v>13</v>
      </c>
      <c r="O383" s="7" t="str">
        <f>IF(BudgetsTable[[#This Row],[pi_last_name]]=" ","",HYPERLINK("mailto:"&amp;BudgetsTable[[#This Row],[pi_email]]&amp;"&amp;subject=Your NSF Proposal:  "&amp;BudgetsTable[[#This Row],[prop_id]],BudgetsTable[[#This Row],[pi_email]]))</f>
        <v/>
      </c>
      <c r="P383" s="80" t="s">
        <v>13</v>
      </c>
      <c r="Q383" s="80">
        <v>1</v>
      </c>
      <c r="R383" s="80">
        <v>0.5</v>
      </c>
      <c r="S383" s="81">
        <v>0</v>
      </c>
      <c r="T383" s="81">
        <v>0</v>
      </c>
      <c r="U383" s="81">
        <v>0</v>
      </c>
      <c r="V383" s="82">
        <v>110067</v>
      </c>
      <c r="W383" s="80">
        <v>0</v>
      </c>
      <c r="X383" s="80">
        <v>2</v>
      </c>
      <c r="Y383" s="11" t="str">
        <f ca="1">IF(ISBLANK(BudgetsTable[[#This Row],[budg_seq_yr]]),"FY"&amp;fiscalyear,"FY"&amp;fiscalyear-1+BudgetsTable[[#This Row],[budg_seq_yr]])</f>
        <v>FY19</v>
      </c>
      <c r="Z383" s="81">
        <v>110067</v>
      </c>
      <c r="AA383" s="80" t="s">
        <v>222</v>
      </c>
      <c r="AB383" s="80" t="s">
        <v>405</v>
      </c>
      <c r="AC383" s="80" t="s">
        <v>411</v>
      </c>
    </row>
    <row r="384" spans="1:29" x14ac:dyDescent="0.4">
      <c r="A384" s="10" t="s">
        <v>358</v>
      </c>
      <c r="B384" s="78" t="s">
        <v>96</v>
      </c>
      <c r="C384" s="78">
        <f>C383+(BudgetsTable[[#This Row],[lead]]&lt;&gt;K383)</f>
        <v>74</v>
      </c>
      <c r="D384" s="78">
        <f>D383*(BudgetsTable[[#This Row],[lead]]=K383)+(BudgetsTable[[#This Row],[prop_id]]&lt;&gt;A383)</f>
        <v>1</v>
      </c>
      <c r="E384" s="79">
        <v>42933.820138888892</v>
      </c>
      <c r="F384" s="80" t="s">
        <v>256</v>
      </c>
      <c r="G384" s="80" t="s">
        <v>222</v>
      </c>
      <c r="H384" s="80" t="s">
        <v>405</v>
      </c>
      <c r="I384" s="78" t="s">
        <v>406</v>
      </c>
      <c r="J384" s="78" t="s">
        <v>13</v>
      </c>
      <c r="K384" s="80" t="s">
        <v>358</v>
      </c>
      <c r="L384" s="7" t="str">
        <f>IF(BudgetsTable[[#This Row],[pi_last_name]]=" ","",HYPERLINK("https://www.ejacket.nsf.gov/ej/showProposal.do?Continue=Y&amp;ID="&amp;BudgetsTable[[#This Row],[prop_id]],BudgetsTable[[#This Row],[prop_id]]))</f>
        <v/>
      </c>
      <c r="M384" s="15" t="str">
        <f>IF(BudgetsTable[[#This Row],[pi_last_name]]=" ","",HYPERLINK("https://www.ejacket.nsf.gov/ej/processReviewAnalysis.do?dispatch=add&amp;uniqId="&amp;BudgetsTable[[#This Row],[prop_id]]&amp;PO_id,"&gt;ra"))</f>
        <v/>
      </c>
      <c r="N384" s="80" t="s">
        <v>13</v>
      </c>
      <c r="O384" s="7" t="str">
        <f>IF(BudgetsTable[[#This Row],[pi_last_name]]=" ","",HYPERLINK("mailto:"&amp;BudgetsTable[[#This Row],[pi_email]]&amp;"&amp;subject=Your NSF Proposal:  "&amp;BudgetsTable[[#This Row],[prop_id]],BudgetsTable[[#This Row],[pi_email]]))</f>
        <v/>
      </c>
      <c r="P384" s="80" t="s">
        <v>13</v>
      </c>
      <c r="Q384" s="80">
        <v>1</v>
      </c>
      <c r="R384" s="80">
        <v>0.5</v>
      </c>
      <c r="S384" s="81">
        <v>0</v>
      </c>
      <c r="T384" s="81">
        <v>0</v>
      </c>
      <c r="U384" s="81">
        <v>0</v>
      </c>
      <c r="V384" s="82">
        <v>114453</v>
      </c>
      <c r="W384" s="80">
        <v>0</v>
      </c>
      <c r="X384" s="80">
        <v>3</v>
      </c>
      <c r="Y384" s="11" t="str">
        <f ca="1">IF(ISBLANK(BudgetsTable[[#This Row],[budg_seq_yr]]),"FY"&amp;fiscalyear,"FY"&amp;fiscalyear-1+BudgetsTable[[#This Row],[budg_seq_yr]])</f>
        <v>FY20</v>
      </c>
      <c r="Z384" s="81">
        <v>114453</v>
      </c>
      <c r="AA384" s="80" t="s">
        <v>222</v>
      </c>
      <c r="AB384" s="80" t="s">
        <v>405</v>
      </c>
      <c r="AC384" s="80" t="s">
        <v>411</v>
      </c>
    </row>
    <row r="385" spans="1:29" x14ac:dyDescent="0.4">
      <c r="A385" s="10" t="s">
        <v>358</v>
      </c>
      <c r="B385" s="78" t="s">
        <v>96</v>
      </c>
      <c r="C385" s="78">
        <f>C384+(BudgetsTable[[#This Row],[lead]]&lt;&gt;K384)</f>
        <v>74</v>
      </c>
      <c r="D385" s="78">
        <f>D384*(BudgetsTable[[#This Row],[lead]]=K384)+(BudgetsTable[[#This Row],[prop_id]]&lt;&gt;A384)</f>
        <v>1</v>
      </c>
      <c r="E385" s="79">
        <v>42933.820138888892</v>
      </c>
      <c r="F385" s="80" t="s">
        <v>256</v>
      </c>
      <c r="G385" s="80" t="s">
        <v>222</v>
      </c>
      <c r="H385" s="80" t="s">
        <v>405</v>
      </c>
      <c r="I385" s="78" t="s">
        <v>406</v>
      </c>
      <c r="J385" s="78" t="s">
        <v>13</v>
      </c>
      <c r="K385" s="80" t="s">
        <v>358</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80" t="s">
        <v>13</v>
      </c>
      <c r="O385" s="7" t="str">
        <f>IF(BudgetsTable[[#This Row],[pi_last_name]]=" ","",HYPERLINK("mailto:"&amp;BudgetsTable[[#This Row],[pi_email]]&amp;"&amp;subject=Your NSF Proposal:  "&amp;BudgetsTable[[#This Row],[prop_id]],BudgetsTable[[#This Row],[pi_email]]))</f>
        <v/>
      </c>
      <c r="P385" s="80" t="s">
        <v>13</v>
      </c>
      <c r="Q385" s="80">
        <v>1</v>
      </c>
      <c r="R385" s="80">
        <v>0.5</v>
      </c>
      <c r="S385" s="81">
        <v>0</v>
      </c>
      <c r="T385" s="81">
        <v>0</v>
      </c>
      <c r="U385" s="81">
        <v>0</v>
      </c>
      <c r="V385" s="82">
        <v>119025</v>
      </c>
      <c r="W385" s="80">
        <v>0</v>
      </c>
      <c r="X385" s="80">
        <v>4</v>
      </c>
      <c r="Y385" s="11" t="str">
        <f ca="1">IF(ISBLANK(BudgetsTable[[#This Row],[budg_seq_yr]]),"FY"&amp;fiscalyear,"FY"&amp;fiscalyear-1+BudgetsTable[[#This Row],[budg_seq_yr]])</f>
        <v>FY21</v>
      </c>
      <c r="Z385" s="81">
        <v>119025</v>
      </c>
      <c r="AA385" s="80" t="s">
        <v>222</v>
      </c>
      <c r="AB385" s="80" t="s">
        <v>405</v>
      </c>
      <c r="AC385" s="80" t="s">
        <v>411</v>
      </c>
    </row>
    <row r="386" spans="1:29" x14ac:dyDescent="0.4">
      <c r="A386" s="10" t="s">
        <v>358</v>
      </c>
      <c r="B386" s="78" t="s">
        <v>96</v>
      </c>
      <c r="C386" s="78">
        <f>C385+(BudgetsTable[[#This Row],[lead]]&lt;&gt;K385)</f>
        <v>74</v>
      </c>
      <c r="D386" s="78">
        <f>D385*(BudgetsTable[[#This Row],[lead]]=K385)+(BudgetsTable[[#This Row],[prop_id]]&lt;&gt;A385)</f>
        <v>1</v>
      </c>
      <c r="E386" s="79">
        <v>42933.820138888892</v>
      </c>
      <c r="F386" s="80" t="s">
        <v>256</v>
      </c>
      <c r="G386" s="80" t="s">
        <v>222</v>
      </c>
      <c r="H386" s="80" t="s">
        <v>405</v>
      </c>
      <c r="I386" s="78" t="s">
        <v>406</v>
      </c>
      <c r="J386" s="78" t="s">
        <v>13</v>
      </c>
      <c r="K386" s="80" t="s">
        <v>358</v>
      </c>
      <c r="L386" s="7" t="str">
        <f>IF(BudgetsTable[[#This Row],[pi_last_name]]=" ","",HYPERLINK("https://www.ejacket.nsf.gov/ej/showProposal.do?Continue=Y&amp;ID="&amp;BudgetsTable[[#This Row],[prop_id]],BudgetsTable[[#This Row],[prop_id]]))</f>
        <v/>
      </c>
      <c r="M386" s="15" t="str">
        <f>IF(BudgetsTable[[#This Row],[pi_last_name]]=" ","",HYPERLINK("https://www.ejacket.nsf.gov/ej/processReviewAnalysis.do?dispatch=add&amp;uniqId="&amp;BudgetsTable[[#This Row],[prop_id]]&amp;PO_id,"&gt;ra"))</f>
        <v/>
      </c>
      <c r="N386" s="80" t="s">
        <v>13</v>
      </c>
      <c r="O386" s="7" t="str">
        <f>IF(BudgetsTable[[#This Row],[pi_last_name]]=" ","",HYPERLINK("mailto:"&amp;BudgetsTable[[#This Row],[pi_email]]&amp;"&amp;subject=Your NSF Proposal:  "&amp;BudgetsTable[[#This Row],[prop_id]],BudgetsTable[[#This Row],[pi_email]]))</f>
        <v/>
      </c>
      <c r="P386" s="80" t="s">
        <v>13</v>
      </c>
      <c r="Q386" s="80">
        <v>1</v>
      </c>
      <c r="R386" s="80">
        <v>0.5</v>
      </c>
      <c r="S386" s="81">
        <v>0</v>
      </c>
      <c r="T386" s="81">
        <v>0</v>
      </c>
      <c r="U386" s="81">
        <v>0</v>
      </c>
      <c r="V386" s="82">
        <v>100707</v>
      </c>
      <c r="W386" s="80">
        <v>0</v>
      </c>
      <c r="X386" s="80">
        <v>5</v>
      </c>
      <c r="Y386" s="11" t="str">
        <f ca="1">IF(ISBLANK(BudgetsTable[[#This Row],[budg_seq_yr]]),"FY"&amp;fiscalyear,"FY"&amp;fiscalyear-1+BudgetsTable[[#This Row],[budg_seq_yr]])</f>
        <v>FY22</v>
      </c>
      <c r="Z386" s="81">
        <v>100707</v>
      </c>
      <c r="AA386" s="80" t="s">
        <v>222</v>
      </c>
      <c r="AB386" s="80" t="s">
        <v>405</v>
      </c>
      <c r="AC386" s="80" t="s">
        <v>411</v>
      </c>
    </row>
    <row r="387" spans="1:29" x14ac:dyDescent="0.4">
      <c r="A387" s="10" t="s">
        <v>359</v>
      </c>
      <c r="B387" s="78" t="s">
        <v>96</v>
      </c>
      <c r="C387" s="78">
        <f>C386+(BudgetsTable[[#This Row],[lead]]&lt;&gt;K386)</f>
        <v>75</v>
      </c>
      <c r="D387" s="78">
        <f>D386*(BudgetsTable[[#This Row],[lead]]=K386)+(BudgetsTable[[#This Row],[prop_id]]&lt;&gt;A386)</f>
        <v>1</v>
      </c>
      <c r="E387" s="79">
        <v>42934.453472222223</v>
      </c>
      <c r="F387" s="80" t="s">
        <v>256</v>
      </c>
      <c r="G387" s="80" t="s">
        <v>222</v>
      </c>
      <c r="H387" s="80" t="s">
        <v>405</v>
      </c>
      <c r="I387" s="78" t="s">
        <v>422</v>
      </c>
      <c r="J387" s="78" t="s">
        <v>442</v>
      </c>
      <c r="K387" s="80" t="s">
        <v>359</v>
      </c>
      <c r="L387" s="7" t="str">
        <f>IF(BudgetsTable[[#This Row],[pi_last_name]]=" ","",HYPERLINK("https://www.ejacket.nsf.gov/ej/showProposal.do?Continue=Y&amp;ID="&amp;BudgetsTable[[#This Row],[prop_id]],BudgetsTable[[#This Row],[prop_id]]))</f>
        <v>1749678</v>
      </c>
      <c r="M387" s="15" t="str">
        <f>IF(BudgetsTable[[#This Row],[pi_last_name]]=" ","",HYPERLINK("https://www.ejacket.nsf.gov/ej/processReviewAnalysis.do?dispatch=add&amp;uniqId="&amp;BudgetsTable[[#This Row],[prop_id]]&amp;PO_id,"&gt;ra"))</f>
        <v>&gt;ra</v>
      </c>
      <c r="N387" s="80" t="s">
        <v>439</v>
      </c>
      <c r="O387" s="7" t="str">
        <f>IF(BudgetsTable[[#This Row],[pi_last_name]]=" ","",HYPERLINK("mailto:"&amp;BudgetsTable[[#This Row],[pi_email]]&amp;"&amp;subject=Your NSF Proposal:  "&amp;BudgetsTable[[#This Row],[prop_id]],BudgetsTable[[#This Row],[pi_email]]))</f>
        <v>sim3@ucmerced.edu</v>
      </c>
      <c r="P387" s="80" t="s">
        <v>441</v>
      </c>
      <c r="Q387" s="80"/>
      <c r="R387" s="80"/>
      <c r="S387" s="81"/>
      <c r="T387" s="81"/>
      <c r="U387" s="81"/>
      <c r="V387" s="82"/>
      <c r="W387" s="80">
        <v>0</v>
      </c>
      <c r="X387" s="80"/>
      <c r="Y387" s="11" t="str">
        <f ca="1">IF(ISBLANK(BudgetsTable[[#This Row],[budg_seq_yr]]),"FY"&amp;fiscalyear,"FY"&amp;fiscalyear-1+BudgetsTable[[#This Row],[budg_seq_yr]])</f>
        <v>FY18</v>
      </c>
      <c r="Z387" s="81">
        <v>514477</v>
      </c>
      <c r="AA387" s="80" t="s">
        <v>222</v>
      </c>
      <c r="AB387" s="80" t="s">
        <v>405</v>
      </c>
      <c r="AC387" s="80" t="s">
        <v>411</v>
      </c>
    </row>
    <row r="388" spans="1:29" x14ac:dyDescent="0.4">
      <c r="A388" s="10" t="s">
        <v>359</v>
      </c>
      <c r="B388" s="78" t="s">
        <v>96</v>
      </c>
      <c r="C388" s="78">
        <f>C387+(BudgetsTable[[#This Row],[lead]]&lt;&gt;K387)</f>
        <v>75</v>
      </c>
      <c r="D388" s="78">
        <f>D387*(BudgetsTable[[#This Row],[lead]]=K387)+(BudgetsTable[[#This Row],[prop_id]]&lt;&gt;A387)</f>
        <v>1</v>
      </c>
      <c r="E388" s="79">
        <v>42934.453472222223</v>
      </c>
      <c r="F388" s="80" t="s">
        <v>256</v>
      </c>
      <c r="G388" s="80" t="s">
        <v>222</v>
      </c>
      <c r="H388" s="80" t="s">
        <v>405</v>
      </c>
      <c r="I388" s="78" t="s">
        <v>422</v>
      </c>
      <c r="J388" s="78" t="s">
        <v>13</v>
      </c>
      <c r="K388" s="80" t="s">
        <v>359</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80" t="s">
        <v>13</v>
      </c>
      <c r="O388" s="7" t="str">
        <f>IF(BudgetsTable[[#This Row],[pi_last_name]]=" ","",HYPERLINK("mailto:"&amp;BudgetsTable[[#This Row],[pi_email]]&amp;"&amp;subject=Your NSF Proposal:  "&amp;BudgetsTable[[#This Row],[prop_id]],BudgetsTable[[#This Row],[pi_email]]))</f>
        <v/>
      </c>
      <c r="P388" s="80" t="s">
        <v>13</v>
      </c>
      <c r="Q388" s="80">
        <v>0</v>
      </c>
      <c r="R388" s="80">
        <v>0</v>
      </c>
      <c r="S388" s="81">
        <v>0</v>
      </c>
      <c r="T388" s="81">
        <v>0</v>
      </c>
      <c r="U388" s="81">
        <v>0</v>
      </c>
      <c r="V388" s="82">
        <v>91413</v>
      </c>
      <c r="W388" s="80">
        <v>0</v>
      </c>
      <c r="X388" s="80">
        <v>1</v>
      </c>
      <c r="Y388" s="11" t="str">
        <f ca="1">IF(ISBLANK(BudgetsTable[[#This Row],[budg_seq_yr]]),"FY"&amp;fiscalyear,"FY"&amp;fiscalyear-1+BudgetsTable[[#This Row],[budg_seq_yr]])</f>
        <v>FY18</v>
      </c>
      <c r="Z388" s="81">
        <v>91413</v>
      </c>
      <c r="AA388" s="80" t="s">
        <v>222</v>
      </c>
      <c r="AB388" s="80" t="s">
        <v>405</v>
      </c>
      <c r="AC388" s="80" t="s">
        <v>411</v>
      </c>
    </row>
    <row r="389" spans="1:29" x14ac:dyDescent="0.4">
      <c r="A389" s="10" t="s">
        <v>359</v>
      </c>
      <c r="B389" s="78" t="s">
        <v>96</v>
      </c>
      <c r="C389" s="78">
        <f>C388+(BudgetsTable[[#This Row],[lead]]&lt;&gt;K388)</f>
        <v>75</v>
      </c>
      <c r="D389" s="78">
        <f>D388*(BudgetsTable[[#This Row],[lead]]=K388)+(BudgetsTable[[#This Row],[prop_id]]&lt;&gt;A388)</f>
        <v>1</v>
      </c>
      <c r="E389" s="79">
        <v>42934.453472222223</v>
      </c>
      <c r="F389" s="80" t="s">
        <v>256</v>
      </c>
      <c r="G389" s="80" t="s">
        <v>222</v>
      </c>
      <c r="H389" s="80" t="s">
        <v>405</v>
      </c>
      <c r="I389" s="78" t="s">
        <v>422</v>
      </c>
      <c r="J389" s="78" t="s">
        <v>13</v>
      </c>
      <c r="K389" s="80" t="s">
        <v>359</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80" t="s">
        <v>13</v>
      </c>
      <c r="O389" s="7" t="str">
        <f>IF(BudgetsTable[[#This Row],[pi_last_name]]=" ","",HYPERLINK("mailto:"&amp;BudgetsTable[[#This Row],[pi_email]]&amp;"&amp;subject=Your NSF Proposal:  "&amp;BudgetsTable[[#This Row],[prop_id]],BudgetsTable[[#This Row],[pi_email]]))</f>
        <v/>
      </c>
      <c r="P389" s="80" t="s">
        <v>13</v>
      </c>
      <c r="Q389" s="80">
        <v>1</v>
      </c>
      <c r="R389" s="80">
        <v>1</v>
      </c>
      <c r="S389" s="81">
        <v>0</v>
      </c>
      <c r="T389" s="81">
        <v>0</v>
      </c>
      <c r="U389" s="81">
        <v>0</v>
      </c>
      <c r="V389" s="82">
        <v>113277</v>
      </c>
      <c r="W389" s="80">
        <v>0</v>
      </c>
      <c r="X389" s="80">
        <v>2</v>
      </c>
      <c r="Y389" s="11" t="str">
        <f ca="1">IF(ISBLANK(BudgetsTable[[#This Row],[budg_seq_yr]]),"FY"&amp;fiscalyear,"FY"&amp;fiscalyear-1+BudgetsTable[[#This Row],[budg_seq_yr]])</f>
        <v>FY19</v>
      </c>
      <c r="Z389" s="81">
        <v>113277</v>
      </c>
      <c r="AA389" s="80" t="s">
        <v>222</v>
      </c>
      <c r="AB389" s="80" t="s">
        <v>405</v>
      </c>
      <c r="AC389" s="80" t="s">
        <v>411</v>
      </c>
    </row>
    <row r="390" spans="1:29" x14ac:dyDescent="0.4">
      <c r="A390" s="10" t="s">
        <v>359</v>
      </c>
      <c r="B390" s="78" t="s">
        <v>96</v>
      </c>
      <c r="C390" s="78">
        <f>C389+(BudgetsTable[[#This Row],[lead]]&lt;&gt;K389)</f>
        <v>75</v>
      </c>
      <c r="D390" s="78">
        <f>D389*(BudgetsTable[[#This Row],[lead]]=K389)+(BudgetsTable[[#This Row],[prop_id]]&lt;&gt;A389)</f>
        <v>1</v>
      </c>
      <c r="E390" s="79">
        <v>42934.453472222223</v>
      </c>
      <c r="F390" s="80" t="s">
        <v>256</v>
      </c>
      <c r="G390" s="80" t="s">
        <v>222</v>
      </c>
      <c r="H390" s="80" t="s">
        <v>405</v>
      </c>
      <c r="I390" s="78" t="s">
        <v>422</v>
      </c>
      <c r="J390" s="78" t="s">
        <v>13</v>
      </c>
      <c r="K390" s="80" t="s">
        <v>359</v>
      </c>
      <c r="L390" s="7" t="str">
        <f>IF(BudgetsTable[[#This Row],[pi_last_name]]=" ","",HYPERLINK("https://www.ejacket.nsf.gov/ej/showProposal.do?Continue=Y&amp;ID="&amp;BudgetsTable[[#This Row],[prop_id]],BudgetsTable[[#This Row],[prop_id]]))</f>
        <v/>
      </c>
      <c r="M390" s="15" t="str">
        <f>IF(BudgetsTable[[#This Row],[pi_last_name]]=" ","",HYPERLINK("https://www.ejacket.nsf.gov/ej/processReviewAnalysis.do?dispatch=add&amp;uniqId="&amp;BudgetsTable[[#This Row],[prop_id]]&amp;PO_id,"&gt;ra"))</f>
        <v/>
      </c>
      <c r="N390" s="80" t="s">
        <v>13</v>
      </c>
      <c r="O390" s="7" t="str">
        <f>IF(BudgetsTable[[#This Row],[pi_last_name]]=" ","",HYPERLINK("mailto:"&amp;BudgetsTable[[#This Row],[pi_email]]&amp;"&amp;subject=Your NSF Proposal:  "&amp;BudgetsTable[[#This Row],[prop_id]],BudgetsTable[[#This Row],[pi_email]]))</f>
        <v/>
      </c>
      <c r="P390" s="80" t="s">
        <v>13</v>
      </c>
      <c r="Q390" s="80">
        <v>1</v>
      </c>
      <c r="R390" s="80">
        <v>2</v>
      </c>
      <c r="S390" s="81">
        <v>0</v>
      </c>
      <c r="T390" s="81">
        <v>0</v>
      </c>
      <c r="U390" s="81">
        <v>0</v>
      </c>
      <c r="V390" s="82">
        <v>100094</v>
      </c>
      <c r="W390" s="80">
        <v>0</v>
      </c>
      <c r="X390" s="80">
        <v>3</v>
      </c>
      <c r="Y390" s="11" t="str">
        <f ca="1">IF(ISBLANK(BudgetsTable[[#This Row],[budg_seq_yr]]),"FY"&amp;fiscalyear,"FY"&amp;fiscalyear-1+BudgetsTable[[#This Row],[budg_seq_yr]])</f>
        <v>FY20</v>
      </c>
      <c r="Z390" s="81">
        <v>100094</v>
      </c>
      <c r="AA390" s="80" t="s">
        <v>222</v>
      </c>
      <c r="AB390" s="80" t="s">
        <v>405</v>
      </c>
      <c r="AC390" s="80" t="s">
        <v>411</v>
      </c>
    </row>
    <row r="391" spans="1:29" x14ac:dyDescent="0.4">
      <c r="A391" s="10" t="s">
        <v>359</v>
      </c>
      <c r="B391" s="78" t="s">
        <v>96</v>
      </c>
      <c r="C391" s="78">
        <f>C390+(BudgetsTable[[#This Row],[lead]]&lt;&gt;K390)</f>
        <v>75</v>
      </c>
      <c r="D391" s="78">
        <f>D390*(BudgetsTable[[#This Row],[lead]]=K390)+(BudgetsTable[[#This Row],[prop_id]]&lt;&gt;A390)</f>
        <v>1</v>
      </c>
      <c r="E391" s="79">
        <v>42934.453472222223</v>
      </c>
      <c r="F391" s="80" t="s">
        <v>256</v>
      </c>
      <c r="G391" s="80" t="s">
        <v>222</v>
      </c>
      <c r="H391" s="80" t="s">
        <v>405</v>
      </c>
      <c r="I391" s="78" t="s">
        <v>422</v>
      </c>
      <c r="J391" s="78" t="s">
        <v>13</v>
      </c>
      <c r="K391" s="80" t="s">
        <v>359</v>
      </c>
      <c r="L391" s="7" t="str">
        <f>IF(BudgetsTable[[#This Row],[pi_last_name]]=" ","",HYPERLINK("https://www.ejacket.nsf.gov/ej/showProposal.do?Continue=Y&amp;ID="&amp;BudgetsTable[[#This Row],[prop_id]],BudgetsTable[[#This Row],[prop_id]]))</f>
        <v/>
      </c>
      <c r="M391" s="15" t="str">
        <f>IF(BudgetsTable[[#This Row],[pi_last_name]]=" ","",HYPERLINK("https://www.ejacket.nsf.gov/ej/processReviewAnalysis.do?dispatch=add&amp;uniqId="&amp;BudgetsTable[[#This Row],[prop_id]]&amp;PO_id,"&gt;ra"))</f>
        <v/>
      </c>
      <c r="N391" s="80" t="s">
        <v>13</v>
      </c>
      <c r="O391" s="7" t="str">
        <f>IF(BudgetsTable[[#This Row],[pi_last_name]]=" ","",HYPERLINK("mailto:"&amp;BudgetsTable[[#This Row],[pi_email]]&amp;"&amp;subject=Your NSF Proposal:  "&amp;BudgetsTable[[#This Row],[prop_id]],BudgetsTable[[#This Row],[pi_email]]))</f>
        <v/>
      </c>
      <c r="P391" s="80" t="s">
        <v>13</v>
      </c>
      <c r="Q391" s="80">
        <v>1</v>
      </c>
      <c r="R391" s="80">
        <v>2</v>
      </c>
      <c r="S391" s="81">
        <v>0</v>
      </c>
      <c r="T391" s="81">
        <v>0</v>
      </c>
      <c r="U391" s="81">
        <v>0</v>
      </c>
      <c r="V391" s="82">
        <v>103215</v>
      </c>
      <c r="W391" s="80">
        <v>0</v>
      </c>
      <c r="X391" s="80">
        <v>4</v>
      </c>
      <c r="Y391" s="11" t="str">
        <f ca="1">IF(ISBLANK(BudgetsTable[[#This Row],[budg_seq_yr]]),"FY"&amp;fiscalyear,"FY"&amp;fiscalyear-1+BudgetsTable[[#This Row],[budg_seq_yr]])</f>
        <v>FY21</v>
      </c>
      <c r="Z391" s="81">
        <v>103215</v>
      </c>
      <c r="AA391" s="80" t="s">
        <v>222</v>
      </c>
      <c r="AB391" s="80" t="s">
        <v>405</v>
      </c>
      <c r="AC391" s="80" t="s">
        <v>411</v>
      </c>
    </row>
    <row r="392" spans="1:29" x14ac:dyDescent="0.4">
      <c r="A392" s="10" t="s">
        <v>359</v>
      </c>
      <c r="B392" s="78" t="s">
        <v>96</v>
      </c>
      <c r="C392" s="78">
        <f>C391+(BudgetsTable[[#This Row],[lead]]&lt;&gt;K391)</f>
        <v>75</v>
      </c>
      <c r="D392" s="78">
        <f>D391*(BudgetsTable[[#This Row],[lead]]=K391)+(BudgetsTable[[#This Row],[prop_id]]&lt;&gt;A391)</f>
        <v>1</v>
      </c>
      <c r="E392" s="79">
        <v>42934.453472222223</v>
      </c>
      <c r="F392" s="80" t="s">
        <v>256</v>
      </c>
      <c r="G392" s="80" t="s">
        <v>222</v>
      </c>
      <c r="H392" s="80" t="s">
        <v>405</v>
      </c>
      <c r="I392" s="78" t="s">
        <v>422</v>
      </c>
      <c r="J392" s="78" t="s">
        <v>13</v>
      </c>
      <c r="K392" s="80" t="s">
        <v>359</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80" t="s">
        <v>13</v>
      </c>
      <c r="O392" s="7" t="str">
        <f>IF(BudgetsTable[[#This Row],[pi_last_name]]=" ","",HYPERLINK("mailto:"&amp;BudgetsTable[[#This Row],[pi_email]]&amp;"&amp;subject=Your NSF Proposal:  "&amp;BudgetsTable[[#This Row],[prop_id]],BudgetsTable[[#This Row],[pi_email]]))</f>
        <v/>
      </c>
      <c r="P392" s="80" t="s">
        <v>13</v>
      </c>
      <c r="Q392" s="80">
        <v>1</v>
      </c>
      <c r="R392" s="80">
        <v>2</v>
      </c>
      <c r="S392" s="81">
        <v>0</v>
      </c>
      <c r="T392" s="81">
        <v>0</v>
      </c>
      <c r="U392" s="81">
        <v>0</v>
      </c>
      <c r="V392" s="82">
        <v>106478</v>
      </c>
      <c r="W392" s="80">
        <v>0</v>
      </c>
      <c r="X392" s="80">
        <v>5</v>
      </c>
      <c r="Y392" s="11" t="str">
        <f ca="1">IF(ISBLANK(BudgetsTable[[#This Row],[budg_seq_yr]]),"FY"&amp;fiscalyear,"FY"&amp;fiscalyear-1+BudgetsTable[[#This Row],[budg_seq_yr]])</f>
        <v>FY22</v>
      </c>
      <c r="Z392" s="81">
        <v>106478</v>
      </c>
      <c r="AA392" s="80" t="s">
        <v>222</v>
      </c>
      <c r="AB392" s="80" t="s">
        <v>405</v>
      </c>
      <c r="AC392" s="80" t="s">
        <v>411</v>
      </c>
    </row>
    <row r="393" spans="1:29" x14ac:dyDescent="0.4">
      <c r="A393" s="10" t="s">
        <v>360</v>
      </c>
      <c r="B393" s="78" t="s">
        <v>96</v>
      </c>
      <c r="C393" s="78">
        <f>C392+(BudgetsTable[[#This Row],[lead]]&lt;&gt;K392)</f>
        <v>76</v>
      </c>
      <c r="D393" s="78">
        <f>D392*(BudgetsTable[[#This Row],[lead]]=K392)+(BudgetsTable[[#This Row],[prop_id]]&lt;&gt;A392)</f>
        <v>1</v>
      </c>
      <c r="E393" s="79">
        <v>42934.507638888892</v>
      </c>
      <c r="F393" s="80" t="s">
        <v>256</v>
      </c>
      <c r="G393" s="80" t="s">
        <v>222</v>
      </c>
      <c r="H393" s="80" t="s">
        <v>405</v>
      </c>
      <c r="I393" s="78" t="s">
        <v>422</v>
      </c>
      <c r="J393" s="78" t="s">
        <v>448</v>
      </c>
      <c r="K393" s="80" t="s">
        <v>360</v>
      </c>
      <c r="L393" s="7" t="str">
        <f>IF(BudgetsTable[[#This Row],[pi_last_name]]=" ","",HYPERLINK("https://www.ejacket.nsf.gov/ej/showProposal.do?Continue=Y&amp;ID="&amp;BudgetsTable[[#This Row],[prop_id]],BudgetsTable[[#This Row],[prop_id]]))</f>
        <v>1749734</v>
      </c>
      <c r="M393" s="15" t="str">
        <f>IF(BudgetsTable[[#This Row],[pi_last_name]]=" ","",HYPERLINK("https://www.ejacket.nsf.gov/ej/processReviewAnalysis.do?dispatch=add&amp;uniqId="&amp;BudgetsTable[[#This Row],[prop_id]]&amp;PO_id,"&gt;ra"))</f>
        <v>&gt;ra</v>
      </c>
      <c r="N393" s="80" t="s">
        <v>445</v>
      </c>
      <c r="O393" s="7" t="str">
        <f>IF(BudgetsTable[[#This Row],[pi_last_name]]=" ","",HYPERLINK("mailto:"&amp;BudgetsTable[[#This Row],[pi_email]]&amp;"&amp;subject=Your NSF Proposal:  "&amp;BudgetsTable[[#This Row],[prop_id]],BudgetsTable[[#This Row],[pi_email]]))</f>
        <v>sidford@stanford.edu</v>
      </c>
      <c r="P393" s="80" t="s">
        <v>447</v>
      </c>
      <c r="Q393" s="80"/>
      <c r="R393" s="80"/>
      <c r="S393" s="81"/>
      <c r="T393" s="81"/>
      <c r="U393" s="81"/>
      <c r="V393" s="82"/>
      <c r="W393" s="80">
        <v>0</v>
      </c>
      <c r="X393" s="80"/>
      <c r="Y393" s="11" t="str">
        <f ca="1">IF(ISBLANK(BudgetsTable[[#This Row],[budg_seq_yr]]),"FY"&amp;fiscalyear,"FY"&amp;fiscalyear-1+BudgetsTable[[#This Row],[budg_seq_yr]])</f>
        <v>FY18</v>
      </c>
      <c r="Z393" s="81">
        <v>500000</v>
      </c>
      <c r="AA393" s="80" t="s">
        <v>222</v>
      </c>
      <c r="AB393" s="80" t="s">
        <v>405</v>
      </c>
      <c r="AC393" s="80" t="s">
        <v>265</v>
      </c>
    </row>
    <row r="394" spans="1:29" x14ac:dyDescent="0.4">
      <c r="A394" s="10" t="s">
        <v>360</v>
      </c>
      <c r="B394" s="78" t="s">
        <v>96</v>
      </c>
      <c r="C394" s="78">
        <f>C393+(BudgetsTable[[#This Row],[lead]]&lt;&gt;K393)</f>
        <v>76</v>
      </c>
      <c r="D394" s="78">
        <f>D393*(BudgetsTable[[#This Row],[lead]]=K393)+(BudgetsTable[[#This Row],[prop_id]]&lt;&gt;A393)</f>
        <v>1</v>
      </c>
      <c r="E394" s="79">
        <v>42934.507638888892</v>
      </c>
      <c r="F394" s="80" t="s">
        <v>256</v>
      </c>
      <c r="G394" s="80" t="s">
        <v>222</v>
      </c>
      <c r="H394" s="80" t="s">
        <v>405</v>
      </c>
      <c r="I394" s="78" t="s">
        <v>422</v>
      </c>
      <c r="J394" s="78" t="s">
        <v>13</v>
      </c>
      <c r="K394" s="80" t="s">
        <v>360</v>
      </c>
      <c r="L394" s="7" t="str">
        <f>IF(BudgetsTable[[#This Row],[pi_last_name]]=" ","",HYPERLINK("https://www.ejacket.nsf.gov/ej/showProposal.do?Continue=Y&amp;ID="&amp;BudgetsTable[[#This Row],[prop_id]],BudgetsTable[[#This Row],[prop_id]]))</f>
        <v/>
      </c>
      <c r="M394" s="15" t="str">
        <f>IF(BudgetsTable[[#This Row],[pi_last_name]]=" ","",HYPERLINK("https://www.ejacket.nsf.gov/ej/processReviewAnalysis.do?dispatch=add&amp;uniqId="&amp;BudgetsTable[[#This Row],[prop_id]]&amp;PO_id,"&gt;ra"))</f>
        <v/>
      </c>
      <c r="N394" s="80" t="s">
        <v>13</v>
      </c>
      <c r="O394" s="7" t="str">
        <f>IF(BudgetsTable[[#This Row],[pi_last_name]]=" ","",HYPERLINK("mailto:"&amp;BudgetsTable[[#This Row],[pi_email]]&amp;"&amp;subject=Your NSF Proposal:  "&amp;BudgetsTable[[#This Row],[prop_id]],BudgetsTable[[#This Row],[pi_email]]))</f>
        <v/>
      </c>
      <c r="P394" s="80" t="s">
        <v>13</v>
      </c>
      <c r="Q394" s="80">
        <v>1</v>
      </c>
      <c r="R394" s="80">
        <v>1.35</v>
      </c>
      <c r="S394" s="81">
        <v>0</v>
      </c>
      <c r="T394" s="81">
        <v>0</v>
      </c>
      <c r="U394" s="81">
        <v>1500</v>
      </c>
      <c r="V394" s="82">
        <v>94388</v>
      </c>
      <c r="W394" s="80">
        <v>0</v>
      </c>
      <c r="X394" s="80">
        <v>1</v>
      </c>
      <c r="Y394" s="11" t="str">
        <f ca="1">IF(ISBLANK(BudgetsTable[[#This Row],[budg_seq_yr]]),"FY"&amp;fiscalyear,"FY"&amp;fiscalyear-1+BudgetsTable[[#This Row],[budg_seq_yr]])</f>
        <v>FY18</v>
      </c>
      <c r="Z394" s="81">
        <v>94388</v>
      </c>
      <c r="AA394" s="80" t="s">
        <v>222</v>
      </c>
      <c r="AB394" s="80" t="s">
        <v>405</v>
      </c>
      <c r="AC394" s="80" t="s">
        <v>265</v>
      </c>
    </row>
    <row r="395" spans="1:29" x14ac:dyDescent="0.4">
      <c r="A395" s="10" t="s">
        <v>360</v>
      </c>
      <c r="B395" s="78" t="s">
        <v>96</v>
      </c>
      <c r="C395" s="78">
        <f>C394+(BudgetsTable[[#This Row],[lead]]&lt;&gt;K394)</f>
        <v>76</v>
      </c>
      <c r="D395" s="78">
        <f>D394*(BudgetsTable[[#This Row],[lead]]=K394)+(BudgetsTable[[#This Row],[prop_id]]&lt;&gt;A394)</f>
        <v>1</v>
      </c>
      <c r="E395" s="79">
        <v>42934.507638888892</v>
      </c>
      <c r="F395" s="80" t="s">
        <v>256</v>
      </c>
      <c r="G395" s="80" t="s">
        <v>222</v>
      </c>
      <c r="H395" s="80" t="s">
        <v>405</v>
      </c>
      <c r="I395" s="78" t="s">
        <v>422</v>
      </c>
      <c r="J395" s="78" t="s">
        <v>13</v>
      </c>
      <c r="K395" s="80" t="s">
        <v>360</v>
      </c>
      <c r="L395" s="7" t="str">
        <f>IF(BudgetsTable[[#This Row],[pi_last_name]]=" ","",HYPERLINK("https://www.ejacket.nsf.gov/ej/showProposal.do?Continue=Y&amp;ID="&amp;BudgetsTable[[#This Row],[prop_id]],BudgetsTable[[#This Row],[prop_id]]))</f>
        <v/>
      </c>
      <c r="M395" s="15" t="str">
        <f>IF(BudgetsTable[[#This Row],[pi_last_name]]=" ","",HYPERLINK("https://www.ejacket.nsf.gov/ej/processReviewAnalysis.do?dispatch=add&amp;uniqId="&amp;BudgetsTable[[#This Row],[prop_id]]&amp;PO_id,"&gt;ra"))</f>
        <v/>
      </c>
      <c r="N395" s="80" t="s">
        <v>13</v>
      </c>
      <c r="O395" s="7" t="str">
        <f>IF(BudgetsTable[[#This Row],[pi_last_name]]=" ","",HYPERLINK("mailto:"&amp;BudgetsTable[[#This Row],[pi_email]]&amp;"&amp;subject=Your NSF Proposal:  "&amp;BudgetsTable[[#This Row],[prop_id]],BudgetsTable[[#This Row],[pi_email]]))</f>
        <v/>
      </c>
      <c r="P395" s="80" t="s">
        <v>13</v>
      </c>
      <c r="Q395" s="80">
        <v>1</v>
      </c>
      <c r="R395" s="80">
        <v>1.35</v>
      </c>
      <c r="S395" s="81">
        <v>0</v>
      </c>
      <c r="T395" s="81">
        <v>0</v>
      </c>
      <c r="U395" s="81">
        <v>1500</v>
      </c>
      <c r="V395" s="82">
        <v>97104</v>
      </c>
      <c r="W395" s="80">
        <v>0</v>
      </c>
      <c r="X395" s="80">
        <v>2</v>
      </c>
      <c r="Y395" s="11" t="str">
        <f ca="1">IF(ISBLANK(BudgetsTable[[#This Row],[budg_seq_yr]]),"FY"&amp;fiscalyear,"FY"&amp;fiscalyear-1+BudgetsTable[[#This Row],[budg_seq_yr]])</f>
        <v>FY19</v>
      </c>
      <c r="Z395" s="81">
        <v>97104</v>
      </c>
      <c r="AA395" s="80" t="s">
        <v>222</v>
      </c>
      <c r="AB395" s="80" t="s">
        <v>405</v>
      </c>
      <c r="AC395" s="80" t="s">
        <v>265</v>
      </c>
    </row>
    <row r="396" spans="1:29" x14ac:dyDescent="0.4">
      <c r="A396" s="10" t="s">
        <v>360</v>
      </c>
      <c r="B396" s="78" t="s">
        <v>96</v>
      </c>
      <c r="C396" s="78">
        <f>C395+(BudgetsTable[[#This Row],[lead]]&lt;&gt;K395)</f>
        <v>76</v>
      </c>
      <c r="D396" s="78">
        <f>D395*(BudgetsTable[[#This Row],[lead]]=K395)+(BudgetsTable[[#This Row],[prop_id]]&lt;&gt;A395)</f>
        <v>1</v>
      </c>
      <c r="E396" s="79">
        <v>42934.507638888892</v>
      </c>
      <c r="F396" s="80" t="s">
        <v>256</v>
      </c>
      <c r="G396" s="80" t="s">
        <v>222</v>
      </c>
      <c r="H396" s="80" t="s">
        <v>405</v>
      </c>
      <c r="I396" s="78" t="s">
        <v>422</v>
      </c>
      <c r="J396" s="78" t="s">
        <v>13</v>
      </c>
      <c r="K396" s="80" t="s">
        <v>360</v>
      </c>
      <c r="L396" s="7" t="str">
        <f>IF(BudgetsTable[[#This Row],[pi_last_name]]=" ","",HYPERLINK("https://www.ejacket.nsf.gov/ej/showProposal.do?Continue=Y&amp;ID="&amp;BudgetsTable[[#This Row],[prop_id]],BudgetsTable[[#This Row],[prop_id]]))</f>
        <v/>
      </c>
      <c r="M396" s="15" t="str">
        <f>IF(BudgetsTable[[#This Row],[pi_last_name]]=" ","",HYPERLINK("https://www.ejacket.nsf.gov/ej/processReviewAnalysis.do?dispatch=add&amp;uniqId="&amp;BudgetsTable[[#This Row],[prop_id]]&amp;PO_id,"&gt;ra"))</f>
        <v/>
      </c>
      <c r="N396" s="80" t="s">
        <v>13</v>
      </c>
      <c r="O396" s="7" t="str">
        <f>IF(BudgetsTable[[#This Row],[pi_last_name]]=" ","",HYPERLINK("mailto:"&amp;BudgetsTable[[#This Row],[pi_email]]&amp;"&amp;subject=Your NSF Proposal:  "&amp;BudgetsTable[[#This Row],[prop_id]],BudgetsTable[[#This Row],[pi_email]]))</f>
        <v/>
      </c>
      <c r="P396" s="80" t="s">
        <v>13</v>
      </c>
      <c r="Q396" s="80">
        <v>1</v>
      </c>
      <c r="R396" s="80">
        <v>1.35</v>
      </c>
      <c r="S396" s="81">
        <v>0</v>
      </c>
      <c r="T396" s="81">
        <v>0</v>
      </c>
      <c r="U396" s="81">
        <v>1500</v>
      </c>
      <c r="V396" s="82">
        <v>99911</v>
      </c>
      <c r="W396" s="80">
        <v>0</v>
      </c>
      <c r="X396" s="80">
        <v>3</v>
      </c>
      <c r="Y396" s="11" t="str">
        <f ca="1">IF(ISBLANK(BudgetsTable[[#This Row],[budg_seq_yr]]),"FY"&amp;fiscalyear,"FY"&amp;fiscalyear-1+BudgetsTable[[#This Row],[budg_seq_yr]])</f>
        <v>FY20</v>
      </c>
      <c r="Z396" s="81">
        <v>99911</v>
      </c>
      <c r="AA396" s="80" t="s">
        <v>222</v>
      </c>
      <c r="AB396" s="80" t="s">
        <v>405</v>
      </c>
      <c r="AC396" s="80" t="s">
        <v>265</v>
      </c>
    </row>
    <row r="397" spans="1:29" x14ac:dyDescent="0.4">
      <c r="A397" s="10" t="s">
        <v>360</v>
      </c>
      <c r="B397" s="78" t="s">
        <v>96</v>
      </c>
      <c r="C397" s="78">
        <f>C396+(BudgetsTable[[#This Row],[lead]]&lt;&gt;K396)</f>
        <v>76</v>
      </c>
      <c r="D397" s="78">
        <f>D396*(BudgetsTable[[#This Row],[lead]]=K396)+(BudgetsTable[[#This Row],[prop_id]]&lt;&gt;A396)</f>
        <v>1</v>
      </c>
      <c r="E397" s="79">
        <v>42934.507638888892</v>
      </c>
      <c r="F397" s="80" t="s">
        <v>256</v>
      </c>
      <c r="G397" s="80" t="s">
        <v>222</v>
      </c>
      <c r="H397" s="80" t="s">
        <v>405</v>
      </c>
      <c r="I397" s="78" t="s">
        <v>422</v>
      </c>
      <c r="J397" s="78" t="s">
        <v>13</v>
      </c>
      <c r="K397" s="80" t="s">
        <v>360</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80" t="s">
        <v>13</v>
      </c>
      <c r="O397" s="7" t="str">
        <f>IF(BudgetsTable[[#This Row],[pi_last_name]]=" ","",HYPERLINK("mailto:"&amp;BudgetsTable[[#This Row],[pi_email]]&amp;"&amp;subject=Your NSF Proposal:  "&amp;BudgetsTable[[#This Row],[prop_id]],BudgetsTable[[#This Row],[pi_email]]))</f>
        <v/>
      </c>
      <c r="P397" s="80" t="s">
        <v>13</v>
      </c>
      <c r="Q397" s="80">
        <v>1</v>
      </c>
      <c r="R397" s="80">
        <v>1.35</v>
      </c>
      <c r="S397" s="81">
        <v>0</v>
      </c>
      <c r="T397" s="81">
        <v>0</v>
      </c>
      <c r="U397" s="81">
        <v>1500</v>
      </c>
      <c r="V397" s="82">
        <v>102803</v>
      </c>
      <c r="W397" s="80">
        <v>0</v>
      </c>
      <c r="X397" s="80">
        <v>4</v>
      </c>
      <c r="Y397" s="11" t="str">
        <f ca="1">IF(ISBLANK(BudgetsTable[[#This Row],[budg_seq_yr]]),"FY"&amp;fiscalyear,"FY"&amp;fiscalyear-1+BudgetsTable[[#This Row],[budg_seq_yr]])</f>
        <v>FY21</v>
      </c>
      <c r="Z397" s="81">
        <v>102803</v>
      </c>
      <c r="AA397" s="80" t="s">
        <v>222</v>
      </c>
      <c r="AB397" s="80" t="s">
        <v>405</v>
      </c>
      <c r="AC397" s="80" t="s">
        <v>265</v>
      </c>
    </row>
    <row r="398" spans="1:29" x14ac:dyDescent="0.4">
      <c r="A398" s="10" t="s">
        <v>360</v>
      </c>
      <c r="B398" s="78" t="s">
        <v>96</v>
      </c>
      <c r="C398" s="78">
        <f>C397+(BudgetsTable[[#This Row],[lead]]&lt;&gt;K397)</f>
        <v>76</v>
      </c>
      <c r="D398" s="78">
        <f>D397*(BudgetsTable[[#This Row],[lead]]=K397)+(BudgetsTable[[#This Row],[prop_id]]&lt;&gt;A397)</f>
        <v>1</v>
      </c>
      <c r="E398" s="79">
        <v>42934.507638888892</v>
      </c>
      <c r="F398" s="80" t="s">
        <v>256</v>
      </c>
      <c r="G398" s="80" t="s">
        <v>222</v>
      </c>
      <c r="H398" s="80" t="s">
        <v>405</v>
      </c>
      <c r="I398" s="78" t="s">
        <v>422</v>
      </c>
      <c r="J398" s="78" t="s">
        <v>13</v>
      </c>
      <c r="K398" s="80" t="s">
        <v>360</v>
      </c>
      <c r="L398" s="7" t="str">
        <f>IF(BudgetsTable[[#This Row],[pi_last_name]]=" ","",HYPERLINK("https://www.ejacket.nsf.gov/ej/showProposal.do?Continue=Y&amp;ID="&amp;BudgetsTable[[#This Row],[prop_id]],BudgetsTable[[#This Row],[prop_id]]))</f>
        <v/>
      </c>
      <c r="M398" s="15" t="str">
        <f>IF(BudgetsTable[[#This Row],[pi_last_name]]=" ","",HYPERLINK("https://www.ejacket.nsf.gov/ej/processReviewAnalysis.do?dispatch=add&amp;uniqId="&amp;BudgetsTable[[#This Row],[prop_id]]&amp;PO_id,"&gt;ra"))</f>
        <v/>
      </c>
      <c r="N398" s="80" t="s">
        <v>13</v>
      </c>
      <c r="O398" s="7" t="str">
        <f>IF(BudgetsTable[[#This Row],[pi_last_name]]=" ","",HYPERLINK("mailto:"&amp;BudgetsTable[[#This Row],[pi_email]]&amp;"&amp;subject=Your NSF Proposal:  "&amp;BudgetsTable[[#This Row],[prop_id]],BudgetsTable[[#This Row],[pi_email]]))</f>
        <v/>
      </c>
      <c r="P398" s="80" t="s">
        <v>13</v>
      </c>
      <c r="Q398" s="80">
        <v>1</v>
      </c>
      <c r="R398" s="80">
        <v>1.35</v>
      </c>
      <c r="S398" s="81">
        <v>0</v>
      </c>
      <c r="T398" s="81">
        <v>0</v>
      </c>
      <c r="U398" s="81">
        <v>1500</v>
      </c>
      <c r="V398" s="82">
        <v>105794</v>
      </c>
      <c r="W398" s="80">
        <v>0</v>
      </c>
      <c r="X398" s="80">
        <v>5</v>
      </c>
      <c r="Y398" s="11" t="str">
        <f ca="1">IF(ISBLANK(BudgetsTable[[#This Row],[budg_seq_yr]]),"FY"&amp;fiscalyear,"FY"&amp;fiscalyear-1+BudgetsTable[[#This Row],[budg_seq_yr]])</f>
        <v>FY22</v>
      </c>
      <c r="Z398" s="81">
        <v>105794</v>
      </c>
      <c r="AA398" s="80" t="s">
        <v>222</v>
      </c>
      <c r="AB398" s="80" t="s">
        <v>405</v>
      </c>
      <c r="AC398" s="80" t="s">
        <v>265</v>
      </c>
    </row>
    <row r="399" spans="1:29" x14ac:dyDescent="0.4">
      <c r="A399" s="10" t="s">
        <v>361</v>
      </c>
      <c r="B399" s="78" t="s">
        <v>96</v>
      </c>
      <c r="C399" s="78">
        <f>C398+(BudgetsTable[[#This Row],[lead]]&lt;&gt;K398)</f>
        <v>77</v>
      </c>
      <c r="D399" s="78">
        <f>D398*(BudgetsTable[[#This Row],[lead]]=K398)+(BudgetsTable[[#This Row],[prop_id]]&lt;&gt;A398)</f>
        <v>1</v>
      </c>
      <c r="E399" s="79">
        <v>42934.524305555555</v>
      </c>
      <c r="F399" s="80" t="s">
        <v>256</v>
      </c>
      <c r="G399" s="80" t="s">
        <v>222</v>
      </c>
      <c r="H399" s="80" t="s">
        <v>405</v>
      </c>
      <c r="I399" s="78" t="s">
        <v>451</v>
      </c>
      <c r="J399" s="78" t="s">
        <v>456</v>
      </c>
      <c r="K399" s="80" t="s">
        <v>361</v>
      </c>
      <c r="L399" s="7" t="str">
        <f>IF(BudgetsTable[[#This Row],[pi_last_name]]=" ","",HYPERLINK("https://www.ejacket.nsf.gov/ej/showProposal.do?Continue=Y&amp;ID="&amp;BudgetsTable[[#This Row],[prop_id]],BudgetsTable[[#This Row],[prop_id]]))</f>
        <v>1749748</v>
      </c>
      <c r="M399" s="15" t="str">
        <f>IF(BudgetsTable[[#This Row],[pi_last_name]]=" ","",HYPERLINK("https://www.ejacket.nsf.gov/ej/processReviewAnalysis.do?dispatch=add&amp;uniqId="&amp;BudgetsTable[[#This Row],[prop_id]]&amp;PO_id,"&gt;ra"))</f>
        <v>&gt;ra</v>
      </c>
      <c r="N399" s="80" t="s">
        <v>452</v>
      </c>
      <c r="O399" s="7" t="str">
        <f>IF(BudgetsTable[[#This Row],[pi_last_name]]=" ","",HYPERLINK("mailto:"&amp;BudgetsTable[[#This Row],[pi_email]]&amp;"&amp;subject=Your NSF Proposal:  "&amp;BudgetsTable[[#This Row],[prop_id]],BudgetsTable[[#This Row],[pi_email]]))</f>
        <v>karthe@illinois.edu</v>
      </c>
      <c r="P399" s="80" t="s">
        <v>454</v>
      </c>
      <c r="Q399" s="80"/>
      <c r="R399" s="80"/>
      <c r="S399" s="81"/>
      <c r="T399" s="81"/>
      <c r="U399" s="81"/>
      <c r="V399" s="82"/>
      <c r="W399" s="80">
        <v>0</v>
      </c>
      <c r="X399" s="80"/>
      <c r="Y399" s="11" t="str">
        <f ca="1">IF(ISBLANK(BudgetsTable[[#This Row],[budg_seq_yr]]),"FY"&amp;fiscalyear,"FY"&amp;fiscalyear-1+BudgetsTable[[#This Row],[budg_seq_yr]])</f>
        <v>FY18</v>
      </c>
      <c r="Z399" s="81">
        <v>446040</v>
      </c>
      <c r="AA399" s="80" t="s">
        <v>222</v>
      </c>
      <c r="AB399" s="80" t="s">
        <v>405</v>
      </c>
      <c r="AC399" s="80" t="s">
        <v>411</v>
      </c>
    </row>
    <row r="400" spans="1:29" x14ac:dyDescent="0.4">
      <c r="A400" s="10" t="s">
        <v>361</v>
      </c>
      <c r="B400" s="78" t="s">
        <v>96</v>
      </c>
      <c r="C400" s="78">
        <f>C399+(BudgetsTable[[#This Row],[lead]]&lt;&gt;K399)</f>
        <v>77</v>
      </c>
      <c r="D400" s="78">
        <f>D399*(BudgetsTable[[#This Row],[lead]]=K399)+(BudgetsTable[[#This Row],[prop_id]]&lt;&gt;A399)</f>
        <v>1</v>
      </c>
      <c r="E400" s="79">
        <v>42934.524305555555</v>
      </c>
      <c r="F400" s="80" t="s">
        <v>256</v>
      </c>
      <c r="G400" s="80" t="s">
        <v>222</v>
      </c>
      <c r="H400" s="80" t="s">
        <v>405</v>
      </c>
      <c r="I400" s="78" t="s">
        <v>451</v>
      </c>
      <c r="J400" s="78" t="s">
        <v>13</v>
      </c>
      <c r="K400" s="80" t="s">
        <v>361</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80" t="s">
        <v>13</v>
      </c>
      <c r="O400" s="7" t="str">
        <f>IF(BudgetsTable[[#This Row],[pi_last_name]]=" ","",HYPERLINK("mailto:"&amp;BudgetsTable[[#This Row],[pi_email]]&amp;"&amp;subject=Your NSF Proposal:  "&amp;BudgetsTable[[#This Row],[prop_id]],BudgetsTable[[#This Row],[pi_email]]))</f>
        <v/>
      </c>
      <c r="P400" s="80" t="s">
        <v>13</v>
      </c>
      <c r="Q400" s="80">
        <v>1</v>
      </c>
      <c r="R400" s="80">
        <v>1</v>
      </c>
      <c r="S400" s="81">
        <v>0</v>
      </c>
      <c r="T400" s="81">
        <v>4000</v>
      </c>
      <c r="U400" s="81">
        <v>0</v>
      </c>
      <c r="V400" s="82">
        <v>86236</v>
      </c>
      <c r="W400" s="80">
        <v>0</v>
      </c>
      <c r="X400" s="80">
        <v>1</v>
      </c>
      <c r="Y400" s="11" t="str">
        <f ca="1">IF(ISBLANK(BudgetsTable[[#This Row],[budg_seq_yr]]),"FY"&amp;fiscalyear,"FY"&amp;fiscalyear-1+BudgetsTable[[#This Row],[budg_seq_yr]])</f>
        <v>FY18</v>
      </c>
      <c r="Z400" s="81">
        <v>86236</v>
      </c>
      <c r="AA400" s="80" t="s">
        <v>222</v>
      </c>
      <c r="AB400" s="80" t="s">
        <v>405</v>
      </c>
      <c r="AC400" s="80" t="s">
        <v>411</v>
      </c>
    </row>
    <row r="401" spans="1:29" x14ac:dyDescent="0.4">
      <c r="A401" s="10" t="s">
        <v>361</v>
      </c>
      <c r="B401" s="78" t="s">
        <v>96</v>
      </c>
      <c r="C401" s="78">
        <f>C400+(BudgetsTable[[#This Row],[lead]]&lt;&gt;K400)</f>
        <v>77</v>
      </c>
      <c r="D401" s="78">
        <f>D400*(BudgetsTable[[#This Row],[lead]]=K400)+(BudgetsTable[[#This Row],[prop_id]]&lt;&gt;A400)</f>
        <v>1</v>
      </c>
      <c r="E401" s="79">
        <v>42934.524305555555</v>
      </c>
      <c r="F401" s="80" t="s">
        <v>256</v>
      </c>
      <c r="G401" s="80" t="s">
        <v>222</v>
      </c>
      <c r="H401" s="80" t="s">
        <v>405</v>
      </c>
      <c r="I401" s="78" t="s">
        <v>451</v>
      </c>
      <c r="J401" s="78" t="s">
        <v>13</v>
      </c>
      <c r="K401" s="80" t="s">
        <v>361</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80" t="s">
        <v>13</v>
      </c>
      <c r="O401" s="7" t="str">
        <f>IF(BudgetsTable[[#This Row],[pi_last_name]]=" ","",HYPERLINK("mailto:"&amp;BudgetsTable[[#This Row],[pi_email]]&amp;"&amp;subject=Your NSF Proposal:  "&amp;BudgetsTable[[#This Row],[prop_id]],BudgetsTable[[#This Row],[pi_email]]))</f>
        <v/>
      </c>
      <c r="P401" s="80" t="s">
        <v>13</v>
      </c>
      <c r="Q401" s="80">
        <v>1</v>
      </c>
      <c r="R401" s="80">
        <v>1</v>
      </c>
      <c r="S401" s="81">
        <v>0</v>
      </c>
      <c r="T401" s="81">
        <v>4000</v>
      </c>
      <c r="U401" s="81">
        <v>0</v>
      </c>
      <c r="V401" s="82">
        <v>88371</v>
      </c>
      <c r="W401" s="80">
        <v>0</v>
      </c>
      <c r="X401" s="80">
        <v>2</v>
      </c>
      <c r="Y401" s="11" t="str">
        <f ca="1">IF(ISBLANK(BudgetsTable[[#This Row],[budg_seq_yr]]),"FY"&amp;fiscalyear,"FY"&amp;fiscalyear-1+BudgetsTable[[#This Row],[budg_seq_yr]])</f>
        <v>FY19</v>
      </c>
      <c r="Z401" s="81">
        <v>88371</v>
      </c>
      <c r="AA401" s="80" t="s">
        <v>222</v>
      </c>
      <c r="AB401" s="80" t="s">
        <v>405</v>
      </c>
      <c r="AC401" s="80" t="s">
        <v>411</v>
      </c>
    </row>
    <row r="402" spans="1:29" x14ac:dyDescent="0.4">
      <c r="A402" s="10" t="s">
        <v>361</v>
      </c>
      <c r="B402" s="78" t="s">
        <v>96</v>
      </c>
      <c r="C402" s="78">
        <f>C401+(BudgetsTable[[#This Row],[lead]]&lt;&gt;K401)</f>
        <v>77</v>
      </c>
      <c r="D402" s="78">
        <f>D401*(BudgetsTable[[#This Row],[lead]]=K401)+(BudgetsTable[[#This Row],[prop_id]]&lt;&gt;A401)</f>
        <v>1</v>
      </c>
      <c r="E402" s="79">
        <v>42934.524305555555</v>
      </c>
      <c r="F402" s="80" t="s">
        <v>256</v>
      </c>
      <c r="G402" s="80" t="s">
        <v>222</v>
      </c>
      <c r="H402" s="80" t="s">
        <v>405</v>
      </c>
      <c r="I402" s="78" t="s">
        <v>451</v>
      </c>
      <c r="J402" s="78" t="s">
        <v>13</v>
      </c>
      <c r="K402" s="80" t="s">
        <v>361</v>
      </c>
      <c r="L402" s="7" t="str">
        <f>IF(BudgetsTable[[#This Row],[pi_last_name]]=" ","",HYPERLINK("https://www.ejacket.nsf.gov/ej/showProposal.do?Continue=Y&amp;ID="&amp;BudgetsTable[[#This Row],[prop_id]],BudgetsTable[[#This Row],[prop_id]]))</f>
        <v/>
      </c>
      <c r="M402" s="15" t="str">
        <f>IF(BudgetsTable[[#This Row],[pi_last_name]]=" ","",HYPERLINK("https://www.ejacket.nsf.gov/ej/processReviewAnalysis.do?dispatch=add&amp;uniqId="&amp;BudgetsTable[[#This Row],[prop_id]]&amp;PO_id,"&gt;ra"))</f>
        <v/>
      </c>
      <c r="N402" s="80" t="s">
        <v>13</v>
      </c>
      <c r="O402" s="7" t="str">
        <f>IF(BudgetsTable[[#This Row],[pi_last_name]]=" ","",HYPERLINK("mailto:"&amp;BudgetsTable[[#This Row],[pi_email]]&amp;"&amp;subject=Your NSF Proposal:  "&amp;BudgetsTable[[#This Row],[prop_id]],BudgetsTable[[#This Row],[pi_email]]))</f>
        <v/>
      </c>
      <c r="P402" s="80" t="s">
        <v>13</v>
      </c>
      <c r="Q402" s="80">
        <v>1</v>
      </c>
      <c r="R402" s="80">
        <v>1</v>
      </c>
      <c r="S402" s="81">
        <v>0</v>
      </c>
      <c r="T402" s="81">
        <v>4000</v>
      </c>
      <c r="U402" s="81">
        <v>0</v>
      </c>
      <c r="V402" s="82">
        <v>88191</v>
      </c>
      <c r="W402" s="80">
        <v>0</v>
      </c>
      <c r="X402" s="80">
        <v>3</v>
      </c>
      <c r="Y402" s="11" t="str">
        <f ca="1">IF(ISBLANK(BudgetsTable[[#This Row],[budg_seq_yr]]),"FY"&amp;fiscalyear,"FY"&amp;fiscalyear-1+BudgetsTable[[#This Row],[budg_seq_yr]])</f>
        <v>FY20</v>
      </c>
      <c r="Z402" s="81">
        <v>88191</v>
      </c>
      <c r="AA402" s="80" t="s">
        <v>222</v>
      </c>
      <c r="AB402" s="80" t="s">
        <v>405</v>
      </c>
      <c r="AC402" s="80" t="s">
        <v>411</v>
      </c>
    </row>
    <row r="403" spans="1:29" x14ac:dyDescent="0.4">
      <c r="A403" s="10" t="s">
        <v>361</v>
      </c>
      <c r="B403" s="78" t="s">
        <v>96</v>
      </c>
      <c r="C403" s="78">
        <f>C402+(BudgetsTable[[#This Row],[lead]]&lt;&gt;K402)</f>
        <v>77</v>
      </c>
      <c r="D403" s="78">
        <f>D402*(BudgetsTable[[#This Row],[lead]]=K402)+(BudgetsTable[[#This Row],[prop_id]]&lt;&gt;A402)</f>
        <v>1</v>
      </c>
      <c r="E403" s="79">
        <v>42934.524305555555</v>
      </c>
      <c r="F403" s="80" t="s">
        <v>256</v>
      </c>
      <c r="G403" s="80" t="s">
        <v>222</v>
      </c>
      <c r="H403" s="80" t="s">
        <v>405</v>
      </c>
      <c r="I403" s="78" t="s">
        <v>451</v>
      </c>
      <c r="J403" s="78" t="s">
        <v>13</v>
      </c>
      <c r="K403" s="80" t="s">
        <v>361</v>
      </c>
      <c r="L403" s="7" t="str">
        <f>IF(BudgetsTable[[#This Row],[pi_last_name]]=" ","",HYPERLINK("https://www.ejacket.nsf.gov/ej/showProposal.do?Continue=Y&amp;ID="&amp;BudgetsTable[[#This Row],[prop_id]],BudgetsTable[[#This Row],[prop_id]]))</f>
        <v/>
      </c>
      <c r="M403" s="15" t="str">
        <f>IF(BudgetsTable[[#This Row],[pi_last_name]]=" ","",HYPERLINK("https://www.ejacket.nsf.gov/ej/processReviewAnalysis.do?dispatch=add&amp;uniqId="&amp;BudgetsTable[[#This Row],[prop_id]]&amp;PO_id,"&gt;ra"))</f>
        <v/>
      </c>
      <c r="N403" s="80" t="s">
        <v>13</v>
      </c>
      <c r="O403" s="7" t="str">
        <f>IF(BudgetsTable[[#This Row],[pi_last_name]]=" ","",HYPERLINK("mailto:"&amp;BudgetsTable[[#This Row],[pi_email]]&amp;"&amp;subject=Your NSF Proposal:  "&amp;BudgetsTable[[#This Row],[prop_id]],BudgetsTable[[#This Row],[pi_email]]))</f>
        <v/>
      </c>
      <c r="P403" s="80" t="s">
        <v>13</v>
      </c>
      <c r="Q403" s="80">
        <v>1</v>
      </c>
      <c r="R403" s="80">
        <v>1</v>
      </c>
      <c r="S403" s="81">
        <v>0</v>
      </c>
      <c r="T403" s="81">
        <v>4000</v>
      </c>
      <c r="U403" s="81">
        <v>0</v>
      </c>
      <c r="V403" s="82">
        <v>90454</v>
      </c>
      <c r="W403" s="80">
        <v>0</v>
      </c>
      <c r="X403" s="80">
        <v>4</v>
      </c>
      <c r="Y403" s="11" t="str">
        <f ca="1">IF(ISBLANK(BudgetsTable[[#This Row],[budg_seq_yr]]),"FY"&amp;fiscalyear,"FY"&amp;fiscalyear-1+BudgetsTable[[#This Row],[budg_seq_yr]])</f>
        <v>FY21</v>
      </c>
      <c r="Z403" s="81">
        <v>90454</v>
      </c>
      <c r="AA403" s="80" t="s">
        <v>222</v>
      </c>
      <c r="AB403" s="80" t="s">
        <v>405</v>
      </c>
      <c r="AC403" s="80" t="s">
        <v>411</v>
      </c>
    </row>
    <row r="404" spans="1:29" x14ac:dyDescent="0.4">
      <c r="A404" s="10" t="s">
        <v>361</v>
      </c>
      <c r="B404" s="78" t="s">
        <v>96</v>
      </c>
      <c r="C404" s="78">
        <f>C403+(BudgetsTable[[#This Row],[lead]]&lt;&gt;K403)</f>
        <v>77</v>
      </c>
      <c r="D404" s="78">
        <f>D403*(BudgetsTable[[#This Row],[lead]]=K403)+(BudgetsTable[[#This Row],[prop_id]]&lt;&gt;A403)</f>
        <v>1</v>
      </c>
      <c r="E404" s="79">
        <v>42934.524305555555</v>
      </c>
      <c r="F404" s="80" t="s">
        <v>256</v>
      </c>
      <c r="G404" s="80" t="s">
        <v>222</v>
      </c>
      <c r="H404" s="80" t="s">
        <v>405</v>
      </c>
      <c r="I404" s="78" t="s">
        <v>451</v>
      </c>
      <c r="J404" s="78" t="s">
        <v>13</v>
      </c>
      <c r="K404" s="80" t="s">
        <v>361</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80" t="s">
        <v>13</v>
      </c>
      <c r="O404" s="7" t="str">
        <f>IF(BudgetsTable[[#This Row],[pi_last_name]]=" ","",HYPERLINK("mailto:"&amp;BudgetsTable[[#This Row],[pi_email]]&amp;"&amp;subject=Your NSF Proposal:  "&amp;BudgetsTable[[#This Row],[prop_id]],BudgetsTable[[#This Row],[pi_email]]))</f>
        <v/>
      </c>
      <c r="P404" s="80" t="s">
        <v>13</v>
      </c>
      <c r="Q404" s="80">
        <v>1</v>
      </c>
      <c r="R404" s="80">
        <v>1</v>
      </c>
      <c r="S404" s="81">
        <v>0</v>
      </c>
      <c r="T404" s="81">
        <v>4000</v>
      </c>
      <c r="U404" s="81">
        <v>0</v>
      </c>
      <c r="V404" s="82">
        <v>92788</v>
      </c>
      <c r="W404" s="80">
        <v>0</v>
      </c>
      <c r="X404" s="80">
        <v>5</v>
      </c>
      <c r="Y404" s="11" t="str">
        <f ca="1">IF(ISBLANK(BudgetsTable[[#This Row],[budg_seq_yr]]),"FY"&amp;fiscalyear,"FY"&amp;fiscalyear-1+BudgetsTable[[#This Row],[budg_seq_yr]])</f>
        <v>FY22</v>
      </c>
      <c r="Z404" s="81">
        <v>92788</v>
      </c>
      <c r="AA404" s="80" t="s">
        <v>222</v>
      </c>
      <c r="AB404" s="80" t="s">
        <v>405</v>
      </c>
      <c r="AC404" s="80" t="s">
        <v>411</v>
      </c>
    </row>
    <row r="405" spans="1:29" x14ac:dyDescent="0.4">
      <c r="A405" s="10" t="s">
        <v>362</v>
      </c>
      <c r="B405" s="78" t="s">
        <v>96</v>
      </c>
      <c r="C405" s="78">
        <f>C404+(BudgetsTable[[#This Row],[lead]]&lt;&gt;K404)</f>
        <v>78</v>
      </c>
      <c r="D405" s="78">
        <f>D404*(BudgetsTable[[#This Row],[lead]]=K404)+(BudgetsTable[[#This Row],[prop_id]]&lt;&gt;A404)</f>
        <v>1</v>
      </c>
      <c r="E405" s="79">
        <v>42934.695138888892</v>
      </c>
      <c r="F405" s="80" t="s">
        <v>256</v>
      </c>
      <c r="G405" s="80" t="s">
        <v>222</v>
      </c>
      <c r="H405" s="80" t="s">
        <v>405</v>
      </c>
      <c r="I405" s="78" t="s">
        <v>406</v>
      </c>
      <c r="J405" s="78" t="s">
        <v>461</v>
      </c>
      <c r="K405" s="80" t="s">
        <v>362</v>
      </c>
      <c r="L405" s="7" t="str">
        <f>IF(BudgetsTable[[#This Row],[pi_last_name]]=" ","",HYPERLINK("https://www.ejacket.nsf.gov/ej/showProposal.do?Continue=Y&amp;ID="&amp;BudgetsTable[[#This Row],[prop_id]],BudgetsTable[[#This Row],[prop_id]]))</f>
        <v>1749977</v>
      </c>
      <c r="M405" s="15" t="str">
        <f>IF(BudgetsTable[[#This Row],[pi_last_name]]=" ","",HYPERLINK("https://www.ejacket.nsf.gov/ej/processReviewAnalysis.do?dispatch=add&amp;uniqId="&amp;BudgetsTable[[#This Row],[prop_id]]&amp;PO_id,"&gt;ra"))</f>
        <v>&gt;ra</v>
      </c>
      <c r="N405" s="80" t="s">
        <v>459</v>
      </c>
      <c r="O405" s="7" t="str">
        <f>IF(BudgetsTable[[#This Row],[pi_last_name]]=" ","",HYPERLINK("mailto:"&amp;BudgetsTable[[#This Row],[pi_email]]&amp;"&amp;subject=Your NSF Proposal:  "&amp;BudgetsTable[[#This Row],[prop_id]],BudgetsTable[[#This Row],[pi_email]]))</f>
        <v>jsolomon@mit.edu</v>
      </c>
      <c r="P405" s="80" t="s">
        <v>223</v>
      </c>
      <c r="Q405" s="80"/>
      <c r="R405" s="80"/>
      <c r="S405" s="81"/>
      <c r="T405" s="81"/>
      <c r="U405" s="81"/>
      <c r="V405" s="82"/>
      <c r="W405" s="80">
        <v>0</v>
      </c>
      <c r="X405" s="80"/>
      <c r="Y405" s="11" t="str">
        <f ca="1">IF(ISBLANK(BudgetsTable[[#This Row],[budg_seq_yr]]),"FY"&amp;fiscalyear,"FY"&amp;fiscalyear-1+BudgetsTable[[#This Row],[budg_seq_yr]])</f>
        <v>FY18</v>
      </c>
      <c r="Z405" s="81">
        <v>550000</v>
      </c>
      <c r="AA405" s="80" t="s">
        <v>222</v>
      </c>
      <c r="AB405" s="80" t="s">
        <v>405</v>
      </c>
      <c r="AC405" s="80" t="s">
        <v>419</v>
      </c>
    </row>
    <row r="406" spans="1:29" x14ac:dyDescent="0.4">
      <c r="A406" s="10" t="s">
        <v>362</v>
      </c>
      <c r="B406" s="78" t="s">
        <v>96</v>
      </c>
      <c r="C406" s="78">
        <f>C405+(BudgetsTable[[#This Row],[lead]]&lt;&gt;K405)</f>
        <v>78</v>
      </c>
      <c r="D406" s="78">
        <f>D405*(BudgetsTable[[#This Row],[lead]]=K405)+(BudgetsTable[[#This Row],[prop_id]]&lt;&gt;A405)</f>
        <v>1</v>
      </c>
      <c r="E406" s="79">
        <v>42934.695138888892</v>
      </c>
      <c r="F406" s="80" t="s">
        <v>256</v>
      </c>
      <c r="G406" s="80" t="s">
        <v>222</v>
      </c>
      <c r="H406" s="80" t="s">
        <v>405</v>
      </c>
      <c r="I406" s="78" t="s">
        <v>406</v>
      </c>
      <c r="J406" s="78" t="s">
        <v>13</v>
      </c>
      <c r="K406" s="80" t="s">
        <v>362</v>
      </c>
      <c r="L406" s="7" t="str">
        <f>IF(BudgetsTable[[#This Row],[pi_last_name]]=" ","",HYPERLINK("https://www.ejacket.nsf.gov/ej/showProposal.do?Continue=Y&amp;ID="&amp;BudgetsTable[[#This Row],[prop_id]],BudgetsTable[[#This Row],[prop_id]]))</f>
        <v/>
      </c>
      <c r="M406" s="15" t="str">
        <f>IF(BudgetsTable[[#This Row],[pi_last_name]]=" ","",HYPERLINK("https://www.ejacket.nsf.gov/ej/processReviewAnalysis.do?dispatch=add&amp;uniqId="&amp;BudgetsTable[[#This Row],[prop_id]]&amp;PO_id,"&gt;ra"))</f>
        <v/>
      </c>
      <c r="N406" s="80" t="s">
        <v>13</v>
      </c>
      <c r="O406" s="7" t="str">
        <f>IF(BudgetsTable[[#This Row],[pi_last_name]]=" ","",HYPERLINK("mailto:"&amp;BudgetsTable[[#This Row],[pi_email]]&amp;"&amp;subject=Your NSF Proposal:  "&amp;BudgetsTable[[#This Row],[prop_id]],BudgetsTable[[#This Row],[pi_email]]))</f>
        <v/>
      </c>
      <c r="P406" s="80" t="s">
        <v>13</v>
      </c>
      <c r="Q406" s="80">
        <v>1</v>
      </c>
      <c r="R406" s="80">
        <v>0.5</v>
      </c>
      <c r="S406" s="81">
        <v>0</v>
      </c>
      <c r="T406" s="81">
        <v>0</v>
      </c>
      <c r="U406" s="81">
        <v>0</v>
      </c>
      <c r="V406" s="82">
        <v>103625</v>
      </c>
      <c r="W406" s="80">
        <v>0</v>
      </c>
      <c r="X406" s="80">
        <v>1</v>
      </c>
      <c r="Y406" s="11" t="str">
        <f ca="1">IF(ISBLANK(BudgetsTable[[#This Row],[budg_seq_yr]]),"FY"&amp;fiscalyear,"FY"&amp;fiscalyear-1+BudgetsTable[[#This Row],[budg_seq_yr]])</f>
        <v>FY18</v>
      </c>
      <c r="Z406" s="81">
        <v>103625</v>
      </c>
      <c r="AA406" s="80" t="s">
        <v>222</v>
      </c>
      <c r="AB406" s="80" t="s">
        <v>405</v>
      </c>
      <c r="AC406" s="80" t="s">
        <v>419</v>
      </c>
    </row>
    <row r="407" spans="1:29" x14ac:dyDescent="0.4">
      <c r="A407" s="10" t="s">
        <v>362</v>
      </c>
      <c r="B407" s="78" t="s">
        <v>96</v>
      </c>
      <c r="C407" s="78">
        <f>C406+(BudgetsTable[[#This Row],[lead]]&lt;&gt;K406)</f>
        <v>78</v>
      </c>
      <c r="D407" s="78">
        <f>D406*(BudgetsTable[[#This Row],[lead]]=K406)+(BudgetsTable[[#This Row],[prop_id]]&lt;&gt;A406)</f>
        <v>1</v>
      </c>
      <c r="E407" s="79">
        <v>42934.695138888892</v>
      </c>
      <c r="F407" s="80" t="s">
        <v>256</v>
      </c>
      <c r="G407" s="80" t="s">
        <v>222</v>
      </c>
      <c r="H407" s="80" t="s">
        <v>405</v>
      </c>
      <c r="I407" s="78" t="s">
        <v>406</v>
      </c>
      <c r="J407" s="78" t="s">
        <v>13</v>
      </c>
      <c r="K407" s="80" t="s">
        <v>362</v>
      </c>
      <c r="L407" s="7" t="str">
        <f>IF(BudgetsTable[[#This Row],[pi_last_name]]=" ","",HYPERLINK("https://www.ejacket.nsf.gov/ej/showProposal.do?Continue=Y&amp;ID="&amp;BudgetsTable[[#This Row],[prop_id]],BudgetsTable[[#This Row],[prop_id]]))</f>
        <v/>
      </c>
      <c r="M407" s="15" t="str">
        <f>IF(BudgetsTable[[#This Row],[pi_last_name]]=" ","",HYPERLINK("https://www.ejacket.nsf.gov/ej/processReviewAnalysis.do?dispatch=add&amp;uniqId="&amp;BudgetsTable[[#This Row],[prop_id]]&amp;PO_id,"&gt;ra"))</f>
        <v/>
      </c>
      <c r="N407" s="80" t="s">
        <v>13</v>
      </c>
      <c r="O407" s="7" t="str">
        <f>IF(BudgetsTable[[#This Row],[pi_last_name]]=" ","",HYPERLINK("mailto:"&amp;BudgetsTable[[#This Row],[pi_email]]&amp;"&amp;subject=Your NSF Proposal:  "&amp;BudgetsTable[[#This Row],[prop_id]],BudgetsTable[[#This Row],[pi_email]]))</f>
        <v/>
      </c>
      <c r="P407" s="80" t="s">
        <v>13</v>
      </c>
      <c r="Q407" s="80">
        <v>1</v>
      </c>
      <c r="R407" s="80">
        <v>0.5</v>
      </c>
      <c r="S407" s="81">
        <v>0</v>
      </c>
      <c r="T407" s="81">
        <v>0</v>
      </c>
      <c r="U407" s="81">
        <v>0</v>
      </c>
      <c r="V407" s="82">
        <v>106592</v>
      </c>
      <c r="W407" s="80">
        <v>0</v>
      </c>
      <c r="X407" s="80">
        <v>2</v>
      </c>
      <c r="Y407" s="11" t="str">
        <f ca="1">IF(ISBLANK(BudgetsTable[[#This Row],[budg_seq_yr]]),"FY"&amp;fiscalyear,"FY"&amp;fiscalyear-1+BudgetsTable[[#This Row],[budg_seq_yr]])</f>
        <v>FY19</v>
      </c>
      <c r="Z407" s="81">
        <v>106592</v>
      </c>
      <c r="AA407" s="80" t="s">
        <v>222</v>
      </c>
      <c r="AB407" s="80" t="s">
        <v>405</v>
      </c>
      <c r="AC407" s="80" t="s">
        <v>419</v>
      </c>
    </row>
    <row r="408" spans="1:29" x14ac:dyDescent="0.4">
      <c r="A408" s="10" t="s">
        <v>362</v>
      </c>
      <c r="B408" s="78" t="s">
        <v>96</v>
      </c>
      <c r="C408" s="78">
        <f>C407+(BudgetsTable[[#This Row],[lead]]&lt;&gt;K407)</f>
        <v>78</v>
      </c>
      <c r="D408" s="78">
        <f>D407*(BudgetsTable[[#This Row],[lead]]=K407)+(BudgetsTable[[#This Row],[prop_id]]&lt;&gt;A407)</f>
        <v>1</v>
      </c>
      <c r="E408" s="79">
        <v>42934.695138888892</v>
      </c>
      <c r="F408" s="80" t="s">
        <v>256</v>
      </c>
      <c r="G408" s="80" t="s">
        <v>222</v>
      </c>
      <c r="H408" s="80" t="s">
        <v>405</v>
      </c>
      <c r="I408" s="78" t="s">
        <v>406</v>
      </c>
      <c r="J408" s="78" t="s">
        <v>13</v>
      </c>
      <c r="K408" s="80" t="s">
        <v>362</v>
      </c>
      <c r="L408" s="7" t="str">
        <f>IF(BudgetsTable[[#This Row],[pi_last_name]]=" ","",HYPERLINK("https://www.ejacket.nsf.gov/ej/showProposal.do?Continue=Y&amp;ID="&amp;BudgetsTable[[#This Row],[prop_id]],BudgetsTable[[#This Row],[prop_id]]))</f>
        <v/>
      </c>
      <c r="M408" s="15" t="str">
        <f>IF(BudgetsTable[[#This Row],[pi_last_name]]=" ","",HYPERLINK("https://www.ejacket.nsf.gov/ej/processReviewAnalysis.do?dispatch=add&amp;uniqId="&amp;BudgetsTable[[#This Row],[prop_id]]&amp;PO_id,"&gt;ra"))</f>
        <v/>
      </c>
      <c r="N408" s="80" t="s">
        <v>13</v>
      </c>
      <c r="O408" s="7" t="str">
        <f>IF(BudgetsTable[[#This Row],[pi_last_name]]=" ","",HYPERLINK("mailto:"&amp;BudgetsTable[[#This Row],[pi_email]]&amp;"&amp;subject=Your NSF Proposal:  "&amp;BudgetsTable[[#This Row],[prop_id]],BudgetsTable[[#This Row],[pi_email]]))</f>
        <v/>
      </c>
      <c r="P408" s="80" t="s">
        <v>13</v>
      </c>
      <c r="Q408" s="80">
        <v>1</v>
      </c>
      <c r="R408" s="80">
        <v>0.5</v>
      </c>
      <c r="S408" s="81">
        <v>0</v>
      </c>
      <c r="T408" s="81">
        <v>0</v>
      </c>
      <c r="U408" s="81">
        <v>0</v>
      </c>
      <c r="V408" s="82">
        <v>109530</v>
      </c>
      <c r="W408" s="80">
        <v>0</v>
      </c>
      <c r="X408" s="80">
        <v>3</v>
      </c>
      <c r="Y408" s="11" t="str">
        <f ca="1">IF(ISBLANK(BudgetsTable[[#This Row],[budg_seq_yr]]),"FY"&amp;fiscalyear,"FY"&amp;fiscalyear-1+BudgetsTable[[#This Row],[budg_seq_yr]])</f>
        <v>FY20</v>
      </c>
      <c r="Z408" s="81">
        <v>109530</v>
      </c>
      <c r="AA408" s="80" t="s">
        <v>222</v>
      </c>
      <c r="AB408" s="80" t="s">
        <v>405</v>
      </c>
      <c r="AC408" s="80" t="s">
        <v>419</v>
      </c>
    </row>
    <row r="409" spans="1:29" x14ac:dyDescent="0.4">
      <c r="A409" s="10" t="s">
        <v>362</v>
      </c>
      <c r="B409" s="78" t="s">
        <v>96</v>
      </c>
      <c r="C409" s="78">
        <f>C408+(BudgetsTable[[#This Row],[lead]]&lt;&gt;K408)</f>
        <v>78</v>
      </c>
      <c r="D409" s="78">
        <f>D408*(BudgetsTable[[#This Row],[lead]]=K408)+(BudgetsTable[[#This Row],[prop_id]]&lt;&gt;A408)</f>
        <v>1</v>
      </c>
      <c r="E409" s="79">
        <v>42934.695138888892</v>
      </c>
      <c r="F409" s="80" t="s">
        <v>256</v>
      </c>
      <c r="G409" s="80" t="s">
        <v>222</v>
      </c>
      <c r="H409" s="80" t="s">
        <v>405</v>
      </c>
      <c r="I409" s="78" t="s">
        <v>406</v>
      </c>
      <c r="J409" s="78" t="s">
        <v>13</v>
      </c>
      <c r="K409" s="80" t="s">
        <v>362</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80" t="s">
        <v>13</v>
      </c>
      <c r="O409" s="7" t="str">
        <f>IF(BudgetsTable[[#This Row],[pi_last_name]]=" ","",HYPERLINK("mailto:"&amp;BudgetsTable[[#This Row],[pi_email]]&amp;"&amp;subject=Your NSF Proposal:  "&amp;BudgetsTable[[#This Row],[prop_id]],BudgetsTable[[#This Row],[pi_email]]))</f>
        <v/>
      </c>
      <c r="P409" s="80" t="s">
        <v>13</v>
      </c>
      <c r="Q409" s="80">
        <v>1</v>
      </c>
      <c r="R409" s="80">
        <v>0.5</v>
      </c>
      <c r="S409" s="81">
        <v>0</v>
      </c>
      <c r="T409" s="81">
        <v>0</v>
      </c>
      <c r="U409" s="81">
        <v>0</v>
      </c>
      <c r="V409" s="82">
        <v>113216</v>
      </c>
      <c r="W409" s="80">
        <v>0</v>
      </c>
      <c r="X409" s="80">
        <v>4</v>
      </c>
      <c r="Y409" s="11" t="str">
        <f ca="1">IF(ISBLANK(BudgetsTable[[#This Row],[budg_seq_yr]]),"FY"&amp;fiscalyear,"FY"&amp;fiscalyear-1+BudgetsTable[[#This Row],[budg_seq_yr]])</f>
        <v>FY21</v>
      </c>
      <c r="Z409" s="81">
        <v>113216</v>
      </c>
      <c r="AA409" s="80" t="s">
        <v>222</v>
      </c>
      <c r="AB409" s="80" t="s">
        <v>405</v>
      </c>
      <c r="AC409" s="80" t="s">
        <v>419</v>
      </c>
    </row>
    <row r="410" spans="1:29" x14ac:dyDescent="0.4">
      <c r="A410" s="10" t="s">
        <v>362</v>
      </c>
      <c r="B410" s="78" t="s">
        <v>96</v>
      </c>
      <c r="C410" s="78">
        <f>C409+(BudgetsTable[[#This Row],[lead]]&lt;&gt;K409)</f>
        <v>78</v>
      </c>
      <c r="D410" s="78">
        <f>D409*(BudgetsTable[[#This Row],[lead]]=K409)+(BudgetsTable[[#This Row],[prop_id]]&lt;&gt;A409)</f>
        <v>1</v>
      </c>
      <c r="E410" s="79">
        <v>42934.695138888892</v>
      </c>
      <c r="F410" s="80" t="s">
        <v>256</v>
      </c>
      <c r="G410" s="80" t="s">
        <v>222</v>
      </c>
      <c r="H410" s="80" t="s">
        <v>405</v>
      </c>
      <c r="I410" s="78" t="s">
        <v>406</v>
      </c>
      <c r="J410" s="78" t="s">
        <v>13</v>
      </c>
      <c r="K410" s="80" t="s">
        <v>362</v>
      </c>
      <c r="L410" s="7" t="str">
        <f>IF(BudgetsTable[[#This Row],[pi_last_name]]=" ","",HYPERLINK("https://www.ejacket.nsf.gov/ej/showProposal.do?Continue=Y&amp;ID="&amp;BudgetsTable[[#This Row],[prop_id]],BudgetsTable[[#This Row],[prop_id]]))</f>
        <v/>
      </c>
      <c r="M410" s="15" t="str">
        <f>IF(BudgetsTable[[#This Row],[pi_last_name]]=" ","",HYPERLINK("https://www.ejacket.nsf.gov/ej/processReviewAnalysis.do?dispatch=add&amp;uniqId="&amp;BudgetsTable[[#This Row],[prop_id]]&amp;PO_id,"&gt;ra"))</f>
        <v/>
      </c>
      <c r="N410" s="80" t="s">
        <v>13</v>
      </c>
      <c r="O410" s="7" t="str">
        <f>IF(BudgetsTable[[#This Row],[pi_last_name]]=" ","",HYPERLINK("mailto:"&amp;BudgetsTable[[#This Row],[pi_email]]&amp;"&amp;subject=Your NSF Proposal:  "&amp;BudgetsTable[[#This Row],[prop_id]],BudgetsTable[[#This Row],[pi_email]]))</f>
        <v/>
      </c>
      <c r="P410" s="80" t="s">
        <v>13</v>
      </c>
      <c r="Q410" s="80">
        <v>1</v>
      </c>
      <c r="R410" s="80">
        <v>0.5</v>
      </c>
      <c r="S410" s="81">
        <v>0</v>
      </c>
      <c r="T410" s="81">
        <v>0</v>
      </c>
      <c r="U410" s="81">
        <v>0</v>
      </c>
      <c r="V410" s="82">
        <v>117037</v>
      </c>
      <c r="W410" s="80">
        <v>0</v>
      </c>
      <c r="X410" s="80">
        <v>5</v>
      </c>
      <c r="Y410" s="11" t="str">
        <f ca="1">IF(ISBLANK(BudgetsTable[[#This Row],[budg_seq_yr]]),"FY"&amp;fiscalyear,"FY"&amp;fiscalyear-1+BudgetsTable[[#This Row],[budg_seq_yr]])</f>
        <v>FY22</v>
      </c>
      <c r="Z410" s="81">
        <v>117037</v>
      </c>
      <c r="AA410" s="80" t="s">
        <v>222</v>
      </c>
      <c r="AB410" s="80" t="s">
        <v>405</v>
      </c>
      <c r="AC410" s="80" t="s">
        <v>419</v>
      </c>
    </row>
    <row r="411" spans="1:29" x14ac:dyDescent="0.4">
      <c r="A411" s="10" t="s">
        <v>363</v>
      </c>
      <c r="B411" s="78" t="s">
        <v>96</v>
      </c>
      <c r="C411" s="78">
        <f>C410+(BudgetsTable[[#This Row],[lead]]&lt;&gt;K410)</f>
        <v>79</v>
      </c>
      <c r="D411" s="78">
        <f>D410*(BudgetsTable[[#This Row],[lead]]=K410)+(BudgetsTable[[#This Row],[prop_id]]&lt;&gt;A410)</f>
        <v>1</v>
      </c>
      <c r="E411" s="79">
        <v>42934.737500000003</v>
      </c>
      <c r="F411" s="80" t="s">
        <v>256</v>
      </c>
      <c r="G411" s="80" t="s">
        <v>222</v>
      </c>
      <c r="H411" s="80" t="s">
        <v>405</v>
      </c>
      <c r="I411" s="78" t="s">
        <v>451</v>
      </c>
      <c r="J411" s="78" t="s">
        <v>466</v>
      </c>
      <c r="K411" s="80" t="s">
        <v>363</v>
      </c>
      <c r="L411" s="7" t="str">
        <f>IF(BudgetsTable[[#This Row],[pi_last_name]]=" ","",HYPERLINK("https://www.ejacket.nsf.gov/ej/showProposal.do?Continue=Y&amp;ID="&amp;BudgetsTable[[#This Row],[prop_id]],BudgetsTable[[#This Row],[prop_id]]))</f>
        <v>1750039</v>
      </c>
      <c r="M411" s="15" t="str">
        <f>IF(BudgetsTable[[#This Row],[pi_last_name]]=" ","",HYPERLINK("https://www.ejacket.nsf.gov/ej/processReviewAnalysis.do?dispatch=add&amp;uniqId="&amp;BudgetsTable[[#This Row],[prop_id]]&amp;PO_id,"&gt;ra"))</f>
        <v>&gt;ra</v>
      </c>
      <c r="N411" s="80" t="s">
        <v>464</v>
      </c>
      <c r="O411" s="7" t="str">
        <f>IF(BudgetsTable[[#This Row],[pi_last_name]]=" ","",HYPERLINK("mailto:"&amp;BudgetsTable[[#This Row],[pi_email]]&amp;"&amp;subject=Your NSF Proposal:  "&amp;BudgetsTable[[#This Row],[prop_id]],BudgetsTable[[#This Row],[pi_email]]))</f>
        <v>solomon2@illinois.edu</v>
      </c>
      <c r="P411" s="80" t="s">
        <v>454</v>
      </c>
      <c r="Q411" s="80"/>
      <c r="R411" s="80"/>
      <c r="S411" s="81"/>
      <c r="T411" s="81"/>
      <c r="U411" s="81"/>
      <c r="V411" s="82"/>
      <c r="W411" s="80">
        <v>0</v>
      </c>
      <c r="X411" s="80"/>
      <c r="Y411" s="11" t="str">
        <f ca="1">IF(ISBLANK(BudgetsTable[[#This Row],[budg_seq_yr]]),"FY"&amp;fiscalyear,"FY"&amp;fiscalyear-1+BudgetsTable[[#This Row],[budg_seq_yr]])</f>
        <v>FY18</v>
      </c>
      <c r="Z411" s="81">
        <v>524117</v>
      </c>
      <c r="AA411" s="80" t="s">
        <v>222</v>
      </c>
      <c r="AB411" s="80" t="s">
        <v>405</v>
      </c>
      <c r="AC411" s="80" t="s">
        <v>426</v>
      </c>
    </row>
    <row r="412" spans="1:29" x14ac:dyDescent="0.4">
      <c r="A412" s="10" t="s">
        <v>363</v>
      </c>
      <c r="B412" s="78" t="s">
        <v>96</v>
      </c>
      <c r="C412" s="78">
        <f>C411+(BudgetsTable[[#This Row],[lead]]&lt;&gt;K411)</f>
        <v>79</v>
      </c>
      <c r="D412" s="78">
        <f>D411*(BudgetsTable[[#This Row],[lead]]=K411)+(BudgetsTable[[#This Row],[prop_id]]&lt;&gt;A411)</f>
        <v>1</v>
      </c>
      <c r="E412" s="79">
        <v>42934.737500000003</v>
      </c>
      <c r="F412" s="80" t="s">
        <v>256</v>
      </c>
      <c r="G412" s="80" t="s">
        <v>222</v>
      </c>
      <c r="H412" s="80" t="s">
        <v>405</v>
      </c>
      <c r="I412" s="78" t="s">
        <v>451</v>
      </c>
      <c r="J412" s="78" t="s">
        <v>13</v>
      </c>
      <c r="K412" s="80" t="s">
        <v>363</v>
      </c>
      <c r="L412" s="7" t="str">
        <f>IF(BudgetsTable[[#This Row],[pi_last_name]]=" ","",HYPERLINK("https://www.ejacket.nsf.gov/ej/showProposal.do?Continue=Y&amp;ID="&amp;BudgetsTable[[#This Row],[prop_id]],BudgetsTable[[#This Row],[prop_id]]))</f>
        <v/>
      </c>
      <c r="M412" s="15" t="str">
        <f>IF(BudgetsTable[[#This Row],[pi_last_name]]=" ","",HYPERLINK("https://www.ejacket.nsf.gov/ej/processReviewAnalysis.do?dispatch=add&amp;uniqId="&amp;BudgetsTable[[#This Row],[prop_id]]&amp;PO_id,"&gt;ra"))</f>
        <v/>
      </c>
      <c r="N412" s="80" t="s">
        <v>13</v>
      </c>
      <c r="O412" s="7" t="str">
        <f>IF(BudgetsTable[[#This Row],[pi_last_name]]=" ","",HYPERLINK("mailto:"&amp;BudgetsTable[[#This Row],[pi_email]]&amp;"&amp;subject=Your NSF Proposal:  "&amp;BudgetsTable[[#This Row],[prop_id]],BudgetsTable[[#This Row],[pi_email]]))</f>
        <v/>
      </c>
      <c r="P412" s="80" t="s">
        <v>13</v>
      </c>
      <c r="Q412" s="80">
        <v>1</v>
      </c>
      <c r="R412" s="80">
        <v>0.5</v>
      </c>
      <c r="S412" s="81">
        <v>0</v>
      </c>
      <c r="T412" s="81">
        <v>2250</v>
      </c>
      <c r="U412" s="81">
        <v>0</v>
      </c>
      <c r="V412" s="82">
        <v>100718</v>
      </c>
      <c r="W412" s="80">
        <v>0</v>
      </c>
      <c r="X412" s="80">
        <v>1</v>
      </c>
      <c r="Y412" s="11" t="str">
        <f ca="1">IF(ISBLANK(BudgetsTable[[#This Row],[budg_seq_yr]]),"FY"&amp;fiscalyear,"FY"&amp;fiscalyear-1+BudgetsTable[[#This Row],[budg_seq_yr]])</f>
        <v>FY18</v>
      </c>
      <c r="Z412" s="81">
        <v>100718</v>
      </c>
      <c r="AA412" s="80" t="s">
        <v>222</v>
      </c>
      <c r="AB412" s="80" t="s">
        <v>405</v>
      </c>
      <c r="AC412" s="80" t="s">
        <v>426</v>
      </c>
    </row>
    <row r="413" spans="1:29" x14ac:dyDescent="0.4">
      <c r="A413" s="10" t="s">
        <v>363</v>
      </c>
      <c r="B413" s="78" t="s">
        <v>96</v>
      </c>
      <c r="C413" s="78">
        <f>C412+(BudgetsTable[[#This Row],[lead]]&lt;&gt;K412)</f>
        <v>79</v>
      </c>
      <c r="D413" s="78">
        <f>D412*(BudgetsTable[[#This Row],[lead]]=K412)+(BudgetsTable[[#This Row],[prop_id]]&lt;&gt;A412)</f>
        <v>1</v>
      </c>
      <c r="E413" s="79">
        <v>42934.737500000003</v>
      </c>
      <c r="F413" s="80" t="s">
        <v>256</v>
      </c>
      <c r="G413" s="80" t="s">
        <v>222</v>
      </c>
      <c r="H413" s="80" t="s">
        <v>405</v>
      </c>
      <c r="I413" s="78" t="s">
        <v>451</v>
      </c>
      <c r="J413" s="78" t="s">
        <v>13</v>
      </c>
      <c r="K413" s="80" t="s">
        <v>363</v>
      </c>
      <c r="L413" s="7" t="str">
        <f>IF(BudgetsTable[[#This Row],[pi_last_name]]=" ","",HYPERLINK("https://www.ejacket.nsf.gov/ej/showProposal.do?Continue=Y&amp;ID="&amp;BudgetsTable[[#This Row],[prop_id]],BudgetsTable[[#This Row],[prop_id]]))</f>
        <v/>
      </c>
      <c r="M413" s="15" t="str">
        <f>IF(BudgetsTable[[#This Row],[pi_last_name]]=" ","",HYPERLINK("https://www.ejacket.nsf.gov/ej/processReviewAnalysis.do?dispatch=add&amp;uniqId="&amp;BudgetsTable[[#This Row],[prop_id]]&amp;PO_id,"&gt;ra"))</f>
        <v/>
      </c>
      <c r="N413" s="80" t="s">
        <v>13</v>
      </c>
      <c r="O413" s="7" t="str">
        <f>IF(BudgetsTable[[#This Row],[pi_last_name]]=" ","",HYPERLINK("mailto:"&amp;BudgetsTable[[#This Row],[pi_email]]&amp;"&amp;subject=Your NSF Proposal:  "&amp;BudgetsTable[[#This Row],[prop_id]],BudgetsTable[[#This Row],[pi_email]]))</f>
        <v/>
      </c>
      <c r="P413" s="80" t="s">
        <v>13</v>
      </c>
      <c r="Q413" s="80">
        <v>1</v>
      </c>
      <c r="R413" s="80">
        <v>0.5</v>
      </c>
      <c r="S413" s="81">
        <v>0</v>
      </c>
      <c r="T413" s="81">
        <v>2250</v>
      </c>
      <c r="U413" s="81">
        <v>0</v>
      </c>
      <c r="V413" s="82">
        <v>101222</v>
      </c>
      <c r="W413" s="80">
        <v>0</v>
      </c>
      <c r="X413" s="80">
        <v>2</v>
      </c>
      <c r="Y413" s="11" t="str">
        <f ca="1">IF(ISBLANK(BudgetsTable[[#This Row],[budg_seq_yr]]),"FY"&amp;fiscalyear,"FY"&amp;fiscalyear-1+BudgetsTable[[#This Row],[budg_seq_yr]])</f>
        <v>FY19</v>
      </c>
      <c r="Z413" s="81">
        <v>101222</v>
      </c>
      <c r="AA413" s="80" t="s">
        <v>222</v>
      </c>
      <c r="AB413" s="80" t="s">
        <v>405</v>
      </c>
      <c r="AC413" s="80" t="s">
        <v>426</v>
      </c>
    </row>
    <row r="414" spans="1:29" x14ac:dyDescent="0.4">
      <c r="A414" s="10" t="s">
        <v>363</v>
      </c>
      <c r="B414" s="78" t="s">
        <v>96</v>
      </c>
      <c r="C414" s="78">
        <f>C413+(BudgetsTable[[#This Row],[lead]]&lt;&gt;K413)</f>
        <v>79</v>
      </c>
      <c r="D414" s="78">
        <f>D413*(BudgetsTable[[#This Row],[lead]]=K413)+(BudgetsTable[[#This Row],[prop_id]]&lt;&gt;A413)</f>
        <v>1</v>
      </c>
      <c r="E414" s="79">
        <v>42934.737500000003</v>
      </c>
      <c r="F414" s="80" t="s">
        <v>256</v>
      </c>
      <c r="G414" s="80" t="s">
        <v>222</v>
      </c>
      <c r="H414" s="80" t="s">
        <v>405</v>
      </c>
      <c r="I414" s="78" t="s">
        <v>451</v>
      </c>
      <c r="J414" s="78" t="s">
        <v>13</v>
      </c>
      <c r="K414" s="80" t="s">
        <v>363</v>
      </c>
      <c r="L414" s="7" t="str">
        <f>IF(BudgetsTable[[#This Row],[pi_last_name]]=" ","",HYPERLINK("https://www.ejacket.nsf.gov/ej/showProposal.do?Continue=Y&amp;ID="&amp;BudgetsTable[[#This Row],[prop_id]],BudgetsTable[[#This Row],[prop_id]]))</f>
        <v/>
      </c>
      <c r="M414" s="15" t="str">
        <f>IF(BudgetsTable[[#This Row],[pi_last_name]]=" ","",HYPERLINK("https://www.ejacket.nsf.gov/ej/processReviewAnalysis.do?dispatch=add&amp;uniqId="&amp;BudgetsTable[[#This Row],[prop_id]]&amp;PO_id,"&gt;ra"))</f>
        <v/>
      </c>
      <c r="N414" s="80" t="s">
        <v>13</v>
      </c>
      <c r="O414" s="7" t="str">
        <f>IF(BudgetsTable[[#This Row],[pi_last_name]]=" ","",HYPERLINK("mailto:"&amp;BudgetsTable[[#This Row],[pi_email]]&amp;"&amp;subject=Your NSF Proposal:  "&amp;BudgetsTable[[#This Row],[prop_id]],BudgetsTable[[#This Row],[pi_email]]))</f>
        <v/>
      </c>
      <c r="P414" s="80" t="s">
        <v>13</v>
      </c>
      <c r="Q414" s="80">
        <v>1</v>
      </c>
      <c r="R414" s="80">
        <v>0.5</v>
      </c>
      <c r="S414" s="81">
        <v>0</v>
      </c>
      <c r="T414" s="81">
        <v>2250</v>
      </c>
      <c r="U414" s="81">
        <v>0</v>
      </c>
      <c r="V414" s="82">
        <v>104224</v>
      </c>
      <c r="W414" s="80">
        <v>0</v>
      </c>
      <c r="X414" s="80">
        <v>3</v>
      </c>
      <c r="Y414" s="11" t="str">
        <f ca="1">IF(ISBLANK(BudgetsTable[[#This Row],[budg_seq_yr]]),"FY"&amp;fiscalyear,"FY"&amp;fiscalyear-1+BudgetsTable[[#This Row],[budg_seq_yr]])</f>
        <v>FY20</v>
      </c>
      <c r="Z414" s="81">
        <v>104224</v>
      </c>
      <c r="AA414" s="80" t="s">
        <v>222</v>
      </c>
      <c r="AB414" s="80" t="s">
        <v>405</v>
      </c>
      <c r="AC414" s="80" t="s">
        <v>426</v>
      </c>
    </row>
    <row r="415" spans="1:29" x14ac:dyDescent="0.4">
      <c r="A415" s="10" t="s">
        <v>363</v>
      </c>
      <c r="B415" s="78" t="s">
        <v>96</v>
      </c>
      <c r="C415" s="78">
        <f>C414+(BudgetsTable[[#This Row],[lead]]&lt;&gt;K414)</f>
        <v>79</v>
      </c>
      <c r="D415" s="78">
        <f>D414*(BudgetsTable[[#This Row],[lead]]=K414)+(BudgetsTable[[#This Row],[prop_id]]&lt;&gt;A414)</f>
        <v>1</v>
      </c>
      <c r="E415" s="79">
        <v>42934.737500000003</v>
      </c>
      <c r="F415" s="80" t="s">
        <v>256</v>
      </c>
      <c r="G415" s="80" t="s">
        <v>222</v>
      </c>
      <c r="H415" s="80" t="s">
        <v>405</v>
      </c>
      <c r="I415" s="78" t="s">
        <v>451</v>
      </c>
      <c r="J415" s="78" t="s">
        <v>13</v>
      </c>
      <c r="K415" s="80" t="s">
        <v>363</v>
      </c>
      <c r="L415" s="7" t="str">
        <f>IF(BudgetsTable[[#This Row],[pi_last_name]]=" ","",HYPERLINK("https://www.ejacket.nsf.gov/ej/showProposal.do?Continue=Y&amp;ID="&amp;BudgetsTable[[#This Row],[prop_id]],BudgetsTable[[#This Row],[prop_id]]))</f>
        <v/>
      </c>
      <c r="M415" s="15" t="str">
        <f>IF(BudgetsTable[[#This Row],[pi_last_name]]=" ","",HYPERLINK("https://www.ejacket.nsf.gov/ej/processReviewAnalysis.do?dispatch=add&amp;uniqId="&amp;BudgetsTable[[#This Row],[prop_id]]&amp;PO_id,"&gt;ra"))</f>
        <v/>
      </c>
      <c r="N415" s="80" t="s">
        <v>13</v>
      </c>
      <c r="O415" s="7" t="str">
        <f>IF(BudgetsTable[[#This Row],[pi_last_name]]=" ","",HYPERLINK("mailto:"&amp;BudgetsTable[[#This Row],[pi_email]]&amp;"&amp;subject=Your NSF Proposal:  "&amp;BudgetsTable[[#This Row],[prop_id]],BudgetsTable[[#This Row],[pi_email]]))</f>
        <v/>
      </c>
      <c r="P415" s="80" t="s">
        <v>13</v>
      </c>
      <c r="Q415" s="80">
        <v>1</v>
      </c>
      <c r="R415" s="80">
        <v>0.5</v>
      </c>
      <c r="S415" s="81">
        <v>0</v>
      </c>
      <c r="T415" s="81">
        <v>2250</v>
      </c>
      <c r="U415" s="81">
        <v>0</v>
      </c>
      <c r="V415" s="82">
        <v>107350</v>
      </c>
      <c r="W415" s="80">
        <v>0</v>
      </c>
      <c r="X415" s="80">
        <v>4</v>
      </c>
      <c r="Y415" s="11" t="str">
        <f ca="1">IF(ISBLANK(BudgetsTable[[#This Row],[budg_seq_yr]]),"FY"&amp;fiscalyear,"FY"&amp;fiscalyear-1+BudgetsTable[[#This Row],[budg_seq_yr]])</f>
        <v>FY21</v>
      </c>
      <c r="Z415" s="81">
        <v>107350</v>
      </c>
      <c r="AA415" s="80" t="s">
        <v>222</v>
      </c>
      <c r="AB415" s="80" t="s">
        <v>405</v>
      </c>
      <c r="AC415" s="80" t="s">
        <v>426</v>
      </c>
    </row>
    <row r="416" spans="1:29" x14ac:dyDescent="0.4">
      <c r="A416" s="10" t="s">
        <v>363</v>
      </c>
      <c r="B416" s="78" t="s">
        <v>96</v>
      </c>
      <c r="C416" s="78">
        <f>C415+(BudgetsTable[[#This Row],[lead]]&lt;&gt;K415)</f>
        <v>79</v>
      </c>
      <c r="D416" s="78">
        <f>D415*(BudgetsTable[[#This Row],[lead]]=K415)+(BudgetsTable[[#This Row],[prop_id]]&lt;&gt;A415)</f>
        <v>1</v>
      </c>
      <c r="E416" s="79">
        <v>42934.737500000003</v>
      </c>
      <c r="F416" s="80" t="s">
        <v>256</v>
      </c>
      <c r="G416" s="80" t="s">
        <v>222</v>
      </c>
      <c r="H416" s="80" t="s">
        <v>405</v>
      </c>
      <c r="I416" s="78" t="s">
        <v>451</v>
      </c>
      <c r="J416" s="78" t="s">
        <v>13</v>
      </c>
      <c r="K416" s="80" t="s">
        <v>363</v>
      </c>
      <c r="L416" s="7" t="str">
        <f>IF(BudgetsTable[[#This Row],[pi_last_name]]=" ","",HYPERLINK("https://www.ejacket.nsf.gov/ej/showProposal.do?Continue=Y&amp;ID="&amp;BudgetsTable[[#This Row],[prop_id]],BudgetsTable[[#This Row],[prop_id]]))</f>
        <v/>
      </c>
      <c r="M416" s="15" t="str">
        <f>IF(BudgetsTable[[#This Row],[pi_last_name]]=" ","",HYPERLINK("https://www.ejacket.nsf.gov/ej/processReviewAnalysis.do?dispatch=add&amp;uniqId="&amp;BudgetsTable[[#This Row],[prop_id]]&amp;PO_id,"&gt;ra"))</f>
        <v/>
      </c>
      <c r="N416" s="80" t="s">
        <v>13</v>
      </c>
      <c r="O416" s="7" t="str">
        <f>IF(BudgetsTable[[#This Row],[pi_last_name]]=" ","",HYPERLINK("mailto:"&amp;BudgetsTable[[#This Row],[pi_email]]&amp;"&amp;subject=Your NSF Proposal:  "&amp;BudgetsTable[[#This Row],[prop_id]],BudgetsTable[[#This Row],[pi_email]]))</f>
        <v/>
      </c>
      <c r="P416" s="80" t="s">
        <v>13</v>
      </c>
      <c r="Q416" s="80">
        <v>1</v>
      </c>
      <c r="R416" s="80">
        <v>0.5</v>
      </c>
      <c r="S416" s="81">
        <v>0</v>
      </c>
      <c r="T416" s="81">
        <v>2250</v>
      </c>
      <c r="U416" s="81">
        <v>0</v>
      </c>
      <c r="V416" s="82">
        <v>110603</v>
      </c>
      <c r="W416" s="80">
        <v>0</v>
      </c>
      <c r="X416" s="80">
        <v>5</v>
      </c>
      <c r="Y416" s="11" t="str">
        <f ca="1">IF(ISBLANK(BudgetsTable[[#This Row],[budg_seq_yr]]),"FY"&amp;fiscalyear,"FY"&amp;fiscalyear-1+BudgetsTable[[#This Row],[budg_seq_yr]])</f>
        <v>FY22</v>
      </c>
      <c r="Z416" s="81">
        <v>110603</v>
      </c>
      <c r="AA416" s="80" t="s">
        <v>222</v>
      </c>
      <c r="AB416" s="80" t="s">
        <v>405</v>
      </c>
      <c r="AC416" s="80" t="s">
        <v>426</v>
      </c>
    </row>
    <row r="417" spans="1:29" x14ac:dyDescent="0.4">
      <c r="A417" s="10" t="s">
        <v>364</v>
      </c>
      <c r="B417" s="78" t="s">
        <v>96</v>
      </c>
      <c r="C417" s="78">
        <f>C416+(BudgetsTable[[#This Row],[lead]]&lt;&gt;K416)</f>
        <v>80</v>
      </c>
      <c r="D417" s="78">
        <f>D416*(BudgetsTable[[#This Row],[lead]]=K416)+(BudgetsTable[[#This Row],[prop_id]]&lt;&gt;A416)</f>
        <v>1</v>
      </c>
      <c r="E417" s="79">
        <v>42934.808333333334</v>
      </c>
      <c r="F417" s="80" t="s">
        <v>256</v>
      </c>
      <c r="G417" s="80" t="s">
        <v>222</v>
      </c>
      <c r="H417" s="80" t="s">
        <v>405</v>
      </c>
      <c r="I417" s="78" t="s">
        <v>406</v>
      </c>
      <c r="J417" s="78" t="s">
        <v>472</v>
      </c>
      <c r="K417" s="80" t="s">
        <v>364</v>
      </c>
      <c r="L417" s="7" t="str">
        <f>IF(BudgetsTable[[#This Row],[pi_last_name]]=" ","",HYPERLINK("https://www.ejacket.nsf.gov/ej/showProposal.do?Continue=Y&amp;ID="&amp;BudgetsTable[[#This Row],[prop_id]],BudgetsTable[[#This Row],[prop_id]]))</f>
        <v>1750076</v>
      </c>
      <c r="M417" s="15" t="str">
        <f>IF(BudgetsTable[[#This Row],[pi_last_name]]=" ","",HYPERLINK("https://www.ejacket.nsf.gov/ej/processReviewAnalysis.do?dispatch=add&amp;uniqId="&amp;BudgetsTable[[#This Row],[prop_id]]&amp;PO_id,"&gt;ra"))</f>
        <v>&gt;ra</v>
      </c>
      <c r="N417" s="80" t="s">
        <v>469</v>
      </c>
      <c r="O417" s="7" t="str">
        <f>IF(BudgetsTable[[#This Row],[pi_last_name]]=" ","",HYPERLINK("mailto:"&amp;BudgetsTable[[#This Row],[pi_email]]&amp;"&amp;subject=Your NSF Proposal:  "&amp;BudgetsTable[[#This Row],[prop_id]],BudgetsTable[[#This Row],[pi_email]]))</f>
        <v>craig@ucr.edu</v>
      </c>
      <c r="P417" s="80" t="s">
        <v>471</v>
      </c>
      <c r="Q417" s="80"/>
      <c r="R417" s="80"/>
      <c r="S417" s="81"/>
      <c r="T417" s="81"/>
      <c r="U417" s="81"/>
      <c r="V417" s="82"/>
      <c r="W417" s="80">
        <v>0</v>
      </c>
      <c r="X417" s="80"/>
      <c r="Y417" s="11" t="str">
        <f ca="1">IF(ISBLANK(BudgetsTable[[#This Row],[budg_seq_yr]]),"FY"&amp;fiscalyear,"FY"&amp;fiscalyear-1+BudgetsTable[[#This Row],[budg_seq_yr]])</f>
        <v>FY18</v>
      </c>
      <c r="Z417" s="81">
        <v>440331</v>
      </c>
      <c r="AA417" s="80" t="s">
        <v>222</v>
      </c>
      <c r="AB417" s="80" t="s">
        <v>405</v>
      </c>
      <c r="AC417" s="80" t="s">
        <v>473</v>
      </c>
    </row>
    <row r="418" spans="1:29" x14ac:dyDescent="0.4">
      <c r="A418" s="10" t="s">
        <v>364</v>
      </c>
      <c r="B418" s="78" t="s">
        <v>96</v>
      </c>
      <c r="C418" s="78">
        <f>C417+(BudgetsTable[[#This Row],[lead]]&lt;&gt;K417)</f>
        <v>80</v>
      </c>
      <c r="D418" s="78">
        <f>D417*(BudgetsTable[[#This Row],[lead]]=K417)+(BudgetsTable[[#This Row],[prop_id]]&lt;&gt;A417)</f>
        <v>1</v>
      </c>
      <c r="E418" s="79">
        <v>42934.808333333334</v>
      </c>
      <c r="F418" s="80" t="s">
        <v>256</v>
      </c>
      <c r="G418" s="80" t="s">
        <v>222</v>
      </c>
      <c r="H418" s="80" t="s">
        <v>405</v>
      </c>
      <c r="I418" s="78" t="s">
        <v>406</v>
      </c>
      <c r="J418" s="78" t="s">
        <v>13</v>
      </c>
      <c r="K418" s="80" t="s">
        <v>364</v>
      </c>
      <c r="L418" s="7" t="str">
        <f>IF(BudgetsTable[[#This Row],[pi_last_name]]=" ","",HYPERLINK("https://www.ejacket.nsf.gov/ej/showProposal.do?Continue=Y&amp;ID="&amp;BudgetsTable[[#This Row],[prop_id]],BudgetsTable[[#This Row],[prop_id]]))</f>
        <v/>
      </c>
      <c r="M418" s="15" t="str">
        <f>IF(BudgetsTable[[#This Row],[pi_last_name]]=" ","",HYPERLINK("https://www.ejacket.nsf.gov/ej/processReviewAnalysis.do?dispatch=add&amp;uniqId="&amp;BudgetsTable[[#This Row],[prop_id]]&amp;PO_id,"&gt;ra"))</f>
        <v/>
      </c>
      <c r="N418" s="80" t="s">
        <v>13</v>
      </c>
      <c r="O418" s="7" t="str">
        <f>IF(BudgetsTable[[#This Row],[pi_last_name]]=" ","",HYPERLINK("mailto:"&amp;BudgetsTable[[#This Row],[pi_email]]&amp;"&amp;subject=Your NSF Proposal:  "&amp;BudgetsTable[[#This Row],[prop_id]],BudgetsTable[[#This Row],[pi_email]]))</f>
        <v/>
      </c>
      <c r="P418" s="80" t="s">
        <v>13</v>
      </c>
      <c r="Q418" s="80">
        <v>1</v>
      </c>
      <c r="R418" s="80">
        <v>1</v>
      </c>
      <c r="S418" s="81">
        <v>0</v>
      </c>
      <c r="T418" s="81">
        <v>0</v>
      </c>
      <c r="U418" s="81">
        <v>0</v>
      </c>
      <c r="V418" s="82">
        <v>92028</v>
      </c>
      <c r="W418" s="80">
        <v>0</v>
      </c>
      <c r="X418" s="80">
        <v>1</v>
      </c>
      <c r="Y418" s="11" t="str">
        <f ca="1">IF(ISBLANK(BudgetsTable[[#This Row],[budg_seq_yr]]),"FY"&amp;fiscalyear,"FY"&amp;fiscalyear-1+BudgetsTable[[#This Row],[budg_seq_yr]])</f>
        <v>FY18</v>
      </c>
      <c r="Z418" s="81">
        <v>92028</v>
      </c>
      <c r="AA418" s="80" t="s">
        <v>222</v>
      </c>
      <c r="AB418" s="80" t="s">
        <v>405</v>
      </c>
      <c r="AC418" s="80" t="s">
        <v>473</v>
      </c>
    </row>
    <row r="419" spans="1:29" x14ac:dyDescent="0.4">
      <c r="A419" s="10" t="s">
        <v>364</v>
      </c>
      <c r="B419" s="78" t="s">
        <v>96</v>
      </c>
      <c r="C419" s="78">
        <f>C418+(BudgetsTable[[#This Row],[lead]]&lt;&gt;K418)</f>
        <v>80</v>
      </c>
      <c r="D419" s="78">
        <f>D418*(BudgetsTable[[#This Row],[lead]]=K418)+(BudgetsTable[[#This Row],[prop_id]]&lt;&gt;A418)</f>
        <v>1</v>
      </c>
      <c r="E419" s="79">
        <v>42934.808333333334</v>
      </c>
      <c r="F419" s="80" t="s">
        <v>256</v>
      </c>
      <c r="G419" s="80" t="s">
        <v>222</v>
      </c>
      <c r="H419" s="80" t="s">
        <v>405</v>
      </c>
      <c r="I419" s="78" t="s">
        <v>406</v>
      </c>
      <c r="J419" s="78" t="s">
        <v>13</v>
      </c>
      <c r="K419" s="80" t="s">
        <v>364</v>
      </c>
      <c r="L419" s="7" t="str">
        <f>IF(BudgetsTable[[#This Row],[pi_last_name]]=" ","",HYPERLINK("https://www.ejacket.nsf.gov/ej/showProposal.do?Continue=Y&amp;ID="&amp;BudgetsTable[[#This Row],[prop_id]],BudgetsTable[[#This Row],[prop_id]]))</f>
        <v/>
      </c>
      <c r="M419" s="15" t="str">
        <f>IF(BudgetsTable[[#This Row],[pi_last_name]]=" ","",HYPERLINK("https://www.ejacket.nsf.gov/ej/processReviewAnalysis.do?dispatch=add&amp;uniqId="&amp;BudgetsTable[[#This Row],[prop_id]]&amp;PO_id,"&gt;ra"))</f>
        <v/>
      </c>
      <c r="N419" s="80" t="s">
        <v>13</v>
      </c>
      <c r="O419" s="7" t="str">
        <f>IF(BudgetsTable[[#This Row],[pi_last_name]]=" ","",HYPERLINK("mailto:"&amp;BudgetsTable[[#This Row],[pi_email]]&amp;"&amp;subject=Your NSF Proposal:  "&amp;BudgetsTable[[#This Row],[prop_id]],BudgetsTable[[#This Row],[pi_email]]))</f>
        <v/>
      </c>
      <c r="P419" s="80" t="s">
        <v>13</v>
      </c>
      <c r="Q419" s="80">
        <v>1</v>
      </c>
      <c r="R419" s="80">
        <v>1</v>
      </c>
      <c r="S419" s="81">
        <v>0</v>
      </c>
      <c r="T419" s="81">
        <v>0</v>
      </c>
      <c r="U419" s="81">
        <v>0</v>
      </c>
      <c r="V419" s="82">
        <v>84050</v>
      </c>
      <c r="W419" s="80">
        <v>0</v>
      </c>
      <c r="X419" s="80">
        <v>2</v>
      </c>
      <c r="Y419" s="11" t="str">
        <f ca="1">IF(ISBLANK(BudgetsTable[[#This Row],[budg_seq_yr]]),"FY"&amp;fiscalyear,"FY"&amp;fiscalyear-1+BudgetsTable[[#This Row],[budg_seq_yr]])</f>
        <v>FY19</v>
      </c>
      <c r="Z419" s="81">
        <v>84050</v>
      </c>
      <c r="AA419" s="80" t="s">
        <v>222</v>
      </c>
      <c r="AB419" s="80" t="s">
        <v>405</v>
      </c>
      <c r="AC419" s="80" t="s">
        <v>473</v>
      </c>
    </row>
    <row r="420" spans="1:29" x14ac:dyDescent="0.4">
      <c r="A420" s="10" t="s">
        <v>364</v>
      </c>
      <c r="B420" s="78" t="s">
        <v>96</v>
      </c>
      <c r="C420" s="78">
        <f>C419+(BudgetsTable[[#This Row],[lead]]&lt;&gt;K419)</f>
        <v>80</v>
      </c>
      <c r="D420" s="78">
        <f>D419*(BudgetsTable[[#This Row],[lead]]=K419)+(BudgetsTable[[#This Row],[prop_id]]&lt;&gt;A419)</f>
        <v>1</v>
      </c>
      <c r="E420" s="79">
        <v>42934.808333333334</v>
      </c>
      <c r="F420" s="80" t="s">
        <v>256</v>
      </c>
      <c r="G420" s="80" t="s">
        <v>222</v>
      </c>
      <c r="H420" s="80" t="s">
        <v>405</v>
      </c>
      <c r="I420" s="78" t="s">
        <v>406</v>
      </c>
      <c r="J420" s="78" t="s">
        <v>13</v>
      </c>
      <c r="K420" s="80" t="s">
        <v>364</v>
      </c>
      <c r="L420" s="7" t="str">
        <f>IF(BudgetsTable[[#This Row],[pi_last_name]]=" ","",HYPERLINK("https://www.ejacket.nsf.gov/ej/showProposal.do?Continue=Y&amp;ID="&amp;BudgetsTable[[#This Row],[prop_id]],BudgetsTable[[#This Row],[prop_id]]))</f>
        <v/>
      </c>
      <c r="M420" s="15" t="str">
        <f>IF(BudgetsTable[[#This Row],[pi_last_name]]=" ","",HYPERLINK("https://www.ejacket.nsf.gov/ej/processReviewAnalysis.do?dispatch=add&amp;uniqId="&amp;BudgetsTable[[#This Row],[prop_id]]&amp;PO_id,"&gt;ra"))</f>
        <v/>
      </c>
      <c r="N420" s="80" t="s">
        <v>13</v>
      </c>
      <c r="O420" s="7" t="str">
        <f>IF(BudgetsTable[[#This Row],[pi_last_name]]=" ","",HYPERLINK("mailto:"&amp;BudgetsTable[[#This Row],[pi_email]]&amp;"&amp;subject=Your NSF Proposal:  "&amp;BudgetsTable[[#This Row],[prop_id]],BudgetsTable[[#This Row],[pi_email]]))</f>
        <v/>
      </c>
      <c r="P420" s="80" t="s">
        <v>13</v>
      </c>
      <c r="Q420" s="80">
        <v>1</v>
      </c>
      <c r="R420" s="80">
        <v>1</v>
      </c>
      <c r="S420" s="81">
        <v>0</v>
      </c>
      <c r="T420" s="81">
        <v>0</v>
      </c>
      <c r="U420" s="81">
        <v>0</v>
      </c>
      <c r="V420" s="82">
        <v>86026</v>
      </c>
      <c r="W420" s="80">
        <v>0</v>
      </c>
      <c r="X420" s="80">
        <v>3</v>
      </c>
      <c r="Y420" s="11" t="str">
        <f ca="1">IF(ISBLANK(BudgetsTable[[#This Row],[budg_seq_yr]]),"FY"&amp;fiscalyear,"FY"&amp;fiscalyear-1+BudgetsTable[[#This Row],[budg_seq_yr]])</f>
        <v>FY20</v>
      </c>
      <c r="Z420" s="81">
        <v>86026</v>
      </c>
      <c r="AA420" s="80" t="s">
        <v>222</v>
      </c>
      <c r="AB420" s="80" t="s">
        <v>405</v>
      </c>
      <c r="AC420" s="80" t="s">
        <v>473</v>
      </c>
    </row>
    <row r="421" spans="1:29" x14ac:dyDescent="0.4">
      <c r="A421" s="10" t="s">
        <v>364</v>
      </c>
      <c r="B421" s="78" t="s">
        <v>96</v>
      </c>
      <c r="C421" s="78">
        <f>C420+(BudgetsTable[[#This Row],[lead]]&lt;&gt;K420)</f>
        <v>80</v>
      </c>
      <c r="D421" s="78">
        <f>D420*(BudgetsTable[[#This Row],[lead]]=K420)+(BudgetsTable[[#This Row],[prop_id]]&lt;&gt;A420)</f>
        <v>1</v>
      </c>
      <c r="E421" s="79">
        <v>42934.808333333334</v>
      </c>
      <c r="F421" s="80" t="s">
        <v>256</v>
      </c>
      <c r="G421" s="80" t="s">
        <v>222</v>
      </c>
      <c r="H421" s="80" t="s">
        <v>405</v>
      </c>
      <c r="I421" s="78" t="s">
        <v>406</v>
      </c>
      <c r="J421" s="78" t="s">
        <v>13</v>
      </c>
      <c r="K421" s="80" t="s">
        <v>364</v>
      </c>
      <c r="L421" s="7" t="str">
        <f>IF(BudgetsTable[[#This Row],[pi_last_name]]=" ","",HYPERLINK("https://www.ejacket.nsf.gov/ej/showProposal.do?Continue=Y&amp;ID="&amp;BudgetsTable[[#This Row],[prop_id]],BudgetsTable[[#This Row],[prop_id]]))</f>
        <v/>
      </c>
      <c r="M421" s="15" t="str">
        <f>IF(BudgetsTable[[#This Row],[pi_last_name]]=" ","",HYPERLINK("https://www.ejacket.nsf.gov/ej/processReviewAnalysis.do?dispatch=add&amp;uniqId="&amp;BudgetsTable[[#This Row],[prop_id]]&amp;PO_id,"&gt;ra"))</f>
        <v/>
      </c>
      <c r="N421" s="80" t="s">
        <v>13</v>
      </c>
      <c r="O421" s="7" t="str">
        <f>IF(BudgetsTable[[#This Row],[pi_last_name]]=" ","",HYPERLINK("mailto:"&amp;BudgetsTable[[#This Row],[pi_email]]&amp;"&amp;subject=Your NSF Proposal:  "&amp;BudgetsTable[[#This Row],[prop_id]],BudgetsTable[[#This Row],[pi_email]]))</f>
        <v/>
      </c>
      <c r="P421" s="80" t="s">
        <v>13</v>
      </c>
      <c r="Q421" s="80">
        <v>1</v>
      </c>
      <c r="R421" s="80">
        <v>1</v>
      </c>
      <c r="S421" s="81">
        <v>0</v>
      </c>
      <c r="T421" s="81">
        <v>0</v>
      </c>
      <c r="U421" s="81">
        <v>0</v>
      </c>
      <c r="V421" s="82">
        <v>88064</v>
      </c>
      <c r="W421" s="80">
        <v>0</v>
      </c>
      <c r="X421" s="80">
        <v>4</v>
      </c>
      <c r="Y421" s="11" t="str">
        <f ca="1">IF(ISBLANK(BudgetsTable[[#This Row],[budg_seq_yr]]),"FY"&amp;fiscalyear,"FY"&amp;fiscalyear-1+BudgetsTable[[#This Row],[budg_seq_yr]])</f>
        <v>FY21</v>
      </c>
      <c r="Z421" s="81">
        <v>88064</v>
      </c>
      <c r="AA421" s="80" t="s">
        <v>222</v>
      </c>
      <c r="AB421" s="80" t="s">
        <v>405</v>
      </c>
      <c r="AC421" s="80" t="s">
        <v>473</v>
      </c>
    </row>
    <row r="422" spans="1:29" x14ac:dyDescent="0.4">
      <c r="A422" s="10" t="s">
        <v>364</v>
      </c>
      <c r="B422" s="78" t="s">
        <v>96</v>
      </c>
      <c r="C422" s="78">
        <f>C421+(BudgetsTable[[#This Row],[lead]]&lt;&gt;K421)</f>
        <v>80</v>
      </c>
      <c r="D422" s="78">
        <f>D421*(BudgetsTable[[#This Row],[lead]]=K421)+(BudgetsTable[[#This Row],[prop_id]]&lt;&gt;A421)</f>
        <v>1</v>
      </c>
      <c r="E422" s="79">
        <v>42934.808333333334</v>
      </c>
      <c r="F422" s="80" t="s">
        <v>256</v>
      </c>
      <c r="G422" s="80" t="s">
        <v>222</v>
      </c>
      <c r="H422" s="80" t="s">
        <v>405</v>
      </c>
      <c r="I422" s="78" t="s">
        <v>406</v>
      </c>
      <c r="J422" s="78" t="s">
        <v>13</v>
      </c>
      <c r="K422" s="80" t="s">
        <v>364</v>
      </c>
      <c r="L422" s="7" t="str">
        <f>IF(BudgetsTable[[#This Row],[pi_last_name]]=" ","",HYPERLINK("https://www.ejacket.nsf.gov/ej/showProposal.do?Continue=Y&amp;ID="&amp;BudgetsTable[[#This Row],[prop_id]],BudgetsTable[[#This Row],[prop_id]]))</f>
        <v/>
      </c>
      <c r="M422" s="15" t="str">
        <f>IF(BudgetsTable[[#This Row],[pi_last_name]]=" ","",HYPERLINK("https://www.ejacket.nsf.gov/ej/processReviewAnalysis.do?dispatch=add&amp;uniqId="&amp;BudgetsTable[[#This Row],[prop_id]]&amp;PO_id,"&gt;ra"))</f>
        <v/>
      </c>
      <c r="N422" s="80" t="s">
        <v>13</v>
      </c>
      <c r="O422" s="7" t="str">
        <f>IF(BudgetsTable[[#This Row],[pi_last_name]]=" ","",HYPERLINK("mailto:"&amp;BudgetsTable[[#This Row],[pi_email]]&amp;"&amp;subject=Your NSF Proposal:  "&amp;BudgetsTable[[#This Row],[prop_id]],BudgetsTable[[#This Row],[pi_email]]))</f>
        <v/>
      </c>
      <c r="P422" s="80" t="s">
        <v>13</v>
      </c>
      <c r="Q422" s="80">
        <v>1</v>
      </c>
      <c r="R422" s="80">
        <v>1</v>
      </c>
      <c r="S422" s="81">
        <v>0</v>
      </c>
      <c r="T422" s="81">
        <v>0</v>
      </c>
      <c r="U422" s="81">
        <v>0</v>
      </c>
      <c r="V422" s="82">
        <v>90163</v>
      </c>
      <c r="W422" s="80">
        <v>0</v>
      </c>
      <c r="X422" s="80">
        <v>5</v>
      </c>
      <c r="Y422" s="11" t="str">
        <f ca="1">IF(ISBLANK(BudgetsTable[[#This Row],[budg_seq_yr]]),"FY"&amp;fiscalyear,"FY"&amp;fiscalyear-1+BudgetsTable[[#This Row],[budg_seq_yr]])</f>
        <v>FY22</v>
      </c>
      <c r="Z422" s="81">
        <v>90163</v>
      </c>
      <c r="AA422" s="80" t="s">
        <v>222</v>
      </c>
      <c r="AB422" s="80" t="s">
        <v>405</v>
      </c>
      <c r="AC422" s="80" t="s">
        <v>473</v>
      </c>
    </row>
    <row r="423" spans="1:29" x14ac:dyDescent="0.4">
      <c r="A423" s="10" t="s">
        <v>365</v>
      </c>
      <c r="B423" s="78" t="s">
        <v>96</v>
      </c>
      <c r="C423" s="78">
        <f>C422+(BudgetsTable[[#This Row],[lead]]&lt;&gt;K422)</f>
        <v>81</v>
      </c>
      <c r="D423" s="78">
        <f>D422*(BudgetsTable[[#This Row],[lead]]=K422)+(BudgetsTable[[#This Row],[prop_id]]&lt;&gt;A422)</f>
        <v>1</v>
      </c>
      <c r="E423" s="79">
        <v>42935.359027777777</v>
      </c>
      <c r="F423" s="80" t="s">
        <v>256</v>
      </c>
      <c r="G423" s="80" t="s">
        <v>222</v>
      </c>
      <c r="H423" s="80" t="s">
        <v>405</v>
      </c>
      <c r="I423" s="78" t="s">
        <v>422</v>
      </c>
      <c r="J423" s="78" t="s">
        <v>478</v>
      </c>
      <c r="K423" s="80" t="s">
        <v>365</v>
      </c>
      <c r="L423" s="7" t="str">
        <f>IF(BudgetsTable[[#This Row],[pi_last_name]]=" ","",HYPERLINK("https://www.ejacket.nsf.gov/ej/showProposal.do?Continue=Y&amp;ID="&amp;BudgetsTable[[#This Row],[prop_id]],BudgetsTable[[#This Row],[prop_id]]))</f>
        <v>1750118</v>
      </c>
      <c r="M423" s="15" t="str">
        <f>IF(BudgetsTable[[#This Row],[pi_last_name]]=" ","",HYPERLINK("https://www.ejacket.nsf.gov/ej/processReviewAnalysis.do?dispatch=add&amp;uniqId="&amp;BudgetsTable[[#This Row],[prop_id]]&amp;PO_id,"&gt;ra"))</f>
        <v>&gt;ra</v>
      </c>
      <c r="N423" s="80" t="s">
        <v>476</v>
      </c>
      <c r="O423" s="7" t="str">
        <f>IF(BudgetsTable[[#This Row],[pi_last_name]]=" ","",HYPERLINK("mailto:"&amp;BudgetsTable[[#This Row],[pi_email]]&amp;"&amp;subject=Your NSF Proposal:  "&amp;BudgetsTable[[#This Row],[prop_id]],BudgetsTable[[#This Row],[pi_email]]))</f>
        <v>shil@buffalo.edu</v>
      </c>
      <c r="P423" s="80" t="s">
        <v>220</v>
      </c>
      <c r="Q423" s="80"/>
      <c r="R423" s="80"/>
      <c r="S423" s="81"/>
      <c r="T423" s="81"/>
      <c r="U423" s="81"/>
      <c r="V423" s="82"/>
      <c r="W423" s="80">
        <v>0</v>
      </c>
      <c r="X423" s="80"/>
      <c r="Y423" s="11" t="str">
        <f ca="1">IF(ISBLANK(BudgetsTable[[#This Row],[budg_seq_yr]]),"FY"&amp;fiscalyear,"FY"&amp;fiscalyear-1+BudgetsTable[[#This Row],[budg_seq_yr]])</f>
        <v>FY18</v>
      </c>
      <c r="Z423" s="81">
        <v>530842</v>
      </c>
      <c r="AA423" s="80" t="s">
        <v>222</v>
      </c>
      <c r="AB423" s="80" t="s">
        <v>405</v>
      </c>
      <c r="AC423" s="80" t="s">
        <v>411</v>
      </c>
    </row>
    <row r="424" spans="1:29" x14ac:dyDescent="0.4">
      <c r="A424" s="10" t="s">
        <v>365</v>
      </c>
      <c r="B424" s="78" t="s">
        <v>96</v>
      </c>
      <c r="C424" s="78">
        <f>C423+(BudgetsTable[[#This Row],[lead]]&lt;&gt;K423)</f>
        <v>81</v>
      </c>
      <c r="D424" s="78">
        <f>D423*(BudgetsTable[[#This Row],[lead]]=K423)+(BudgetsTable[[#This Row],[prop_id]]&lt;&gt;A423)</f>
        <v>1</v>
      </c>
      <c r="E424" s="79">
        <v>42935.359027777777</v>
      </c>
      <c r="F424" s="80" t="s">
        <v>256</v>
      </c>
      <c r="G424" s="80" t="s">
        <v>222</v>
      </c>
      <c r="H424" s="80" t="s">
        <v>405</v>
      </c>
      <c r="I424" s="78" t="s">
        <v>422</v>
      </c>
      <c r="J424" s="78" t="s">
        <v>13</v>
      </c>
      <c r="K424" s="80" t="s">
        <v>365</v>
      </c>
      <c r="L424" s="7" t="str">
        <f>IF(BudgetsTable[[#This Row],[pi_last_name]]=" ","",HYPERLINK("https://www.ejacket.nsf.gov/ej/showProposal.do?Continue=Y&amp;ID="&amp;BudgetsTable[[#This Row],[prop_id]],BudgetsTable[[#This Row],[prop_id]]))</f>
        <v/>
      </c>
      <c r="M424" s="15" t="str">
        <f>IF(BudgetsTable[[#This Row],[pi_last_name]]=" ","",HYPERLINK("https://www.ejacket.nsf.gov/ej/processReviewAnalysis.do?dispatch=add&amp;uniqId="&amp;BudgetsTable[[#This Row],[prop_id]]&amp;PO_id,"&gt;ra"))</f>
        <v/>
      </c>
      <c r="N424" s="80" t="s">
        <v>13</v>
      </c>
      <c r="O424" s="7" t="str">
        <f>IF(BudgetsTable[[#This Row],[pi_last_name]]=" ","",HYPERLINK("mailto:"&amp;BudgetsTable[[#This Row],[pi_email]]&amp;"&amp;subject=Your NSF Proposal:  "&amp;BudgetsTable[[#This Row],[prop_id]],BudgetsTable[[#This Row],[pi_email]]))</f>
        <v/>
      </c>
      <c r="P424" s="80" t="s">
        <v>13</v>
      </c>
      <c r="Q424" s="80">
        <v>1</v>
      </c>
      <c r="R424" s="80">
        <v>1</v>
      </c>
      <c r="S424" s="81">
        <v>0</v>
      </c>
      <c r="T424" s="81">
        <v>2000</v>
      </c>
      <c r="U424" s="81">
        <v>0</v>
      </c>
      <c r="V424" s="82">
        <v>99976</v>
      </c>
      <c r="W424" s="80">
        <v>0</v>
      </c>
      <c r="X424" s="80">
        <v>1</v>
      </c>
      <c r="Y424" s="11" t="str">
        <f ca="1">IF(ISBLANK(BudgetsTable[[#This Row],[budg_seq_yr]]),"FY"&amp;fiscalyear,"FY"&amp;fiscalyear-1+BudgetsTable[[#This Row],[budg_seq_yr]])</f>
        <v>FY18</v>
      </c>
      <c r="Z424" s="81">
        <v>99976</v>
      </c>
      <c r="AA424" s="80" t="s">
        <v>222</v>
      </c>
      <c r="AB424" s="80" t="s">
        <v>405</v>
      </c>
      <c r="AC424" s="80" t="s">
        <v>411</v>
      </c>
    </row>
    <row r="425" spans="1:29" x14ac:dyDescent="0.4">
      <c r="A425" s="10" t="s">
        <v>365</v>
      </c>
      <c r="B425" s="78" t="s">
        <v>96</v>
      </c>
      <c r="C425" s="78">
        <f>C424+(BudgetsTable[[#This Row],[lead]]&lt;&gt;K424)</f>
        <v>81</v>
      </c>
      <c r="D425" s="78">
        <f>D424*(BudgetsTable[[#This Row],[lead]]=K424)+(BudgetsTable[[#This Row],[prop_id]]&lt;&gt;A424)</f>
        <v>1</v>
      </c>
      <c r="E425" s="79">
        <v>42935.359027777777</v>
      </c>
      <c r="F425" s="80" t="s">
        <v>256</v>
      </c>
      <c r="G425" s="80" t="s">
        <v>222</v>
      </c>
      <c r="H425" s="80" t="s">
        <v>405</v>
      </c>
      <c r="I425" s="78" t="s">
        <v>422</v>
      </c>
      <c r="J425" s="78" t="s">
        <v>13</v>
      </c>
      <c r="K425" s="80" t="s">
        <v>365</v>
      </c>
      <c r="L425" s="7" t="str">
        <f>IF(BudgetsTable[[#This Row],[pi_last_name]]=" ","",HYPERLINK("https://www.ejacket.nsf.gov/ej/showProposal.do?Continue=Y&amp;ID="&amp;BudgetsTable[[#This Row],[prop_id]],BudgetsTable[[#This Row],[prop_id]]))</f>
        <v/>
      </c>
      <c r="M425" s="15" t="str">
        <f>IF(BudgetsTable[[#This Row],[pi_last_name]]=" ","",HYPERLINK("https://www.ejacket.nsf.gov/ej/processReviewAnalysis.do?dispatch=add&amp;uniqId="&amp;BudgetsTable[[#This Row],[prop_id]]&amp;PO_id,"&gt;ra"))</f>
        <v/>
      </c>
      <c r="N425" s="80" t="s">
        <v>13</v>
      </c>
      <c r="O425" s="7" t="str">
        <f>IF(BudgetsTable[[#This Row],[pi_last_name]]=" ","",HYPERLINK("mailto:"&amp;BudgetsTable[[#This Row],[pi_email]]&amp;"&amp;subject=Your NSF Proposal:  "&amp;BudgetsTable[[#This Row],[prop_id]],BudgetsTable[[#This Row],[pi_email]]))</f>
        <v/>
      </c>
      <c r="P425" s="80" t="s">
        <v>13</v>
      </c>
      <c r="Q425" s="80">
        <v>1</v>
      </c>
      <c r="R425" s="80">
        <v>1</v>
      </c>
      <c r="S425" s="81">
        <v>0</v>
      </c>
      <c r="T425" s="81">
        <v>2000</v>
      </c>
      <c r="U425" s="81">
        <v>0</v>
      </c>
      <c r="V425" s="82">
        <v>100831</v>
      </c>
      <c r="W425" s="80">
        <v>0</v>
      </c>
      <c r="X425" s="80">
        <v>2</v>
      </c>
      <c r="Y425" s="11" t="str">
        <f ca="1">IF(ISBLANK(BudgetsTable[[#This Row],[budg_seq_yr]]),"FY"&amp;fiscalyear,"FY"&amp;fiscalyear-1+BudgetsTable[[#This Row],[budg_seq_yr]])</f>
        <v>FY19</v>
      </c>
      <c r="Z425" s="81">
        <v>100831</v>
      </c>
      <c r="AA425" s="80" t="s">
        <v>222</v>
      </c>
      <c r="AB425" s="80" t="s">
        <v>405</v>
      </c>
      <c r="AC425" s="80" t="s">
        <v>411</v>
      </c>
    </row>
    <row r="426" spans="1:29" x14ac:dyDescent="0.4">
      <c r="A426" s="10" t="s">
        <v>365</v>
      </c>
      <c r="B426" s="78" t="s">
        <v>96</v>
      </c>
      <c r="C426" s="78">
        <f>C425+(BudgetsTable[[#This Row],[lead]]&lt;&gt;K425)</f>
        <v>81</v>
      </c>
      <c r="D426" s="78">
        <f>D425*(BudgetsTable[[#This Row],[lead]]=K425)+(BudgetsTable[[#This Row],[prop_id]]&lt;&gt;A425)</f>
        <v>1</v>
      </c>
      <c r="E426" s="79">
        <v>42935.359027777777</v>
      </c>
      <c r="F426" s="80" t="s">
        <v>256</v>
      </c>
      <c r="G426" s="80" t="s">
        <v>222</v>
      </c>
      <c r="H426" s="80" t="s">
        <v>405</v>
      </c>
      <c r="I426" s="78" t="s">
        <v>422</v>
      </c>
      <c r="J426" s="78" t="s">
        <v>13</v>
      </c>
      <c r="K426" s="80" t="s">
        <v>365</v>
      </c>
      <c r="L426" s="7" t="str">
        <f>IF(BudgetsTable[[#This Row],[pi_last_name]]=" ","",HYPERLINK("https://www.ejacket.nsf.gov/ej/showProposal.do?Continue=Y&amp;ID="&amp;BudgetsTable[[#This Row],[prop_id]],BudgetsTable[[#This Row],[prop_id]]))</f>
        <v/>
      </c>
      <c r="M426" s="15" t="str">
        <f>IF(BudgetsTable[[#This Row],[pi_last_name]]=" ","",HYPERLINK("https://www.ejacket.nsf.gov/ej/processReviewAnalysis.do?dispatch=add&amp;uniqId="&amp;BudgetsTable[[#This Row],[prop_id]]&amp;PO_id,"&gt;ra"))</f>
        <v/>
      </c>
      <c r="N426" s="80" t="s">
        <v>13</v>
      </c>
      <c r="O426" s="7" t="str">
        <f>IF(BudgetsTable[[#This Row],[pi_last_name]]=" ","",HYPERLINK("mailto:"&amp;BudgetsTable[[#This Row],[pi_email]]&amp;"&amp;subject=Your NSF Proposal:  "&amp;BudgetsTable[[#This Row],[prop_id]],BudgetsTable[[#This Row],[pi_email]]))</f>
        <v/>
      </c>
      <c r="P426" s="80" t="s">
        <v>13</v>
      </c>
      <c r="Q426" s="80">
        <v>1</v>
      </c>
      <c r="R426" s="80">
        <v>1</v>
      </c>
      <c r="S426" s="81">
        <v>0</v>
      </c>
      <c r="T426" s="81">
        <v>2000</v>
      </c>
      <c r="U426" s="81">
        <v>0</v>
      </c>
      <c r="V426" s="82">
        <v>106222</v>
      </c>
      <c r="W426" s="80">
        <v>0</v>
      </c>
      <c r="X426" s="80">
        <v>3</v>
      </c>
      <c r="Y426" s="11" t="str">
        <f ca="1">IF(ISBLANK(BudgetsTable[[#This Row],[budg_seq_yr]]),"FY"&amp;fiscalyear,"FY"&amp;fiscalyear-1+BudgetsTable[[#This Row],[budg_seq_yr]])</f>
        <v>FY20</v>
      </c>
      <c r="Z426" s="81">
        <v>106222</v>
      </c>
      <c r="AA426" s="80" t="s">
        <v>222</v>
      </c>
      <c r="AB426" s="80" t="s">
        <v>405</v>
      </c>
      <c r="AC426" s="80" t="s">
        <v>411</v>
      </c>
    </row>
    <row r="427" spans="1:29" x14ac:dyDescent="0.4">
      <c r="A427" s="10" t="s">
        <v>365</v>
      </c>
      <c r="B427" s="78" t="s">
        <v>96</v>
      </c>
      <c r="C427" s="78">
        <f>C426+(BudgetsTable[[#This Row],[lead]]&lt;&gt;K426)</f>
        <v>81</v>
      </c>
      <c r="D427" s="78">
        <f>D426*(BudgetsTable[[#This Row],[lead]]=K426)+(BudgetsTable[[#This Row],[prop_id]]&lt;&gt;A426)</f>
        <v>1</v>
      </c>
      <c r="E427" s="79">
        <v>42935.359027777777</v>
      </c>
      <c r="F427" s="80" t="s">
        <v>256</v>
      </c>
      <c r="G427" s="80" t="s">
        <v>222</v>
      </c>
      <c r="H427" s="80" t="s">
        <v>405</v>
      </c>
      <c r="I427" s="78" t="s">
        <v>422</v>
      </c>
      <c r="J427" s="78" t="s">
        <v>13</v>
      </c>
      <c r="K427" s="80" t="s">
        <v>365</v>
      </c>
      <c r="L427" s="7" t="str">
        <f>IF(BudgetsTable[[#This Row],[pi_last_name]]=" ","",HYPERLINK("https://www.ejacket.nsf.gov/ej/showProposal.do?Continue=Y&amp;ID="&amp;BudgetsTable[[#This Row],[prop_id]],BudgetsTable[[#This Row],[prop_id]]))</f>
        <v/>
      </c>
      <c r="M427" s="15" t="str">
        <f>IF(BudgetsTable[[#This Row],[pi_last_name]]=" ","",HYPERLINK("https://www.ejacket.nsf.gov/ej/processReviewAnalysis.do?dispatch=add&amp;uniqId="&amp;BudgetsTable[[#This Row],[prop_id]]&amp;PO_id,"&gt;ra"))</f>
        <v/>
      </c>
      <c r="N427" s="80" t="s">
        <v>13</v>
      </c>
      <c r="O427" s="7" t="str">
        <f>IF(BudgetsTable[[#This Row],[pi_last_name]]=" ","",HYPERLINK("mailto:"&amp;BudgetsTable[[#This Row],[pi_email]]&amp;"&amp;subject=Your NSF Proposal:  "&amp;BudgetsTable[[#This Row],[prop_id]],BudgetsTable[[#This Row],[pi_email]]))</f>
        <v/>
      </c>
      <c r="P427" s="80" t="s">
        <v>13</v>
      </c>
      <c r="Q427" s="80">
        <v>1</v>
      </c>
      <c r="R427" s="80">
        <v>1</v>
      </c>
      <c r="S427" s="81">
        <v>0</v>
      </c>
      <c r="T427" s="81">
        <v>2000</v>
      </c>
      <c r="U427" s="81">
        <v>0</v>
      </c>
      <c r="V427" s="82">
        <v>110517</v>
      </c>
      <c r="W427" s="80">
        <v>0</v>
      </c>
      <c r="X427" s="80">
        <v>4</v>
      </c>
      <c r="Y427" s="11" t="str">
        <f ca="1">IF(ISBLANK(BudgetsTable[[#This Row],[budg_seq_yr]]),"FY"&amp;fiscalyear,"FY"&amp;fiscalyear-1+BudgetsTable[[#This Row],[budg_seq_yr]])</f>
        <v>FY21</v>
      </c>
      <c r="Z427" s="81">
        <v>110517</v>
      </c>
      <c r="AA427" s="80" t="s">
        <v>222</v>
      </c>
      <c r="AB427" s="80" t="s">
        <v>405</v>
      </c>
      <c r="AC427" s="80" t="s">
        <v>411</v>
      </c>
    </row>
    <row r="428" spans="1:29" x14ac:dyDescent="0.4">
      <c r="A428" s="10" t="s">
        <v>365</v>
      </c>
      <c r="B428" s="78" t="s">
        <v>96</v>
      </c>
      <c r="C428" s="78">
        <f>C427+(BudgetsTable[[#This Row],[lead]]&lt;&gt;K427)</f>
        <v>81</v>
      </c>
      <c r="D428" s="78">
        <f>D427*(BudgetsTable[[#This Row],[lead]]=K427)+(BudgetsTable[[#This Row],[prop_id]]&lt;&gt;A427)</f>
        <v>1</v>
      </c>
      <c r="E428" s="79">
        <v>42935.359027777777</v>
      </c>
      <c r="F428" s="80" t="s">
        <v>256</v>
      </c>
      <c r="G428" s="80" t="s">
        <v>222</v>
      </c>
      <c r="H428" s="80" t="s">
        <v>405</v>
      </c>
      <c r="I428" s="78" t="s">
        <v>422</v>
      </c>
      <c r="J428" s="78" t="s">
        <v>13</v>
      </c>
      <c r="K428" s="80" t="s">
        <v>365</v>
      </c>
      <c r="L428" s="7" t="str">
        <f>IF(BudgetsTable[[#This Row],[pi_last_name]]=" ","",HYPERLINK("https://www.ejacket.nsf.gov/ej/showProposal.do?Continue=Y&amp;ID="&amp;BudgetsTable[[#This Row],[prop_id]],BudgetsTable[[#This Row],[prop_id]]))</f>
        <v/>
      </c>
      <c r="M428" s="15" t="str">
        <f>IF(BudgetsTable[[#This Row],[pi_last_name]]=" ","",HYPERLINK("https://www.ejacket.nsf.gov/ej/processReviewAnalysis.do?dispatch=add&amp;uniqId="&amp;BudgetsTable[[#This Row],[prop_id]]&amp;PO_id,"&gt;ra"))</f>
        <v/>
      </c>
      <c r="N428" s="80" t="s">
        <v>13</v>
      </c>
      <c r="O428" s="7" t="str">
        <f>IF(BudgetsTable[[#This Row],[pi_last_name]]=" ","",HYPERLINK("mailto:"&amp;BudgetsTable[[#This Row],[pi_email]]&amp;"&amp;subject=Your NSF Proposal:  "&amp;BudgetsTable[[#This Row],[prop_id]],BudgetsTable[[#This Row],[pi_email]]))</f>
        <v/>
      </c>
      <c r="P428" s="80" t="s">
        <v>13</v>
      </c>
      <c r="Q428" s="80">
        <v>1</v>
      </c>
      <c r="R428" s="80">
        <v>1</v>
      </c>
      <c r="S428" s="81">
        <v>0</v>
      </c>
      <c r="T428" s="81">
        <v>2000</v>
      </c>
      <c r="U428" s="81">
        <v>0</v>
      </c>
      <c r="V428" s="82">
        <v>113296</v>
      </c>
      <c r="W428" s="80">
        <v>0</v>
      </c>
      <c r="X428" s="80">
        <v>5</v>
      </c>
      <c r="Y428" s="11" t="str">
        <f ca="1">IF(ISBLANK(BudgetsTable[[#This Row],[budg_seq_yr]]),"FY"&amp;fiscalyear,"FY"&amp;fiscalyear-1+BudgetsTable[[#This Row],[budg_seq_yr]])</f>
        <v>FY22</v>
      </c>
      <c r="Z428" s="81">
        <v>113296</v>
      </c>
      <c r="AA428" s="80" t="s">
        <v>222</v>
      </c>
      <c r="AB428" s="80" t="s">
        <v>405</v>
      </c>
      <c r="AC428" s="80" t="s">
        <v>411</v>
      </c>
    </row>
    <row r="429" spans="1:29" x14ac:dyDescent="0.4">
      <c r="A429" s="10" t="s">
        <v>366</v>
      </c>
      <c r="B429" s="78" t="s">
        <v>96</v>
      </c>
      <c r="C429" s="78">
        <f>C428+(BudgetsTable[[#This Row],[lead]]&lt;&gt;K428)</f>
        <v>82</v>
      </c>
      <c r="D429" s="78">
        <f>D428*(BudgetsTable[[#This Row],[lead]]=K428)+(BudgetsTable[[#This Row],[prop_id]]&lt;&gt;A428)</f>
        <v>1</v>
      </c>
      <c r="E429" s="79">
        <v>42935.374305555553</v>
      </c>
      <c r="F429" s="80" t="s">
        <v>256</v>
      </c>
      <c r="G429" s="80" t="s">
        <v>222</v>
      </c>
      <c r="H429" s="80" t="s">
        <v>405</v>
      </c>
      <c r="I429" s="78" t="s">
        <v>422</v>
      </c>
      <c r="J429" s="78" t="s">
        <v>485</v>
      </c>
      <c r="K429" s="80" t="s">
        <v>366</v>
      </c>
      <c r="L429" s="7" t="str">
        <f>IF(BudgetsTable[[#This Row],[pi_last_name]]=" ","",HYPERLINK("https://www.ejacket.nsf.gov/ej/showProposal.do?Continue=Y&amp;ID="&amp;BudgetsTable[[#This Row],[prop_id]],BudgetsTable[[#This Row],[prop_id]]))</f>
        <v>1750127</v>
      </c>
      <c r="M429" s="15" t="str">
        <f>IF(BudgetsTable[[#This Row],[pi_last_name]]=" ","",HYPERLINK("https://www.ejacket.nsf.gov/ej/processReviewAnalysis.do?dispatch=add&amp;uniqId="&amp;BudgetsTable[[#This Row],[prop_id]]&amp;PO_id,"&gt;ra"))</f>
        <v>&gt;ra</v>
      </c>
      <c r="N429" s="80" t="s">
        <v>481</v>
      </c>
      <c r="O429" s="7" t="str">
        <f>IF(BudgetsTable[[#This Row],[pi_last_name]]=" ","",HYPERLINK("mailto:"&amp;BudgetsTable[[#This Row],[pi_email]]&amp;"&amp;subject=Your NSF Proposal:  "&amp;BudgetsTable[[#This Row],[prop_id]],BudgetsTable[[#This Row],[pi_email]]))</f>
        <v>viswa@umich.edu</v>
      </c>
      <c r="P429" s="80" t="s">
        <v>483</v>
      </c>
      <c r="Q429" s="80"/>
      <c r="R429" s="80"/>
      <c r="S429" s="81"/>
      <c r="T429" s="81"/>
      <c r="U429" s="81"/>
      <c r="V429" s="82"/>
      <c r="W429" s="80">
        <v>0</v>
      </c>
      <c r="X429" s="80"/>
      <c r="Y429" s="11" t="str">
        <f ca="1">IF(ISBLANK(BudgetsTable[[#This Row],[budg_seq_yr]]),"FY"&amp;fiscalyear,"FY"&amp;fiscalyear-1+BudgetsTable[[#This Row],[budg_seq_yr]])</f>
        <v>FY18</v>
      </c>
      <c r="Z429" s="81">
        <v>524840</v>
      </c>
      <c r="AA429" s="80" t="s">
        <v>222</v>
      </c>
      <c r="AB429" s="80" t="s">
        <v>405</v>
      </c>
      <c r="AC429" s="80" t="s">
        <v>265</v>
      </c>
    </row>
    <row r="430" spans="1:29" x14ac:dyDescent="0.4">
      <c r="A430" s="10" t="s">
        <v>366</v>
      </c>
      <c r="B430" s="78" t="s">
        <v>96</v>
      </c>
      <c r="C430" s="78">
        <f>C429+(BudgetsTable[[#This Row],[lead]]&lt;&gt;K429)</f>
        <v>82</v>
      </c>
      <c r="D430" s="78">
        <f>D429*(BudgetsTable[[#This Row],[lead]]=K429)+(BudgetsTable[[#This Row],[prop_id]]&lt;&gt;A429)</f>
        <v>1</v>
      </c>
      <c r="E430" s="79">
        <v>42935.374305555553</v>
      </c>
      <c r="F430" s="80" t="s">
        <v>256</v>
      </c>
      <c r="G430" s="80" t="s">
        <v>222</v>
      </c>
      <c r="H430" s="80" t="s">
        <v>405</v>
      </c>
      <c r="I430" s="78" t="s">
        <v>422</v>
      </c>
      <c r="J430" s="78" t="s">
        <v>13</v>
      </c>
      <c r="K430" s="80" t="s">
        <v>366</v>
      </c>
      <c r="L430" s="7" t="str">
        <f>IF(BudgetsTable[[#This Row],[pi_last_name]]=" ","",HYPERLINK("https://www.ejacket.nsf.gov/ej/showProposal.do?Continue=Y&amp;ID="&amp;BudgetsTable[[#This Row],[prop_id]],BudgetsTable[[#This Row],[prop_id]]))</f>
        <v/>
      </c>
      <c r="M430" s="15" t="str">
        <f>IF(BudgetsTable[[#This Row],[pi_last_name]]=" ","",HYPERLINK("https://www.ejacket.nsf.gov/ej/processReviewAnalysis.do?dispatch=add&amp;uniqId="&amp;BudgetsTable[[#This Row],[prop_id]]&amp;PO_id,"&gt;ra"))</f>
        <v/>
      </c>
      <c r="N430" s="80" t="s">
        <v>13</v>
      </c>
      <c r="O430" s="7" t="str">
        <f>IF(BudgetsTable[[#This Row],[pi_last_name]]=" ","",HYPERLINK("mailto:"&amp;BudgetsTable[[#This Row],[pi_email]]&amp;"&amp;subject=Your NSF Proposal:  "&amp;BudgetsTable[[#This Row],[prop_id]],BudgetsTable[[#This Row],[pi_email]]))</f>
        <v/>
      </c>
      <c r="P430" s="80" t="s">
        <v>13</v>
      </c>
      <c r="Q430" s="80">
        <v>1</v>
      </c>
      <c r="R430" s="80">
        <v>1</v>
      </c>
      <c r="S430" s="81">
        <v>0</v>
      </c>
      <c r="T430" s="81">
        <v>0</v>
      </c>
      <c r="U430" s="81">
        <v>0</v>
      </c>
      <c r="V430" s="82">
        <v>112867</v>
      </c>
      <c r="W430" s="80">
        <v>0</v>
      </c>
      <c r="X430" s="80">
        <v>1</v>
      </c>
      <c r="Y430" s="11" t="str">
        <f ca="1">IF(ISBLANK(BudgetsTable[[#This Row],[budg_seq_yr]]),"FY"&amp;fiscalyear,"FY"&amp;fiscalyear-1+BudgetsTable[[#This Row],[budg_seq_yr]])</f>
        <v>FY18</v>
      </c>
      <c r="Z430" s="81">
        <v>112867</v>
      </c>
      <c r="AA430" s="80" t="s">
        <v>222</v>
      </c>
      <c r="AB430" s="80" t="s">
        <v>405</v>
      </c>
      <c r="AC430" s="80" t="s">
        <v>265</v>
      </c>
    </row>
    <row r="431" spans="1:29" x14ac:dyDescent="0.4">
      <c r="A431" s="10" t="s">
        <v>366</v>
      </c>
      <c r="B431" s="78" t="s">
        <v>96</v>
      </c>
      <c r="C431" s="78">
        <f>C430+(BudgetsTable[[#This Row],[lead]]&lt;&gt;K430)</f>
        <v>82</v>
      </c>
      <c r="D431" s="78">
        <f>D430*(BudgetsTable[[#This Row],[lead]]=K430)+(BudgetsTable[[#This Row],[prop_id]]&lt;&gt;A430)</f>
        <v>1</v>
      </c>
      <c r="E431" s="79">
        <v>42935.374305555553</v>
      </c>
      <c r="F431" s="80" t="s">
        <v>256</v>
      </c>
      <c r="G431" s="80" t="s">
        <v>222</v>
      </c>
      <c r="H431" s="80" t="s">
        <v>405</v>
      </c>
      <c r="I431" s="78" t="s">
        <v>422</v>
      </c>
      <c r="J431" s="78" t="s">
        <v>13</v>
      </c>
      <c r="K431" s="80" t="s">
        <v>366</v>
      </c>
      <c r="L431" s="7" t="str">
        <f>IF(BudgetsTable[[#This Row],[pi_last_name]]=" ","",HYPERLINK("https://www.ejacket.nsf.gov/ej/showProposal.do?Continue=Y&amp;ID="&amp;BudgetsTable[[#This Row],[prop_id]],BudgetsTable[[#This Row],[prop_id]]))</f>
        <v/>
      </c>
      <c r="M431" s="15" t="str">
        <f>IF(BudgetsTable[[#This Row],[pi_last_name]]=" ","",HYPERLINK("https://www.ejacket.nsf.gov/ej/processReviewAnalysis.do?dispatch=add&amp;uniqId="&amp;BudgetsTable[[#This Row],[prop_id]]&amp;PO_id,"&gt;ra"))</f>
        <v/>
      </c>
      <c r="N431" s="80" t="s">
        <v>13</v>
      </c>
      <c r="O431" s="7" t="str">
        <f>IF(BudgetsTable[[#This Row],[pi_last_name]]=" ","",HYPERLINK("mailto:"&amp;BudgetsTable[[#This Row],[pi_email]]&amp;"&amp;subject=Your NSF Proposal:  "&amp;BudgetsTable[[#This Row],[prop_id]],BudgetsTable[[#This Row],[pi_email]]))</f>
        <v/>
      </c>
      <c r="P431" s="80" t="s">
        <v>13</v>
      </c>
      <c r="Q431" s="80">
        <v>1</v>
      </c>
      <c r="R431" s="80">
        <v>1</v>
      </c>
      <c r="S431" s="81">
        <v>0</v>
      </c>
      <c r="T431" s="81">
        <v>0</v>
      </c>
      <c r="U431" s="81">
        <v>1500</v>
      </c>
      <c r="V431" s="82">
        <v>109361</v>
      </c>
      <c r="W431" s="80">
        <v>0</v>
      </c>
      <c r="X431" s="80">
        <v>2</v>
      </c>
      <c r="Y431" s="11" t="str">
        <f ca="1">IF(ISBLANK(BudgetsTable[[#This Row],[budg_seq_yr]]),"FY"&amp;fiscalyear,"FY"&amp;fiscalyear-1+BudgetsTable[[#This Row],[budg_seq_yr]])</f>
        <v>FY19</v>
      </c>
      <c r="Z431" s="81">
        <v>109361</v>
      </c>
      <c r="AA431" s="80" t="s">
        <v>222</v>
      </c>
      <c r="AB431" s="80" t="s">
        <v>405</v>
      </c>
      <c r="AC431" s="80" t="s">
        <v>265</v>
      </c>
    </row>
    <row r="432" spans="1:29" x14ac:dyDescent="0.4">
      <c r="A432" s="10" t="s">
        <v>366</v>
      </c>
      <c r="B432" s="78" t="s">
        <v>96</v>
      </c>
      <c r="C432" s="78">
        <f>C431+(BudgetsTable[[#This Row],[lead]]&lt;&gt;K431)</f>
        <v>82</v>
      </c>
      <c r="D432" s="78">
        <f>D431*(BudgetsTable[[#This Row],[lead]]=K431)+(BudgetsTable[[#This Row],[prop_id]]&lt;&gt;A431)</f>
        <v>1</v>
      </c>
      <c r="E432" s="79">
        <v>42935.374305555553</v>
      </c>
      <c r="F432" s="80" t="s">
        <v>256</v>
      </c>
      <c r="G432" s="80" t="s">
        <v>222</v>
      </c>
      <c r="H432" s="80" t="s">
        <v>405</v>
      </c>
      <c r="I432" s="78" t="s">
        <v>422</v>
      </c>
      <c r="J432" s="78" t="s">
        <v>13</v>
      </c>
      <c r="K432" s="80" t="s">
        <v>366</v>
      </c>
      <c r="L432" s="7" t="str">
        <f>IF(BudgetsTable[[#This Row],[pi_last_name]]=" ","",HYPERLINK("https://www.ejacket.nsf.gov/ej/showProposal.do?Continue=Y&amp;ID="&amp;BudgetsTable[[#This Row],[prop_id]],BudgetsTable[[#This Row],[prop_id]]))</f>
        <v/>
      </c>
      <c r="M432" s="15" t="str">
        <f>IF(BudgetsTable[[#This Row],[pi_last_name]]=" ","",HYPERLINK("https://www.ejacket.nsf.gov/ej/processReviewAnalysis.do?dispatch=add&amp;uniqId="&amp;BudgetsTable[[#This Row],[prop_id]]&amp;PO_id,"&gt;ra"))</f>
        <v/>
      </c>
      <c r="N432" s="80" t="s">
        <v>13</v>
      </c>
      <c r="O432" s="7" t="str">
        <f>IF(BudgetsTable[[#This Row],[pi_last_name]]=" ","",HYPERLINK("mailto:"&amp;BudgetsTable[[#This Row],[pi_email]]&amp;"&amp;subject=Your NSF Proposal:  "&amp;BudgetsTable[[#This Row],[prop_id]],BudgetsTable[[#This Row],[pi_email]]))</f>
        <v/>
      </c>
      <c r="P432" s="80" t="s">
        <v>13</v>
      </c>
      <c r="Q432" s="80">
        <v>1</v>
      </c>
      <c r="R432" s="80">
        <v>1</v>
      </c>
      <c r="S432" s="81">
        <v>0</v>
      </c>
      <c r="T432" s="81">
        <v>0</v>
      </c>
      <c r="U432" s="81">
        <v>0</v>
      </c>
      <c r="V432" s="82">
        <v>111369</v>
      </c>
      <c r="W432" s="80">
        <v>0</v>
      </c>
      <c r="X432" s="80">
        <v>3</v>
      </c>
      <c r="Y432" s="11" t="str">
        <f ca="1">IF(ISBLANK(BudgetsTable[[#This Row],[budg_seq_yr]]),"FY"&amp;fiscalyear,"FY"&amp;fiscalyear-1+BudgetsTable[[#This Row],[budg_seq_yr]])</f>
        <v>FY20</v>
      </c>
      <c r="Z432" s="81">
        <v>111369</v>
      </c>
      <c r="AA432" s="80" t="s">
        <v>222</v>
      </c>
      <c r="AB432" s="80" t="s">
        <v>405</v>
      </c>
      <c r="AC432" s="80" t="s">
        <v>265</v>
      </c>
    </row>
    <row r="433" spans="1:29" x14ac:dyDescent="0.4">
      <c r="A433" s="10" t="s">
        <v>366</v>
      </c>
      <c r="B433" s="78" t="s">
        <v>96</v>
      </c>
      <c r="C433" s="78">
        <f>C432+(BudgetsTable[[#This Row],[lead]]&lt;&gt;K432)</f>
        <v>82</v>
      </c>
      <c r="D433" s="78">
        <f>D432*(BudgetsTable[[#This Row],[lead]]=K432)+(BudgetsTable[[#This Row],[prop_id]]&lt;&gt;A432)</f>
        <v>1</v>
      </c>
      <c r="E433" s="79">
        <v>42935.374305555553</v>
      </c>
      <c r="F433" s="80" t="s">
        <v>256</v>
      </c>
      <c r="G433" s="80" t="s">
        <v>222</v>
      </c>
      <c r="H433" s="80" t="s">
        <v>405</v>
      </c>
      <c r="I433" s="78" t="s">
        <v>422</v>
      </c>
      <c r="J433" s="78" t="s">
        <v>13</v>
      </c>
      <c r="K433" s="80" t="s">
        <v>366</v>
      </c>
      <c r="L433" s="7" t="str">
        <f>IF(BudgetsTable[[#This Row],[pi_last_name]]=" ","",HYPERLINK("https://www.ejacket.nsf.gov/ej/showProposal.do?Continue=Y&amp;ID="&amp;BudgetsTable[[#This Row],[prop_id]],BudgetsTable[[#This Row],[prop_id]]))</f>
        <v/>
      </c>
      <c r="M433" s="15" t="str">
        <f>IF(BudgetsTable[[#This Row],[pi_last_name]]=" ","",HYPERLINK("https://www.ejacket.nsf.gov/ej/processReviewAnalysis.do?dispatch=add&amp;uniqId="&amp;BudgetsTable[[#This Row],[prop_id]]&amp;PO_id,"&gt;ra"))</f>
        <v/>
      </c>
      <c r="N433" s="80" t="s">
        <v>13</v>
      </c>
      <c r="O433" s="7" t="str">
        <f>IF(BudgetsTable[[#This Row],[pi_last_name]]=" ","",HYPERLINK("mailto:"&amp;BudgetsTable[[#This Row],[pi_email]]&amp;"&amp;subject=Your NSF Proposal:  "&amp;BudgetsTable[[#This Row],[prop_id]],BudgetsTable[[#This Row],[pi_email]]))</f>
        <v/>
      </c>
      <c r="P433" s="80" t="s">
        <v>13</v>
      </c>
      <c r="Q433" s="80">
        <v>1</v>
      </c>
      <c r="R433" s="80">
        <v>1</v>
      </c>
      <c r="S433" s="81">
        <v>0</v>
      </c>
      <c r="T433" s="81">
        <v>0</v>
      </c>
      <c r="U433" s="81">
        <v>1500</v>
      </c>
      <c r="V433" s="82">
        <v>94898</v>
      </c>
      <c r="W433" s="80">
        <v>0</v>
      </c>
      <c r="X433" s="80">
        <v>4</v>
      </c>
      <c r="Y433" s="11" t="str">
        <f ca="1">IF(ISBLANK(BudgetsTable[[#This Row],[budg_seq_yr]]),"FY"&amp;fiscalyear,"FY"&amp;fiscalyear-1+BudgetsTable[[#This Row],[budg_seq_yr]])</f>
        <v>FY21</v>
      </c>
      <c r="Z433" s="81">
        <v>94898</v>
      </c>
      <c r="AA433" s="80" t="s">
        <v>222</v>
      </c>
      <c r="AB433" s="80" t="s">
        <v>405</v>
      </c>
      <c r="AC433" s="80" t="s">
        <v>265</v>
      </c>
    </row>
    <row r="434" spans="1:29" x14ac:dyDescent="0.4">
      <c r="A434" s="10" t="s">
        <v>366</v>
      </c>
      <c r="B434" s="78" t="s">
        <v>96</v>
      </c>
      <c r="C434" s="78">
        <f>C433+(BudgetsTable[[#This Row],[lead]]&lt;&gt;K433)</f>
        <v>82</v>
      </c>
      <c r="D434" s="78">
        <f>D433*(BudgetsTable[[#This Row],[lead]]=K433)+(BudgetsTable[[#This Row],[prop_id]]&lt;&gt;A433)</f>
        <v>1</v>
      </c>
      <c r="E434" s="79">
        <v>42935.374305555553</v>
      </c>
      <c r="F434" s="80" t="s">
        <v>256</v>
      </c>
      <c r="G434" s="80" t="s">
        <v>222</v>
      </c>
      <c r="H434" s="80" t="s">
        <v>405</v>
      </c>
      <c r="I434" s="78" t="s">
        <v>422</v>
      </c>
      <c r="J434" s="78" t="s">
        <v>13</v>
      </c>
      <c r="K434" s="80" t="s">
        <v>366</v>
      </c>
      <c r="L434" s="7" t="str">
        <f>IF(BudgetsTable[[#This Row],[pi_last_name]]=" ","",HYPERLINK("https://www.ejacket.nsf.gov/ej/showProposal.do?Continue=Y&amp;ID="&amp;BudgetsTable[[#This Row],[prop_id]],BudgetsTable[[#This Row],[prop_id]]))</f>
        <v/>
      </c>
      <c r="M434" s="15" t="str">
        <f>IF(BudgetsTable[[#This Row],[pi_last_name]]=" ","",HYPERLINK("https://www.ejacket.nsf.gov/ej/processReviewAnalysis.do?dispatch=add&amp;uniqId="&amp;BudgetsTable[[#This Row],[prop_id]]&amp;PO_id,"&gt;ra"))</f>
        <v/>
      </c>
      <c r="N434" s="80" t="s">
        <v>13</v>
      </c>
      <c r="O434" s="7" t="str">
        <f>IF(BudgetsTable[[#This Row],[pi_last_name]]=" ","",HYPERLINK("mailto:"&amp;BudgetsTable[[#This Row],[pi_email]]&amp;"&amp;subject=Your NSF Proposal:  "&amp;BudgetsTable[[#This Row],[prop_id]],BudgetsTable[[#This Row],[pi_email]]))</f>
        <v/>
      </c>
      <c r="P434" s="80" t="s">
        <v>13</v>
      </c>
      <c r="Q434" s="80">
        <v>1</v>
      </c>
      <c r="R434" s="80">
        <v>1</v>
      </c>
      <c r="S434" s="81">
        <v>0</v>
      </c>
      <c r="T434" s="81">
        <v>0</v>
      </c>
      <c r="U434" s="81">
        <v>0</v>
      </c>
      <c r="V434" s="82">
        <v>96345</v>
      </c>
      <c r="W434" s="80">
        <v>0</v>
      </c>
      <c r="X434" s="80">
        <v>5</v>
      </c>
      <c r="Y434" s="11" t="str">
        <f ca="1">IF(ISBLANK(BudgetsTable[[#This Row],[budg_seq_yr]]),"FY"&amp;fiscalyear,"FY"&amp;fiscalyear-1+BudgetsTable[[#This Row],[budg_seq_yr]])</f>
        <v>FY22</v>
      </c>
      <c r="Z434" s="81">
        <v>96345</v>
      </c>
      <c r="AA434" s="80" t="s">
        <v>222</v>
      </c>
      <c r="AB434" s="80" t="s">
        <v>405</v>
      </c>
      <c r="AC434" s="80" t="s">
        <v>265</v>
      </c>
    </row>
    <row r="435" spans="1:29" x14ac:dyDescent="0.4">
      <c r="A435" s="10" t="s">
        <v>367</v>
      </c>
      <c r="B435" s="78" t="s">
        <v>96</v>
      </c>
      <c r="C435" s="78">
        <f>C434+(BudgetsTable[[#This Row],[lead]]&lt;&gt;K434)</f>
        <v>83</v>
      </c>
      <c r="D435" s="78">
        <f>D434*(BudgetsTable[[#This Row],[lead]]=K434)+(BudgetsTable[[#This Row],[prop_id]]&lt;&gt;A434)</f>
        <v>1</v>
      </c>
      <c r="E435" s="79">
        <v>42935.387499999997</v>
      </c>
      <c r="F435" s="80" t="s">
        <v>256</v>
      </c>
      <c r="G435" s="80" t="s">
        <v>222</v>
      </c>
      <c r="H435" s="80" t="s">
        <v>405</v>
      </c>
      <c r="I435" s="78" t="s">
        <v>422</v>
      </c>
      <c r="J435" s="78" t="s">
        <v>492</v>
      </c>
      <c r="K435" s="80" t="s">
        <v>367</v>
      </c>
      <c r="L435" s="7" t="str">
        <f>IF(BudgetsTable[[#This Row],[pi_last_name]]=" ","",HYPERLINK("https://www.ejacket.nsf.gov/ej/showProposal.do?Continue=Y&amp;ID="&amp;BudgetsTable[[#This Row],[prop_id]],BudgetsTable[[#This Row],[prop_id]]))</f>
        <v>1750140</v>
      </c>
      <c r="M435" s="15" t="str">
        <f>IF(BudgetsTable[[#This Row],[pi_last_name]]=" ","",HYPERLINK("https://www.ejacket.nsf.gov/ej/processReviewAnalysis.do?dispatch=add&amp;uniqId="&amp;BudgetsTable[[#This Row],[prop_id]]&amp;PO_id,"&gt;ra"))</f>
        <v>&gt;ra</v>
      </c>
      <c r="N435" s="80" t="s">
        <v>488</v>
      </c>
      <c r="O435" s="7" t="str">
        <f>IF(BudgetsTable[[#This Row],[pi_last_name]]=" ","",HYPERLINK("mailto:"&amp;BudgetsTable[[#This Row],[pi_email]]&amp;"&amp;subject=Your NSF Proposal:  "&amp;BudgetsTable[[#This Row],[prop_id]],BudgetsTable[[#This Row],[pi_email]]))</f>
        <v>debmalya.panigrahi@gmail.com</v>
      </c>
      <c r="P435" s="80" t="s">
        <v>490</v>
      </c>
      <c r="Q435" s="80"/>
      <c r="R435" s="80"/>
      <c r="S435" s="81"/>
      <c r="T435" s="81"/>
      <c r="U435" s="81"/>
      <c r="V435" s="82"/>
      <c r="W435" s="80">
        <v>0</v>
      </c>
      <c r="X435" s="80"/>
      <c r="Y435" s="11" t="str">
        <f ca="1">IF(ISBLANK(BudgetsTable[[#This Row],[budg_seq_yr]]),"FY"&amp;fiscalyear,"FY"&amp;fiscalyear-1+BudgetsTable[[#This Row],[budg_seq_yr]])</f>
        <v>FY18</v>
      </c>
      <c r="Z435" s="81">
        <v>602288</v>
      </c>
      <c r="AA435" s="80" t="s">
        <v>222</v>
      </c>
      <c r="AB435" s="80" t="s">
        <v>405</v>
      </c>
      <c r="AC435" s="80" t="s">
        <v>411</v>
      </c>
    </row>
    <row r="436" spans="1:29" x14ac:dyDescent="0.4">
      <c r="A436" s="10" t="s">
        <v>367</v>
      </c>
      <c r="B436" s="78" t="s">
        <v>96</v>
      </c>
      <c r="C436" s="78">
        <f>C435+(BudgetsTable[[#This Row],[lead]]&lt;&gt;K435)</f>
        <v>83</v>
      </c>
      <c r="D436" s="78">
        <f>D435*(BudgetsTable[[#This Row],[lead]]=K435)+(BudgetsTable[[#This Row],[prop_id]]&lt;&gt;A435)</f>
        <v>1</v>
      </c>
      <c r="E436" s="79">
        <v>42935.387499999997</v>
      </c>
      <c r="F436" s="80" t="s">
        <v>256</v>
      </c>
      <c r="G436" s="80" t="s">
        <v>222</v>
      </c>
      <c r="H436" s="80" t="s">
        <v>405</v>
      </c>
      <c r="I436" s="78" t="s">
        <v>422</v>
      </c>
      <c r="J436" s="78" t="s">
        <v>13</v>
      </c>
      <c r="K436" s="80" t="s">
        <v>367</v>
      </c>
      <c r="L436" s="7" t="str">
        <f>IF(BudgetsTable[[#This Row],[pi_last_name]]=" ","",HYPERLINK("https://www.ejacket.nsf.gov/ej/showProposal.do?Continue=Y&amp;ID="&amp;BudgetsTable[[#This Row],[prop_id]],BudgetsTable[[#This Row],[prop_id]]))</f>
        <v/>
      </c>
      <c r="M436" s="15" t="str">
        <f>IF(BudgetsTable[[#This Row],[pi_last_name]]=" ","",HYPERLINK("https://www.ejacket.nsf.gov/ej/processReviewAnalysis.do?dispatch=add&amp;uniqId="&amp;BudgetsTable[[#This Row],[prop_id]]&amp;PO_id,"&gt;ra"))</f>
        <v/>
      </c>
      <c r="N436" s="80" t="s">
        <v>13</v>
      </c>
      <c r="O436" s="7" t="str">
        <f>IF(BudgetsTable[[#This Row],[pi_last_name]]=" ","",HYPERLINK("mailto:"&amp;BudgetsTable[[#This Row],[pi_email]]&amp;"&amp;subject=Your NSF Proposal:  "&amp;BudgetsTable[[#This Row],[prop_id]],BudgetsTable[[#This Row],[pi_email]]))</f>
        <v/>
      </c>
      <c r="P436" s="80" t="s">
        <v>13</v>
      </c>
      <c r="Q436" s="80">
        <v>1</v>
      </c>
      <c r="R436" s="80">
        <v>1</v>
      </c>
      <c r="S436" s="81">
        <v>0</v>
      </c>
      <c r="T436" s="81">
        <v>4000</v>
      </c>
      <c r="U436" s="81">
        <v>16000</v>
      </c>
      <c r="V436" s="82">
        <v>116624</v>
      </c>
      <c r="W436" s="80">
        <v>0</v>
      </c>
      <c r="X436" s="80">
        <v>1</v>
      </c>
      <c r="Y436" s="11" t="str">
        <f ca="1">IF(ISBLANK(BudgetsTable[[#This Row],[budg_seq_yr]]),"FY"&amp;fiscalyear,"FY"&amp;fiscalyear-1+BudgetsTable[[#This Row],[budg_seq_yr]])</f>
        <v>FY18</v>
      </c>
      <c r="Z436" s="81">
        <v>116624</v>
      </c>
      <c r="AA436" s="80" t="s">
        <v>222</v>
      </c>
      <c r="AB436" s="80" t="s">
        <v>405</v>
      </c>
      <c r="AC436" s="80" t="s">
        <v>411</v>
      </c>
    </row>
    <row r="437" spans="1:29" x14ac:dyDescent="0.4">
      <c r="A437" s="10" t="s">
        <v>367</v>
      </c>
      <c r="B437" s="78" t="s">
        <v>96</v>
      </c>
      <c r="C437" s="78">
        <f>C436+(BudgetsTable[[#This Row],[lead]]&lt;&gt;K436)</f>
        <v>83</v>
      </c>
      <c r="D437" s="78">
        <f>D436*(BudgetsTable[[#This Row],[lead]]=K436)+(BudgetsTable[[#This Row],[prop_id]]&lt;&gt;A436)</f>
        <v>1</v>
      </c>
      <c r="E437" s="79">
        <v>42935.387499999997</v>
      </c>
      <c r="F437" s="80" t="s">
        <v>256</v>
      </c>
      <c r="G437" s="80" t="s">
        <v>222</v>
      </c>
      <c r="H437" s="80" t="s">
        <v>405</v>
      </c>
      <c r="I437" s="78" t="s">
        <v>422</v>
      </c>
      <c r="J437" s="78" t="s">
        <v>13</v>
      </c>
      <c r="K437" s="80" t="s">
        <v>367</v>
      </c>
      <c r="L437" s="7" t="str">
        <f>IF(BudgetsTable[[#This Row],[pi_last_name]]=" ","",HYPERLINK("https://www.ejacket.nsf.gov/ej/showProposal.do?Continue=Y&amp;ID="&amp;BudgetsTable[[#This Row],[prop_id]],BudgetsTable[[#This Row],[prop_id]]))</f>
        <v/>
      </c>
      <c r="M437" s="15" t="str">
        <f>IF(BudgetsTable[[#This Row],[pi_last_name]]=" ","",HYPERLINK("https://www.ejacket.nsf.gov/ej/processReviewAnalysis.do?dispatch=add&amp;uniqId="&amp;BudgetsTable[[#This Row],[prop_id]]&amp;PO_id,"&gt;ra"))</f>
        <v/>
      </c>
      <c r="N437" s="80" t="s">
        <v>13</v>
      </c>
      <c r="O437" s="7" t="str">
        <f>IF(BudgetsTable[[#This Row],[pi_last_name]]=" ","",HYPERLINK("mailto:"&amp;BudgetsTable[[#This Row],[pi_email]]&amp;"&amp;subject=Your NSF Proposal:  "&amp;BudgetsTable[[#This Row],[prop_id]],BudgetsTable[[#This Row],[pi_email]]))</f>
        <v/>
      </c>
      <c r="P437" s="80" t="s">
        <v>13</v>
      </c>
      <c r="Q437" s="80">
        <v>1</v>
      </c>
      <c r="R437" s="80">
        <v>1</v>
      </c>
      <c r="S437" s="81">
        <v>0</v>
      </c>
      <c r="T437" s="81">
        <v>4100</v>
      </c>
      <c r="U437" s="81">
        <v>0</v>
      </c>
      <c r="V437" s="82">
        <v>103527</v>
      </c>
      <c r="W437" s="80">
        <v>0</v>
      </c>
      <c r="X437" s="80">
        <v>2</v>
      </c>
      <c r="Y437" s="11" t="str">
        <f ca="1">IF(ISBLANK(BudgetsTable[[#This Row],[budg_seq_yr]]),"FY"&amp;fiscalyear,"FY"&amp;fiscalyear-1+BudgetsTable[[#This Row],[budg_seq_yr]])</f>
        <v>FY19</v>
      </c>
      <c r="Z437" s="81">
        <v>103527</v>
      </c>
      <c r="AA437" s="80" t="s">
        <v>222</v>
      </c>
      <c r="AB437" s="80" t="s">
        <v>405</v>
      </c>
      <c r="AC437" s="80" t="s">
        <v>411</v>
      </c>
    </row>
    <row r="438" spans="1:29" x14ac:dyDescent="0.4">
      <c r="A438" s="10" t="s">
        <v>367</v>
      </c>
      <c r="B438" s="78" t="s">
        <v>96</v>
      </c>
      <c r="C438" s="78">
        <f>C437+(BudgetsTable[[#This Row],[lead]]&lt;&gt;K437)</f>
        <v>83</v>
      </c>
      <c r="D438" s="78">
        <f>D437*(BudgetsTable[[#This Row],[lead]]=K437)+(BudgetsTable[[#This Row],[prop_id]]&lt;&gt;A437)</f>
        <v>1</v>
      </c>
      <c r="E438" s="79">
        <v>42935.387499999997</v>
      </c>
      <c r="F438" s="80" t="s">
        <v>256</v>
      </c>
      <c r="G438" s="80" t="s">
        <v>222</v>
      </c>
      <c r="H438" s="80" t="s">
        <v>405</v>
      </c>
      <c r="I438" s="78" t="s">
        <v>422</v>
      </c>
      <c r="J438" s="78" t="s">
        <v>13</v>
      </c>
      <c r="K438" s="80" t="s">
        <v>367</v>
      </c>
      <c r="L438" s="7" t="str">
        <f>IF(BudgetsTable[[#This Row],[pi_last_name]]=" ","",HYPERLINK("https://www.ejacket.nsf.gov/ej/showProposal.do?Continue=Y&amp;ID="&amp;BudgetsTable[[#This Row],[prop_id]],BudgetsTable[[#This Row],[prop_id]]))</f>
        <v/>
      </c>
      <c r="M438" s="15" t="str">
        <f>IF(BudgetsTable[[#This Row],[pi_last_name]]=" ","",HYPERLINK("https://www.ejacket.nsf.gov/ej/processReviewAnalysis.do?dispatch=add&amp;uniqId="&amp;BudgetsTable[[#This Row],[prop_id]]&amp;PO_id,"&gt;ra"))</f>
        <v/>
      </c>
      <c r="N438" s="80" t="s">
        <v>13</v>
      </c>
      <c r="O438" s="7" t="str">
        <f>IF(BudgetsTable[[#This Row],[pi_last_name]]=" ","",HYPERLINK("mailto:"&amp;BudgetsTable[[#This Row],[pi_email]]&amp;"&amp;subject=Your NSF Proposal:  "&amp;BudgetsTable[[#This Row],[prop_id]],BudgetsTable[[#This Row],[pi_email]]))</f>
        <v/>
      </c>
      <c r="P438" s="80" t="s">
        <v>13</v>
      </c>
      <c r="Q438" s="80">
        <v>1</v>
      </c>
      <c r="R438" s="80">
        <v>1</v>
      </c>
      <c r="S438" s="81">
        <v>0</v>
      </c>
      <c r="T438" s="81">
        <v>4203</v>
      </c>
      <c r="U438" s="81">
        <v>0</v>
      </c>
      <c r="V438" s="82">
        <v>106655</v>
      </c>
      <c r="W438" s="80">
        <v>0</v>
      </c>
      <c r="X438" s="80">
        <v>3</v>
      </c>
      <c r="Y438" s="11" t="str">
        <f ca="1">IF(ISBLANK(BudgetsTable[[#This Row],[budg_seq_yr]]),"FY"&amp;fiscalyear,"FY"&amp;fiscalyear-1+BudgetsTable[[#This Row],[budg_seq_yr]])</f>
        <v>FY20</v>
      </c>
      <c r="Z438" s="81">
        <v>106655</v>
      </c>
      <c r="AA438" s="80" t="s">
        <v>222</v>
      </c>
      <c r="AB438" s="80" t="s">
        <v>405</v>
      </c>
      <c r="AC438" s="80" t="s">
        <v>411</v>
      </c>
    </row>
    <row r="439" spans="1:29" x14ac:dyDescent="0.4">
      <c r="A439" s="10" t="s">
        <v>367</v>
      </c>
      <c r="B439" s="78" t="s">
        <v>96</v>
      </c>
      <c r="C439" s="78">
        <f>C438+(BudgetsTable[[#This Row],[lead]]&lt;&gt;K438)</f>
        <v>83</v>
      </c>
      <c r="D439" s="78">
        <f>D438*(BudgetsTable[[#This Row],[lead]]=K438)+(BudgetsTable[[#This Row],[prop_id]]&lt;&gt;A438)</f>
        <v>1</v>
      </c>
      <c r="E439" s="79">
        <v>42935.387499999997</v>
      </c>
      <c r="F439" s="80" t="s">
        <v>256</v>
      </c>
      <c r="G439" s="80" t="s">
        <v>222</v>
      </c>
      <c r="H439" s="80" t="s">
        <v>405</v>
      </c>
      <c r="I439" s="78" t="s">
        <v>422</v>
      </c>
      <c r="J439" s="78" t="s">
        <v>13</v>
      </c>
      <c r="K439" s="80" t="s">
        <v>367</v>
      </c>
      <c r="L439" s="7" t="str">
        <f>IF(BudgetsTable[[#This Row],[pi_last_name]]=" ","",HYPERLINK("https://www.ejacket.nsf.gov/ej/showProposal.do?Continue=Y&amp;ID="&amp;BudgetsTable[[#This Row],[prop_id]],BudgetsTable[[#This Row],[prop_id]]))</f>
        <v/>
      </c>
      <c r="M439" s="15" t="str">
        <f>IF(BudgetsTable[[#This Row],[pi_last_name]]=" ","",HYPERLINK("https://www.ejacket.nsf.gov/ej/processReviewAnalysis.do?dispatch=add&amp;uniqId="&amp;BudgetsTable[[#This Row],[prop_id]]&amp;PO_id,"&gt;ra"))</f>
        <v/>
      </c>
      <c r="N439" s="80" t="s">
        <v>13</v>
      </c>
      <c r="O439" s="7" t="str">
        <f>IF(BudgetsTable[[#This Row],[pi_last_name]]=" ","",HYPERLINK("mailto:"&amp;BudgetsTable[[#This Row],[pi_email]]&amp;"&amp;subject=Your NSF Proposal:  "&amp;BudgetsTable[[#This Row],[prop_id]],BudgetsTable[[#This Row],[pi_email]]))</f>
        <v/>
      </c>
      <c r="P439" s="80" t="s">
        <v>13</v>
      </c>
      <c r="Q439" s="80">
        <v>1</v>
      </c>
      <c r="R439" s="80">
        <v>2</v>
      </c>
      <c r="S439" s="81">
        <v>0</v>
      </c>
      <c r="T439" s="81">
        <v>4308</v>
      </c>
      <c r="U439" s="81">
        <v>0</v>
      </c>
      <c r="V439" s="82">
        <v>135919</v>
      </c>
      <c r="W439" s="80">
        <v>0</v>
      </c>
      <c r="X439" s="80">
        <v>4</v>
      </c>
      <c r="Y439" s="11" t="str">
        <f ca="1">IF(ISBLANK(BudgetsTable[[#This Row],[budg_seq_yr]]),"FY"&amp;fiscalyear,"FY"&amp;fiscalyear-1+BudgetsTable[[#This Row],[budg_seq_yr]])</f>
        <v>FY21</v>
      </c>
      <c r="Z439" s="81">
        <v>135919</v>
      </c>
      <c r="AA439" s="80" t="s">
        <v>222</v>
      </c>
      <c r="AB439" s="80" t="s">
        <v>405</v>
      </c>
      <c r="AC439" s="80" t="s">
        <v>411</v>
      </c>
    </row>
    <row r="440" spans="1:29" x14ac:dyDescent="0.4">
      <c r="A440" s="10" t="s">
        <v>367</v>
      </c>
      <c r="B440" s="78" t="s">
        <v>96</v>
      </c>
      <c r="C440" s="78">
        <f>C439+(BudgetsTable[[#This Row],[lead]]&lt;&gt;K439)</f>
        <v>83</v>
      </c>
      <c r="D440" s="78">
        <f>D439*(BudgetsTable[[#This Row],[lead]]=K439)+(BudgetsTable[[#This Row],[prop_id]]&lt;&gt;A439)</f>
        <v>1</v>
      </c>
      <c r="E440" s="79">
        <v>42935.387499999997</v>
      </c>
      <c r="F440" s="80" t="s">
        <v>256</v>
      </c>
      <c r="G440" s="80" t="s">
        <v>222</v>
      </c>
      <c r="H440" s="80" t="s">
        <v>405</v>
      </c>
      <c r="I440" s="78" t="s">
        <v>422</v>
      </c>
      <c r="J440" s="78" t="s">
        <v>13</v>
      </c>
      <c r="K440" s="80" t="s">
        <v>367</v>
      </c>
      <c r="L440" s="7" t="str">
        <f>IF(BudgetsTable[[#This Row],[pi_last_name]]=" ","",HYPERLINK("https://www.ejacket.nsf.gov/ej/showProposal.do?Continue=Y&amp;ID="&amp;BudgetsTable[[#This Row],[prop_id]],BudgetsTable[[#This Row],[prop_id]]))</f>
        <v/>
      </c>
      <c r="M440" s="15" t="str">
        <f>IF(BudgetsTable[[#This Row],[pi_last_name]]=" ","",HYPERLINK("https://www.ejacket.nsf.gov/ej/processReviewAnalysis.do?dispatch=add&amp;uniqId="&amp;BudgetsTable[[#This Row],[prop_id]]&amp;PO_id,"&gt;ra"))</f>
        <v/>
      </c>
      <c r="N440" s="80" t="s">
        <v>13</v>
      </c>
      <c r="O440" s="7" t="str">
        <f>IF(BudgetsTable[[#This Row],[pi_last_name]]=" ","",HYPERLINK("mailto:"&amp;BudgetsTable[[#This Row],[pi_email]]&amp;"&amp;subject=Your NSF Proposal:  "&amp;BudgetsTable[[#This Row],[prop_id]],BudgetsTable[[#This Row],[pi_email]]))</f>
        <v/>
      </c>
      <c r="P440" s="80" t="s">
        <v>13</v>
      </c>
      <c r="Q440" s="80">
        <v>1</v>
      </c>
      <c r="R440" s="80">
        <v>2</v>
      </c>
      <c r="S440" s="81">
        <v>0</v>
      </c>
      <c r="T440" s="81">
        <v>4415</v>
      </c>
      <c r="U440" s="81">
        <v>0</v>
      </c>
      <c r="V440" s="82">
        <v>139563</v>
      </c>
      <c r="W440" s="80">
        <v>0</v>
      </c>
      <c r="X440" s="80">
        <v>5</v>
      </c>
      <c r="Y440" s="11" t="str">
        <f ca="1">IF(ISBLANK(BudgetsTable[[#This Row],[budg_seq_yr]]),"FY"&amp;fiscalyear,"FY"&amp;fiscalyear-1+BudgetsTable[[#This Row],[budg_seq_yr]])</f>
        <v>FY22</v>
      </c>
      <c r="Z440" s="81">
        <v>139563</v>
      </c>
      <c r="AA440" s="80" t="s">
        <v>222</v>
      </c>
      <c r="AB440" s="80" t="s">
        <v>405</v>
      </c>
      <c r="AC440" s="80" t="s">
        <v>411</v>
      </c>
    </row>
    <row r="441" spans="1:29" x14ac:dyDescent="0.4">
      <c r="A441" s="10" t="s">
        <v>368</v>
      </c>
      <c r="B441" s="78" t="s">
        <v>96</v>
      </c>
      <c r="C441" s="78">
        <f>C440+(BudgetsTable[[#This Row],[lead]]&lt;&gt;K440)</f>
        <v>84</v>
      </c>
      <c r="D441" s="78">
        <f>D440*(BudgetsTable[[#This Row],[lead]]=K440)+(BudgetsTable[[#This Row],[prop_id]]&lt;&gt;A440)</f>
        <v>1</v>
      </c>
      <c r="E441" s="79">
        <v>42935.475694444445</v>
      </c>
      <c r="F441" s="80" t="s">
        <v>256</v>
      </c>
      <c r="G441" s="80" t="s">
        <v>222</v>
      </c>
      <c r="H441" s="80" t="s">
        <v>405</v>
      </c>
      <c r="I441" s="78" t="s">
        <v>422</v>
      </c>
      <c r="J441" s="78" t="s">
        <v>496</v>
      </c>
      <c r="K441" s="80" t="s">
        <v>368</v>
      </c>
      <c r="L441" s="7" t="str">
        <f>IF(BudgetsTable[[#This Row],[pi_last_name]]=" ","",HYPERLINK("https://www.ejacket.nsf.gov/ej/showProposal.do?Continue=Y&amp;ID="&amp;BudgetsTable[[#This Row],[prop_id]],BudgetsTable[[#This Row],[prop_id]]))</f>
        <v>1750302</v>
      </c>
      <c r="M441" s="15" t="str">
        <f>IF(BudgetsTable[[#This Row],[pi_last_name]]=" ","",HYPERLINK("https://www.ejacket.nsf.gov/ej/processReviewAnalysis.do?dispatch=add&amp;uniqId="&amp;BudgetsTable[[#This Row],[prop_id]]&amp;PO_id,"&gt;ra"))</f>
        <v>&gt;ra</v>
      </c>
      <c r="N441" s="80" t="s">
        <v>494</v>
      </c>
      <c r="O441" s="7" t="str">
        <f>IF(BudgetsTable[[#This Row],[pi_last_name]]=" ","",HYPERLINK("mailto:"&amp;BudgetsTable[[#This Row],[pi_email]]&amp;"&amp;subject=Your NSF Proposal:  "&amp;BudgetsTable[[#This Row],[prop_id]],BudgetsTable[[#This Row],[pi_email]]))</f>
        <v>mdinitz@cs.jhu.edu</v>
      </c>
      <c r="P441" s="80" t="s">
        <v>495</v>
      </c>
      <c r="Q441" s="80"/>
      <c r="R441" s="80"/>
      <c r="S441" s="81"/>
      <c r="T441" s="81"/>
      <c r="U441" s="81"/>
      <c r="V441" s="82"/>
      <c r="W441" s="80">
        <v>0</v>
      </c>
      <c r="X441" s="80"/>
      <c r="Y441" s="11" t="str">
        <f ca="1">IF(ISBLANK(BudgetsTable[[#This Row],[budg_seq_yr]]),"FY"&amp;fiscalyear,"FY"&amp;fiscalyear-1+BudgetsTable[[#This Row],[budg_seq_yr]])</f>
        <v>FY18</v>
      </c>
      <c r="Z441" s="81">
        <v>507459</v>
      </c>
      <c r="AA441" s="80" t="s">
        <v>222</v>
      </c>
      <c r="AB441" s="80" t="s">
        <v>405</v>
      </c>
      <c r="AC441" s="80" t="s">
        <v>411</v>
      </c>
    </row>
    <row r="442" spans="1:29" x14ac:dyDescent="0.4">
      <c r="A442" s="10" t="s">
        <v>368</v>
      </c>
      <c r="B442" s="78" t="s">
        <v>96</v>
      </c>
      <c r="C442" s="78">
        <f>C441+(BudgetsTable[[#This Row],[lead]]&lt;&gt;K441)</f>
        <v>84</v>
      </c>
      <c r="D442" s="78">
        <f>D441*(BudgetsTable[[#This Row],[lead]]=K441)+(BudgetsTable[[#This Row],[prop_id]]&lt;&gt;A441)</f>
        <v>1</v>
      </c>
      <c r="E442" s="79">
        <v>42935.475694444445</v>
      </c>
      <c r="F442" s="80" t="s">
        <v>256</v>
      </c>
      <c r="G442" s="80" t="s">
        <v>222</v>
      </c>
      <c r="H442" s="80" t="s">
        <v>405</v>
      </c>
      <c r="I442" s="78" t="s">
        <v>422</v>
      </c>
      <c r="J442" s="78" t="s">
        <v>13</v>
      </c>
      <c r="K442" s="80" t="s">
        <v>368</v>
      </c>
      <c r="L442" s="7" t="str">
        <f>IF(BudgetsTable[[#This Row],[pi_last_name]]=" ","",HYPERLINK("https://www.ejacket.nsf.gov/ej/showProposal.do?Continue=Y&amp;ID="&amp;BudgetsTable[[#This Row],[prop_id]],BudgetsTable[[#This Row],[prop_id]]))</f>
        <v/>
      </c>
      <c r="M442" s="15" t="str">
        <f>IF(BudgetsTable[[#This Row],[pi_last_name]]=" ","",HYPERLINK("https://www.ejacket.nsf.gov/ej/processReviewAnalysis.do?dispatch=add&amp;uniqId="&amp;BudgetsTable[[#This Row],[prop_id]]&amp;PO_id,"&gt;ra"))</f>
        <v/>
      </c>
      <c r="N442" s="80" t="s">
        <v>13</v>
      </c>
      <c r="O442" s="7" t="str">
        <f>IF(BudgetsTable[[#This Row],[pi_last_name]]=" ","",HYPERLINK("mailto:"&amp;BudgetsTable[[#This Row],[pi_email]]&amp;"&amp;subject=Your NSF Proposal:  "&amp;BudgetsTable[[#This Row],[prop_id]],BudgetsTable[[#This Row],[pi_email]]))</f>
        <v/>
      </c>
      <c r="P442" s="80" t="s">
        <v>13</v>
      </c>
      <c r="Q442" s="80">
        <v>1</v>
      </c>
      <c r="R442" s="80">
        <v>0</v>
      </c>
      <c r="S442" s="81">
        <v>0</v>
      </c>
      <c r="T442" s="81">
        <v>2100</v>
      </c>
      <c r="U442" s="81">
        <v>0</v>
      </c>
      <c r="V442" s="82">
        <v>102907</v>
      </c>
      <c r="W442" s="80">
        <v>0</v>
      </c>
      <c r="X442" s="80">
        <v>1</v>
      </c>
      <c r="Y442" s="11" t="str">
        <f ca="1">IF(ISBLANK(BudgetsTable[[#This Row],[budg_seq_yr]]),"FY"&amp;fiscalyear,"FY"&amp;fiscalyear-1+BudgetsTable[[#This Row],[budg_seq_yr]])</f>
        <v>FY18</v>
      </c>
      <c r="Z442" s="81">
        <v>102907</v>
      </c>
      <c r="AA442" s="80" t="s">
        <v>222</v>
      </c>
      <c r="AB442" s="80" t="s">
        <v>405</v>
      </c>
      <c r="AC442" s="80" t="s">
        <v>411</v>
      </c>
    </row>
    <row r="443" spans="1:29" x14ac:dyDescent="0.4">
      <c r="A443" s="10" t="s">
        <v>368</v>
      </c>
      <c r="B443" s="78" t="s">
        <v>96</v>
      </c>
      <c r="C443" s="78">
        <f>C442+(BudgetsTable[[#This Row],[lead]]&lt;&gt;K442)</f>
        <v>84</v>
      </c>
      <c r="D443" s="78">
        <f>D442*(BudgetsTable[[#This Row],[lead]]=K442)+(BudgetsTable[[#This Row],[prop_id]]&lt;&gt;A442)</f>
        <v>1</v>
      </c>
      <c r="E443" s="79">
        <v>42935.475694444445</v>
      </c>
      <c r="F443" s="80" t="s">
        <v>256</v>
      </c>
      <c r="G443" s="80" t="s">
        <v>222</v>
      </c>
      <c r="H443" s="80" t="s">
        <v>405</v>
      </c>
      <c r="I443" s="78" t="s">
        <v>422</v>
      </c>
      <c r="J443" s="78" t="s">
        <v>13</v>
      </c>
      <c r="K443" s="80" t="s">
        <v>368</v>
      </c>
      <c r="L443" s="7" t="str">
        <f>IF(BudgetsTable[[#This Row],[pi_last_name]]=" ","",HYPERLINK("https://www.ejacket.nsf.gov/ej/showProposal.do?Continue=Y&amp;ID="&amp;BudgetsTable[[#This Row],[prop_id]],BudgetsTable[[#This Row],[prop_id]]))</f>
        <v/>
      </c>
      <c r="M443" s="15" t="str">
        <f>IF(BudgetsTable[[#This Row],[pi_last_name]]=" ","",HYPERLINK("https://www.ejacket.nsf.gov/ej/processReviewAnalysis.do?dispatch=add&amp;uniqId="&amp;BudgetsTable[[#This Row],[prop_id]]&amp;PO_id,"&gt;ra"))</f>
        <v/>
      </c>
      <c r="N443" s="80" t="s">
        <v>13</v>
      </c>
      <c r="O443" s="7" t="str">
        <f>IF(BudgetsTable[[#This Row],[pi_last_name]]=" ","",HYPERLINK("mailto:"&amp;BudgetsTable[[#This Row],[pi_email]]&amp;"&amp;subject=Your NSF Proposal:  "&amp;BudgetsTable[[#This Row],[prop_id]],BudgetsTable[[#This Row],[pi_email]]))</f>
        <v/>
      </c>
      <c r="P443" s="80" t="s">
        <v>13</v>
      </c>
      <c r="Q443" s="80">
        <v>1</v>
      </c>
      <c r="R443" s="80">
        <v>0</v>
      </c>
      <c r="S443" s="81">
        <v>0</v>
      </c>
      <c r="T443" s="81">
        <v>2100</v>
      </c>
      <c r="U443" s="81">
        <v>0</v>
      </c>
      <c r="V443" s="82">
        <v>101935</v>
      </c>
      <c r="W443" s="80">
        <v>0</v>
      </c>
      <c r="X443" s="80">
        <v>2</v>
      </c>
      <c r="Y443" s="11" t="str">
        <f ca="1">IF(ISBLANK(BudgetsTable[[#This Row],[budg_seq_yr]]),"FY"&amp;fiscalyear,"FY"&amp;fiscalyear-1+BudgetsTable[[#This Row],[budg_seq_yr]])</f>
        <v>FY19</v>
      </c>
      <c r="Z443" s="81">
        <v>101935</v>
      </c>
      <c r="AA443" s="80" t="s">
        <v>222</v>
      </c>
      <c r="AB443" s="80" t="s">
        <v>405</v>
      </c>
      <c r="AC443" s="80" t="s">
        <v>411</v>
      </c>
    </row>
    <row r="444" spans="1:29" x14ac:dyDescent="0.4">
      <c r="A444" s="10" t="s">
        <v>368</v>
      </c>
      <c r="B444" s="78" t="s">
        <v>96</v>
      </c>
      <c r="C444" s="78">
        <f>C443+(BudgetsTable[[#This Row],[lead]]&lt;&gt;K443)</f>
        <v>84</v>
      </c>
      <c r="D444" s="78">
        <f>D443*(BudgetsTable[[#This Row],[lead]]=K443)+(BudgetsTable[[#This Row],[prop_id]]&lt;&gt;A443)</f>
        <v>1</v>
      </c>
      <c r="E444" s="79">
        <v>42935.475694444445</v>
      </c>
      <c r="F444" s="80" t="s">
        <v>256</v>
      </c>
      <c r="G444" s="80" t="s">
        <v>222</v>
      </c>
      <c r="H444" s="80" t="s">
        <v>405</v>
      </c>
      <c r="I444" s="78" t="s">
        <v>422</v>
      </c>
      <c r="J444" s="78" t="s">
        <v>13</v>
      </c>
      <c r="K444" s="80" t="s">
        <v>368</v>
      </c>
      <c r="L444" s="7" t="str">
        <f>IF(BudgetsTable[[#This Row],[pi_last_name]]=" ","",HYPERLINK("https://www.ejacket.nsf.gov/ej/showProposal.do?Continue=Y&amp;ID="&amp;BudgetsTable[[#This Row],[prop_id]],BudgetsTable[[#This Row],[prop_id]]))</f>
        <v/>
      </c>
      <c r="M444" s="15" t="str">
        <f>IF(BudgetsTable[[#This Row],[pi_last_name]]=" ","",HYPERLINK("https://www.ejacket.nsf.gov/ej/processReviewAnalysis.do?dispatch=add&amp;uniqId="&amp;BudgetsTable[[#This Row],[prop_id]]&amp;PO_id,"&gt;ra"))</f>
        <v/>
      </c>
      <c r="N444" s="80" t="s">
        <v>13</v>
      </c>
      <c r="O444" s="7" t="str">
        <f>IF(BudgetsTable[[#This Row],[pi_last_name]]=" ","",HYPERLINK("mailto:"&amp;BudgetsTable[[#This Row],[pi_email]]&amp;"&amp;subject=Your NSF Proposal:  "&amp;BudgetsTable[[#This Row],[prop_id]],BudgetsTable[[#This Row],[pi_email]]))</f>
        <v/>
      </c>
      <c r="P444" s="80" t="s">
        <v>13</v>
      </c>
      <c r="Q444" s="80">
        <v>1</v>
      </c>
      <c r="R444" s="80">
        <v>0</v>
      </c>
      <c r="S444" s="81">
        <v>0</v>
      </c>
      <c r="T444" s="81">
        <v>0</v>
      </c>
      <c r="U444" s="81">
        <v>0</v>
      </c>
      <c r="V444" s="82">
        <v>100630</v>
      </c>
      <c r="W444" s="80">
        <v>0</v>
      </c>
      <c r="X444" s="80">
        <v>3</v>
      </c>
      <c r="Y444" s="11" t="str">
        <f ca="1">IF(ISBLANK(BudgetsTable[[#This Row],[budg_seq_yr]]),"FY"&amp;fiscalyear,"FY"&amp;fiscalyear-1+BudgetsTable[[#This Row],[budg_seq_yr]])</f>
        <v>FY20</v>
      </c>
      <c r="Z444" s="81">
        <v>100630</v>
      </c>
      <c r="AA444" s="80" t="s">
        <v>222</v>
      </c>
      <c r="AB444" s="80" t="s">
        <v>405</v>
      </c>
      <c r="AC444" s="80" t="s">
        <v>411</v>
      </c>
    </row>
    <row r="445" spans="1:29" x14ac:dyDescent="0.4">
      <c r="A445" s="10" t="s">
        <v>368</v>
      </c>
      <c r="B445" s="78" t="s">
        <v>96</v>
      </c>
      <c r="C445" s="78">
        <f>C444+(BudgetsTable[[#This Row],[lead]]&lt;&gt;K444)</f>
        <v>84</v>
      </c>
      <c r="D445" s="78">
        <f>D444*(BudgetsTable[[#This Row],[lead]]=K444)+(BudgetsTable[[#This Row],[prop_id]]&lt;&gt;A444)</f>
        <v>1</v>
      </c>
      <c r="E445" s="79">
        <v>42935.475694444445</v>
      </c>
      <c r="F445" s="80" t="s">
        <v>256</v>
      </c>
      <c r="G445" s="80" t="s">
        <v>222</v>
      </c>
      <c r="H445" s="80" t="s">
        <v>405</v>
      </c>
      <c r="I445" s="78" t="s">
        <v>422</v>
      </c>
      <c r="J445" s="78" t="s">
        <v>13</v>
      </c>
      <c r="K445" s="80" t="s">
        <v>368</v>
      </c>
      <c r="L445" s="7" t="str">
        <f>IF(BudgetsTable[[#This Row],[pi_last_name]]=" ","",HYPERLINK("https://www.ejacket.nsf.gov/ej/showProposal.do?Continue=Y&amp;ID="&amp;BudgetsTable[[#This Row],[prop_id]],BudgetsTable[[#This Row],[prop_id]]))</f>
        <v/>
      </c>
      <c r="M445" s="15" t="str">
        <f>IF(BudgetsTable[[#This Row],[pi_last_name]]=" ","",HYPERLINK("https://www.ejacket.nsf.gov/ej/processReviewAnalysis.do?dispatch=add&amp;uniqId="&amp;BudgetsTable[[#This Row],[prop_id]]&amp;PO_id,"&gt;ra"))</f>
        <v/>
      </c>
      <c r="N445" s="80" t="s">
        <v>13</v>
      </c>
      <c r="O445" s="7" t="str">
        <f>IF(BudgetsTable[[#This Row],[pi_last_name]]=" ","",HYPERLINK("mailto:"&amp;BudgetsTable[[#This Row],[pi_email]]&amp;"&amp;subject=Your NSF Proposal:  "&amp;BudgetsTable[[#This Row],[prop_id]],BudgetsTable[[#This Row],[pi_email]]))</f>
        <v/>
      </c>
      <c r="P445" s="80" t="s">
        <v>13</v>
      </c>
      <c r="Q445" s="80">
        <v>1</v>
      </c>
      <c r="R445" s="80">
        <v>0</v>
      </c>
      <c r="S445" s="81">
        <v>0</v>
      </c>
      <c r="T445" s="81">
        <v>0</v>
      </c>
      <c r="U445" s="81">
        <v>0</v>
      </c>
      <c r="V445" s="82">
        <v>99873</v>
      </c>
      <c r="W445" s="80">
        <v>0</v>
      </c>
      <c r="X445" s="80">
        <v>4</v>
      </c>
      <c r="Y445" s="11" t="str">
        <f ca="1">IF(ISBLANK(BudgetsTable[[#This Row],[budg_seq_yr]]),"FY"&amp;fiscalyear,"FY"&amp;fiscalyear-1+BudgetsTable[[#This Row],[budg_seq_yr]])</f>
        <v>FY21</v>
      </c>
      <c r="Z445" s="81">
        <v>99873</v>
      </c>
      <c r="AA445" s="80" t="s">
        <v>222</v>
      </c>
      <c r="AB445" s="80" t="s">
        <v>405</v>
      </c>
      <c r="AC445" s="80" t="s">
        <v>411</v>
      </c>
    </row>
    <row r="446" spans="1:29" x14ac:dyDescent="0.4">
      <c r="A446" s="10" t="s">
        <v>368</v>
      </c>
      <c r="B446" s="78" t="s">
        <v>96</v>
      </c>
      <c r="C446" s="78">
        <f>C445+(BudgetsTable[[#This Row],[lead]]&lt;&gt;K445)</f>
        <v>84</v>
      </c>
      <c r="D446" s="78">
        <f>D445*(BudgetsTable[[#This Row],[lead]]=K445)+(BudgetsTable[[#This Row],[prop_id]]&lt;&gt;A445)</f>
        <v>1</v>
      </c>
      <c r="E446" s="79">
        <v>42935.475694444445</v>
      </c>
      <c r="F446" s="80" t="s">
        <v>256</v>
      </c>
      <c r="G446" s="80" t="s">
        <v>222</v>
      </c>
      <c r="H446" s="80" t="s">
        <v>405</v>
      </c>
      <c r="I446" s="78" t="s">
        <v>422</v>
      </c>
      <c r="J446" s="78" t="s">
        <v>13</v>
      </c>
      <c r="K446" s="80" t="s">
        <v>368</v>
      </c>
      <c r="L446" s="7" t="str">
        <f>IF(BudgetsTable[[#This Row],[pi_last_name]]=" ","",HYPERLINK("https://www.ejacket.nsf.gov/ej/showProposal.do?Continue=Y&amp;ID="&amp;BudgetsTable[[#This Row],[prop_id]],BudgetsTable[[#This Row],[prop_id]]))</f>
        <v/>
      </c>
      <c r="M446" s="15" t="str">
        <f>IF(BudgetsTable[[#This Row],[pi_last_name]]=" ","",HYPERLINK("https://www.ejacket.nsf.gov/ej/processReviewAnalysis.do?dispatch=add&amp;uniqId="&amp;BudgetsTable[[#This Row],[prop_id]]&amp;PO_id,"&gt;ra"))</f>
        <v/>
      </c>
      <c r="N446" s="80" t="s">
        <v>13</v>
      </c>
      <c r="O446" s="7" t="str">
        <f>IF(BudgetsTable[[#This Row],[pi_last_name]]=" ","",HYPERLINK("mailto:"&amp;BudgetsTable[[#This Row],[pi_email]]&amp;"&amp;subject=Your NSF Proposal:  "&amp;BudgetsTable[[#This Row],[prop_id]],BudgetsTable[[#This Row],[pi_email]]))</f>
        <v/>
      </c>
      <c r="P446" s="80" t="s">
        <v>13</v>
      </c>
      <c r="Q446" s="80">
        <v>1</v>
      </c>
      <c r="R446" s="80">
        <v>0</v>
      </c>
      <c r="S446" s="81">
        <v>0</v>
      </c>
      <c r="T446" s="81">
        <v>0</v>
      </c>
      <c r="U446" s="81">
        <v>0</v>
      </c>
      <c r="V446" s="82">
        <v>102114</v>
      </c>
      <c r="W446" s="80">
        <v>0</v>
      </c>
      <c r="X446" s="80">
        <v>5</v>
      </c>
      <c r="Y446" s="11" t="str">
        <f ca="1">IF(ISBLANK(BudgetsTable[[#This Row],[budg_seq_yr]]),"FY"&amp;fiscalyear,"FY"&amp;fiscalyear-1+BudgetsTable[[#This Row],[budg_seq_yr]])</f>
        <v>FY22</v>
      </c>
      <c r="Z446" s="81">
        <v>102114</v>
      </c>
      <c r="AA446" s="80" t="s">
        <v>222</v>
      </c>
      <c r="AB446" s="80" t="s">
        <v>405</v>
      </c>
      <c r="AC446" s="80" t="s">
        <v>411</v>
      </c>
    </row>
    <row r="447" spans="1:29" x14ac:dyDescent="0.4">
      <c r="A447" s="10" t="s">
        <v>369</v>
      </c>
      <c r="B447" s="78" t="s">
        <v>96</v>
      </c>
      <c r="C447" s="78">
        <f>C446+(BudgetsTable[[#This Row],[lead]]&lt;&gt;K446)</f>
        <v>85</v>
      </c>
      <c r="D447" s="78">
        <f>D446*(BudgetsTable[[#This Row],[lead]]=K446)+(BudgetsTable[[#This Row],[prop_id]]&lt;&gt;A446)</f>
        <v>1</v>
      </c>
      <c r="E447" s="79">
        <v>42935.488888888889</v>
      </c>
      <c r="F447" s="80" t="s">
        <v>256</v>
      </c>
      <c r="G447" s="80" t="s">
        <v>222</v>
      </c>
      <c r="H447" s="80" t="s">
        <v>405</v>
      </c>
      <c r="I447" s="78" t="s">
        <v>422</v>
      </c>
      <c r="J447" s="78" t="s">
        <v>502</v>
      </c>
      <c r="K447" s="80" t="s">
        <v>369</v>
      </c>
      <c r="L447" s="7" t="str">
        <f>IF(BudgetsTable[[#This Row],[pi_last_name]]=" ","",HYPERLINK("https://www.ejacket.nsf.gov/ej/showProposal.do?Continue=Y&amp;ID="&amp;BudgetsTable[[#This Row],[prop_id]],BudgetsTable[[#This Row],[prop_id]]))</f>
        <v>1750333</v>
      </c>
      <c r="M447" s="15" t="str">
        <f>IF(BudgetsTable[[#This Row],[pi_last_name]]=" ","",HYPERLINK("https://www.ejacket.nsf.gov/ej/processReviewAnalysis.do?dispatch=add&amp;uniqId="&amp;BudgetsTable[[#This Row],[prop_id]]&amp;PO_id,"&gt;ra"))</f>
        <v>&gt;ra</v>
      </c>
      <c r="N447" s="80" t="s">
        <v>499</v>
      </c>
      <c r="O447" s="7" t="str">
        <f>IF(BudgetsTable[[#This Row],[pi_last_name]]=" ","",HYPERLINK("mailto:"&amp;BudgetsTable[[#This Row],[pi_email]]&amp;"&amp;subject=Your NSF Proposal:  "&amp;BudgetsTable[[#This Row],[prop_id]],BudgetsTable[[#This Row],[pi_email]]))</f>
        <v>aene@bu.edu</v>
      </c>
      <c r="P447" s="80" t="s">
        <v>501</v>
      </c>
      <c r="Q447" s="80"/>
      <c r="R447" s="80"/>
      <c r="S447" s="81"/>
      <c r="T447" s="81"/>
      <c r="U447" s="81"/>
      <c r="V447" s="82"/>
      <c r="W447" s="80">
        <v>0</v>
      </c>
      <c r="X447" s="80"/>
      <c r="Y447" s="11" t="str">
        <f ca="1">IF(ISBLANK(BudgetsTable[[#This Row],[budg_seq_yr]]),"FY"&amp;fiscalyear,"FY"&amp;fiscalyear-1+BudgetsTable[[#This Row],[budg_seq_yr]])</f>
        <v>FY18</v>
      </c>
      <c r="Z447" s="81">
        <v>507423</v>
      </c>
      <c r="AA447" s="80" t="s">
        <v>222</v>
      </c>
      <c r="AB447" s="80" t="s">
        <v>405</v>
      </c>
      <c r="AC447" s="80" t="s">
        <v>411</v>
      </c>
    </row>
    <row r="448" spans="1:29" x14ac:dyDescent="0.4">
      <c r="A448" s="10" t="s">
        <v>369</v>
      </c>
      <c r="B448" s="78" t="s">
        <v>96</v>
      </c>
      <c r="C448" s="78">
        <f>C447+(BudgetsTable[[#This Row],[lead]]&lt;&gt;K447)</f>
        <v>85</v>
      </c>
      <c r="D448" s="78">
        <f>D447*(BudgetsTable[[#This Row],[lead]]=K447)+(BudgetsTable[[#This Row],[prop_id]]&lt;&gt;A447)</f>
        <v>1</v>
      </c>
      <c r="E448" s="79">
        <v>42935.488888888889</v>
      </c>
      <c r="F448" s="80" t="s">
        <v>256</v>
      </c>
      <c r="G448" s="80" t="s">
        <v>222</v>
      </c>
      <c r="H448" s="80" t="s">
        <v>405</v>
      </c>
      <c r="I448" s="78" t="s">
        <v>422</v>
      </c>
      <c r="J448" s="78" t="s">
        <v>13</v>
      </c>
      <c r="K448" s="80" t="s">
        <v>369</v>
      </c>
      <c r="L448" s="7" t="str">
        <f>IF(BudgetsTable[[#This Row],[pi_last_name]]=" ","",HYPERLINK("https://www.ejacket.nsf.gov/ej/showProposal.do?Continue=Y&amp;ID="&amp;BudgetsTable[[#This Row],[prop_id]],BudgetsTable[[#This Row],[prop_id]]))</f>
        <v/>
      </c>
      <c r="M448" s="15" t="str">
        <f>IF(BudgetsTable[[#This Row],[pi_last_name]]=" ","",HYPERLINK("https://www.ejacket.nsf.gov/ej/processReviewAnalysis.do?dispatch=add&amp;uniqId="&amp;BudgetsTable[[#This Row],[prop_id]]&amp;PO_id,"&gt;ra"))</f>
        <v/>
      </c>
      <c r="N448" s="80" t="s">
        <v>13</v>
      </c>
      <c r="O448" s="7" t="str">
        <f>IF(BudgetsTable[[#This Row],[pi_last_name]]=" ","",HYPERLINK("mailto:"&amp;BudgetsTable[[#This Row],[pi_email]]&amp;"&amp;subject=Your NSF Proposal:  "&amp;BudgetsTable[[#This Row],[prop_id]],BudgetsTable[[#This Row],[pi_email]]))</f>
        <v/>
      </c>
      <c r="P448" s="80" t="s">
        <v>13</v>
      </c>
      <c r="Q448" s="80">
        <v>1</v>
      </c>
      <c r="R448" s="80">
        <v>1</v>
      </c>
      <c r="S448" s="81">
        <v>0</v>
      </c>
      <c r="T448" s="81">
        <v>3000</v>
      </c>
      <c r="U448" s="81">
        <v>0</v>
      </c>
      <c r="V448" s="82">
        <v>99138</v>
      </c>
      <c r="W448" s="80">
        <v>0</v>
      </c>
      <c r="X448" s="80">
        <v>1</v>
      </c>
      <c r="Y448" s="11" t="str">
        <f ca="1">IF(ISBLANK(BudgetsTable[[#This Row],[budg_seq_yr]]),"FY"&amp;fiscalyear,"FY"&amp;fiscalyear-1+BudgetsTable[[#This Row],[budg_seq_yr]])</f>
        <v>FY18</v>
      </c>
      <c r="Z448" s="81">
        <v>99138</v>
      </c>
      <c r="AA448" s="80" t="s">
        <v>222</v>
      </c>
      <c r="AB448" s="80" t="s">
        <v>405</v>
      </c>
      <c r="AC448" s="80" t="s">
        <v>411</v>
      </c>
    </row>
    <row r="449" spans="1:29" x14ac:dyDescent="0.4">
      <c r="A449" s="10" t="s">
        <v>369</v>
      </c>
      <c r="B449" s="78" t="s">
        <v>96</v>
      </c>
      <c r="C449" s="78">
        <f>C448+(BudgetsTable[[#This Row],[lead]]&lt;&gt;K448)</f>
        <v>85</v>
      </c>
      <c r="D449" s="78">
        <f>D448*(BudgetsTable[[#This Row],[lead]]=K448)+(BudgetsTable[[#This Row],[prop_id]]&lt;&gt;A448)</f>
        <v>1</v>
      </c>
      <c r="E449" s="79">
        <v>42935.488888888889</v>
      </c>
      <c r="F449" s="80" t="s">
        <v>256</v>
      </c>
      <c r="G449" s="80" t="s">
        <v>222</v>
      </c>
      <c r="H449" s="80" t="s">
        <v>405</v>
      </c>
      <c r="I449" s="78" t="s">
        <v>422</v>
      </c>
      <c r="J449" s="78" t="s">
        <v>13</v>
      </c>
      <c r="K449" s="80" t="s">
        <v>369</v>
      </c>
      <c r="L449" s="7" t="str">
        <f>IF(BudgetsTable[[#This Row],[pi_last_name]]=" ","",HYPERLINK("https://www.ejacket.nsf.gov/ej/showProposal.do?Continue=Y&amp;ID="&amp;BudgetsTable[[#This Row],[prop_id]],BudgetsTable[[#This Row],[prop_id]]))</f>
        <v/>
      </c>
      <c r="M449" s="15" t="str">
        <f>IF(BudgetsTable[[#This Row],[pi_last_name]]=" ","",HYPERLINK("https://www.ejacket.nsf.gov/ej/processReviewAnalysis.do?dispatch=add&amp;uniqId="&amp;BudgetsTable[[#This Row],[prop_id]]&amp;PO_id,"&gt;ra"))</f>
        <v/>
      </c>
      <c r="N449" s="80" t="s">
        <v>13</v>
      </c>
      <c r="O449" s="7" t="str">
        <f>IF(BudgetsTable[[#This Row],[pi_last_name]]=" ","",HYPERLINK("mailto:"&amp;BudgetsTable[[#This Row],[pi_email]]&amp;"&amp;subject=Your NSF Proposal:  "&amp;BudgetsTable[[#This Row],[prop_id]],BudgetsTable[[#This Row],[pi_email]]))</f>
        <v/>
      </c>
      <c r="P449" s="80" t="s">
        <v>13</v>
      </c>
      <c r="Q449" s="80">
        <v>1</v>
      </c>
      <c r="R449" s="80">
        <v>1</v>
      </c>
      <c r="S449" s="81">
        <v>0</v>
      </c>
      <c r="T449" s="81">
        <v>3000</v>
      </c>
      <c r="U449" s="81">
        <v>0</v>
      </c>
      <c r="V449" s="82">
        <v>97771</v>
      </c>
      <c r="W449" s="80">
        <v>0</v>
      </c>
      <c r="X449" s="80">
        <v>2</v>
      </c>
      <c r="Y449" s="11" t="str">
        <f ca="1">IF(ISBLANK(BudgetsTable[[#This Row],[budg_seq_yr]]),"FY"&amp;fiscalyear,"FY"&amp;fiscalyear-1+BudgetsTable[[#This Row],[budg_seq_yr]])</f>
        <v>FY19</v>
      </c>
      <c r="Z449" s="81">
        <v>97771</v>
      </c>
      <c r="AA449" s="80" t="s">
        <v>222</v>
      </c>
      <c r="AB449" s="80" t="s">
        <v>405</v>
      </c>
      <c r="AC449" s="80" t="s">
        <v>411</v>
      </c>
    </row>
    <row r="450" spans="1:29" x14ac:dyDescent="0.4">
      <c r="A450" s="10" t="s">
        <v>369</v>
      </c>
      <c r="B450" s="78" t="s">
        <v>96</v>
      </c>
      <c r="C450" s="78">
        <f>C449+(BudgetsTable[[#This Row],[lead]]&lt;&gt;K449)</f>
        <v>85</v>
      </c>
      <c r="D450" s="78">
        <f>D449*(BudgetsTable[[#This Row],[lead]]=K449)+(BudgetsTable[[#This Row],[prop_id]]&lt;&gt;A449)</f>
        <v>1</v>
      </c>
      <c r="E450" s="79">
        <v>42935.488888888889</v>
      </c>
      <c r="F450" s="80" t="s">
        <v>256</v>
      </c>
      <c r="G450" s="80" t="s">
        <v>222</v>
      </c>
      <c r="H450" s="80" t="s">
        <v>405</v>
      </c>
      <c r="I450" s="78" t="s">
        <v>422</v>
      </c>
      <c r="J450" s="78" t="s">
        <v>13</v>
      </c>
      <c r="K450" s="80" t="s">
        <v>369</v>
      </c>
      <c r="L450" s="7" t="str">
        <f>IF(BudgetsTable[[#This Row],[pi_last_name]]=" ","",HYPERLINK("https://www.ejacket.nsf.gov/ej/showProposal.do?Continue=Y&amp;ID="&amp;BudgetsTable[[#This Row],[prop_id]],BudgetsTable[[#This Row],[prop_id]]))</f>
        <v/>
      </c>
      <c r="M450" s="15" t="str">
        <f>IF(BudgetsTable[[#This Row],[pi_last_name]]=" ","",HYPERLINK("https://www.ejacket.nsf.gov/ej/processReviewAnalysis.do?dispatch=add&amp;uniqId="&amp;BudgetsTable[[#This Row],[prop_id]]&amp;PO_id,"&gt;ra"))</f>
        <v/>
      </c>
      <c r="N450" s="80" t="s">
        <v>13</v>
      </c>
      <c r="O450" s="7" t="str">
        <f>IF(BudgetsTable[[#This Row],[pi_last_name]]=" ","",HYPERLINK("mailto:"&amp;BudgetsTable[[#This Row],[pi_email]]&amp;"&amp;subject=Your NSF Proposal:  "&amp;BudgetsTable[[#This Row],[prop_id]],BudgetsTable[[#This Row],[pi_email]]))</f>
        <v/>
      </c>
      <c r="P450" s="80" t="s">
        <v>13</v>
      </c>
      <c r="Q450" s="80">
        <v>1</v>
      </c>
      <c r="R450" s="80">
        <v>1</v>
      </c>
      <c r="S450" s="81">
        <v>0</v>
      </c>
      <c r="T450" s="81">
        <v>3000</v>
      </c>
      <c r="U450" s="81">
        <v>0</v>
      </c>
      <c r="V450" s="82">
        <v>100459</v>
      </c>
      <c r="W450" s="80">
        <v>0</v>
      </c>
      <c r="X450" s="80">
        <v>3</v>
      </c>
      <c r="Y450" s="11" t="str">
        <f ca="1">IF(ISBLANK(BudgetsTable[[#This Row],[budg_seq_yr]]),"FY"&amp;fiscalyear,"FY"&amp;fiscalyear-1+BudgetsTable[[#This Row],[budg_seq_yr]])</f>
        <v>FY20</v>
      </c>
      <c r="Z450" s="81">
        <v>100459</v>
      </c>
      <c r="AA450" s="80" t="s">
        <v>222</v>
      </c>
      <c r="AB450" s="80" t="s">
        <v>405</v>
      </c>
      <c r="AC450" s="80" t="s">
        <v>411</v>
      </c>
    </row>
    <row r="451" spans="1:29" x14ac:dyDescent="0.4">
      <c r="A451" s="10" t="s">
        <v>369</v>
      </c>
      <c r="B451" s="78" t="s">
        <v>96</v>
      </c>
      <c r="C451" s="78">
        <f>C450+(BudgetsTable[[#This Row],[lead]]&lt;&gt;K450)</f>
        <v>85</v>
      </c>
      <c r="D451" s="78">
        <f>D450*(BudgetsTable[[#This Row],[lead]]=K450)+(BudgetsTable[[#This Row],[prop_id]]&lt;&gt;A450)</f>
        <v>1</v>
      </c>
      <c r="E451" s="79">
        <v>42935.488888888889</v>
      </c>
      <c r="F451" s="80" t="s">
        <v>256</v>
      </c>
      <c r="G451" s="80" t="s">
        <v>222</v>
      </c>
      <c r="H451" s="80" t="s">
        <v>405</v>
      </c>
      <c r="I451" s="78" t="s">
        <v>422</v>
      </c>
      <c r="J451" s="78" t="s">
        <v>13</v>
      </c>
      <c r="K451" s="80" t="s">
        <v>369</v>
      </c>
      <c r="L451" s="7" t="str">
        <f>IF(BudgetsTable[[#This Row],[pi_last_name]]=" ","",HYPERLINK("https://www.ejacket.nsf.gov/ej/showProposal.do?Continue=Y&amp;ID="&amp;BudgetsTable[[#This Row],[prop_id]],BudgetsTable[[#This Row],[prop_id]]))</f>
        <v/>
      </c>
      <c r="M451" s="15" t="str">
        <f>IF(BudgetsTable[[#This Row],[pi_last_name]]=" ","",HYPERLINK("https://www.ejacket.nsf.gov/ej/processReviewAnalysis.do?dispatch=add&amp;uniqId="&amp;BudgetsTable[[#This Row],[prop_id]]&amp;PO_id,"&gt;ra"))</f>
        <v/>
      </c>
      <c r="N451" s="80" t="s">
        <v>13</v>
      </c>
      <c r="O451" s="7" t="str">
        <f>IF(BudgetsTable[[#This Row],[pi_last_name]]=" ","",HYPERLINK("mailto:"&amp;BudgetsTable[[#This Row],[pi_email]]&amp;"&amp;subject=Your NSF Proposal:  "&amp;BudgetsTable[[#This Row],[prop_id]],BudgetsTable[[#This Row],[pi_email]]))</f>
        <v/>
      </c>
      <c r="P451" s="80" t="s">
        <v>13</v>
      </c>
      <c r="Q451" s="80">
        <v>1</v>
      </c>
      <c r="R451" s="80">
        <v>1</v>
      </c>
      <c r="S451" s="81">
        <v>0</v>
      </c>
      <c r="T451" s="81">
        <v>3000</v>
      </c>
      <c r="U451" s="81">
        <v>0</v>
      </c>
      <c r="V451" s="82">
        <v>103224</v>
      </c>
      <c r="W451" s="80">
        <v>0</v>
      </c>
      <c r="X451" s="80">
        <v>4</v>
      </c>
      <c r="Y451" s="11" t="str">
        <f ca="1">IF(ISBLANK(BudgetsTable[[#This Row],[budg_seq_yr]]),"FY"&amp;fiscalyear,"FY"&amp;fiscalyear-1+BudgetsTable[[#This Row],[budg_seq_yr]])</f>
        <v>FY21</v>
      </c>
      <c r="Z451" s="81">
        <v>103224</v>
      </c>
      <c r="AA451" s="80" t="s">
        <v>222</v>
      </c>
      <c r="AB451" s="80" t="s">
        <v>405</v>
      </c>
      <c r="AC451" s="80" t="s">
        <v>411</v>
      </c>
    </row>
    <row r="452" spans="1:29" x14ac:dyDescent="0.4">
      <c r="A452" s="10" t="s">
        <v>369</v>
      </c>
      <c r="B452" s="78" t="s">
        <v>96</v>
      </c>
      <c r="C452" s="78">
        <f>C451+(BudgetsTable[[#This Row],[lead]]&lt;&gt;K451)</f>
        <v>85</v>
      </c>
      <c r="D452" s="78">
        <f>D451*(BudgetsTable[[#This Row],[lead]]=K451)+(BudgetsTable[[#This Row],[prop_id]]&lt;&gt;A451)</f>
        <v>1</v>
      </c>
      <c r="E452" s="79">
        <v>42935.488888888889</v>
      </c>
      <c r="F452" s="80" t="s">
        <v>256</v>
      </c>
      <c r="G452" s="80" t="s">
        <v>222</v>
      </c>
      <c r="H452" s="80" t="s">
        <v>405</v>
      </c>
      <c r="I452" s="78" t="s">
        <v>422</v>
      </c>
      <c r="J452" s="78" t="s">
        <v>13</v>
      </c>
      <c r="K452" s="80" t="s">
        <v>369</v>
      </c>
      <c r="L452" s="7" t="str">
        <f>IF(BudgetsTable[[#This Row],[pi_last_name]]=" ","",HYPERLINK("https://www.ejacket.nsf.gov/ej/showProposal.do?Continue=Y&amp;ID="&amp;BudgetsTable[[#This Row],[prop_id]],BudgetsTable[[#This Row],[prop_id]]))</f>
        <v/>
      </c>
      <c r="M452" s="15" t="str">
        <f>IF(BudgetsTable[[#This Row],[pi_last_name]]=" ","",HYPERLINK("https://www.ejacket.nsf.gov/ej/processReviewAnalysis.do?dispatch=add&amp;uniqId="&amp;BudgetsTable[[#This Row],[prop_id]]&amp;PO_id,"&gt;ra"))</f>
        <v/>
      </c>
      <c r="N452" s="80" t="s">
        <v>13</v>
      </c>
      <c r="O452" s="7" t="str">
        <f>IF(BudgetsTable[[#This Row],[pi_last_name]]=" ","",HYPERLINK("mailto:"&amp;BudgetsTable[[#This Row],[pi_email]]&amp;"&amp;subject=Your NSF Proposal:  "&amp;BudgetsTable[[#This Row],[prop_id]],BudgetsTable[[#This Row],[pi_email]]))</f>
        <v/>
      </c>
      <c r="P452" s="80" t="s">
        <v>13</v>
      </c>
      <c r="Q452" s="80">
        <v>1</v>
      </c>
      <c r="R452" s="80">
        <v>1</v>
      </c>
      <c r="S452" s="81">
        <v>0</v>
      </c>
      <c r="T452" s="81">
        <v>3000</v>
      </c>
      <c r="U452" s="81">
        <v>0</v>
      </c>
      <c r="V452" s="82">
        <v>106831</v>
      </c>
      <c r="W452" s="80">
        <v>0</v>
      </c>
      <c r="X452" s="80">
        <v>5</v>
      </c>
      <c r="Y452" s="11" t="str">
        <f ca="1">IF(ISBLANK(BudgetsTable[[#This Row],[budg_seq_yr]]),"FY"&amp;fiscalyear,"FY"&amp;fiscalyear-1+BudgetsTable[[#This Row],[budg_seq_yr]])</f>
        <v>FY22</v>
      </c>
      <c r="Z452" s="81">
        <v>106831</v>
      </c>
      <c r="AA452" s="80" t="s">
        <v>222</v>
      </c>
      <c r="AB452" s="80" t="s">
        <v>405</v>
      </c>
      <c r="AC452" s="80" t="s">
        <v>411</v>
      </c>
    </row>
    <row r="453" spans="1:29" x14ac:dyDescent="0.4">
      <c r="A453" s="10" t="s">
        <v>370</v>
      </c>
      <c r="B453" s="78" t="s">
        <v>96</v>
      </c>
      <c r="C453" s="78">
        <f>C452+(BudgetsTable[[#This Row],[lead]]&lt;&gt;K452)</f>
        <v>86</v>
      </c>
      <c r="D453" s="78">
        <f>D452*(BudgetsTable[[#This Row],[lead]]=K452)+(BudgetsTable[[#This Row],[prop_id]]&lt;&gt;A452)</f>
        <v>1</v>
      </c>
      <c r="E453" s="79">
        <v>42935.54583333333</v>
      </c>
      <c r="F453" s="80" t="s">
        <v>256</v>
      </c>
      <c r="G453" s="80" t="s">
        <v>222</v>
      </c>
      <c r="H453" s="80" t="s">
        <v>405</v>
      </c>
      <c r="I453" s="78" t="s">
        <v>422</v>
      </c>
      <c r="J453" s="78" t="s">
        <v>509</v>
      </c>
      <c r="K453" s="80" t="s">
        <v>370</v>
      </c>
      <c r="L453" s="7" t="str">
        <f>IF(BudgetsTable[[#This Row],[pi_last_name]]=" ","",HYPERLINK("https://www.ejacket.nsf.gov/ej/showProposal.do?Continue=Y&amp;ID="&amp;BudgetsTable[[#This Row],[prop_id]],BudgetsTable[[#This Row],[prop_id]]))</f>
        <v>1750463</v>
      </c>
      <c r="M453" s="15" t="str">
        <f>IF(BudgetsTable[[#This Row],[pi_last_name]]=" ","",HYPERLINK("https://www.ejacket.nsf.gov/ej/processReviewAnalysis.do?dispatch=add&amp;uniqId="&amp;BudgetsTable[[#This Row],[prop_id]]&amp;PO_id,"&gt;ra"))</f>
        <v>&gt;ra</v>
      </c>
      <c r="N453" s="80" t="s">
        <v>505</v>
      </c>
      <c r="O453" s="7" t="str">
        <f>IF(BudgetsTable[[#This Row],[pi_last_name]]=" ","",HYPERLINK("mailto:"&amp;BudgetsTable[[#This Row],[pi_email]]&amp;"&amp;subject=Your NSF Proposal:  "&amp;BudgetsTable[[#This Row],[prop_id]],BudgetsTable[[#This Row],[pi_email]]))</f>
        <v>sharathr@vt.edu</v>
      </c>
      <c r="P453" s="80" t="s">
        <v>507</v>
      </c>
      <c r="Q453" s="80"/>
      <c r="R453" s="80"/>
      <c r="S453" s="81"/>
      <c r="T453" s="81"/>
      <c r="U453" s="81"/>
      <c r="V453" s="82"/>
      <c r="W453" s="80">
        <v>0</v>
      </c>
      <c r="X453" s="80"/>
      <c r="Y453" s="11" t="str">
        <f ca="1">IF(ISBLANK(BudgetsTable[[#This Row],[budg_seq_yr]]),"FY"&amp;fiscalyear,"FY"&amp;fiscalyear-1+BudgetsTable[[#This Row],[budg_seq_yr]])</f>
        <v>FY18</v>
      </c>
      <c r="Z453" s="81">
        <v>533991</v>
      </c>
      <c r="AA453" s="80" t="s">
        <v>222</v>
      </c>
      <c r="AB453" s="80" t="s">
        <v>405</v>
      </c>
      <c r="AC453" s="80" t="s">
        <v>411</v>
      </c>
    </row>
    <row r="454" spans="1:29" x14ac:dyDescent="0.4">
      <c r="A454" s="10" t="s">
        <v>370</v>
      </c>
      <c r="B454" s="78" t="s">
        <v>96</v>
      </c>
      <c r="C454" s="78">
        <f>C453+(BudgetsTable[[#This Row],[lead]]&lt;&gt;K453)</f>
        <v>86</v>
      </c>
      <c r="D454" s="78">
        <f>D453*(BudgetsTable[[#This Row],[lead]]=K453)+(BudgetsTable[[#This Row],[prop_id]]&lt;&gt;A453)</f>
        <v>1</v>
      </c>
      <c r="E454" s="79">
        <v>42935.54583333333</v>
      </c>
      <c r="F454" s="80" t="s">
        <v>256</v>
      </c>
      <c r="G454" s="80" t="s">
        <v>222</v>
      </c>
      <c r="H454" s="80" t="s">
        <v>405</v>
      </c>
      <c r="I454" s="78" t="s">
        <v>422</v>
      </c>
      <c r="J454" s="78" t="s">
        <v>13</v>
      </c>
      <c r="K454" s="80" t="s">
        <v>370</v>
      </c>
      <c r="L454" s="7" t="str">
        <f>IF(BudgetsTable[[#This Row],[pi_last_name]]=" ","",HYPERLINK("https://www.ejacket.nsf.gov/ej/showProposal.do?Continue=Y&amp;ID="&amp;BudgetsTable[[#This Row],[prop_id]],BudgetsTable[[#This Row],[prop_id]]))</f>
        <v/>
      </c>
      <c r="M454" s="15" t="str">
        <f>IF(BudgetsTable[[#This Row],[pi_last_name]]=" ","",HYPERLINK("https://www.ejacket.nsf.gov/ej/processReviewAnalysis.do?dispatch=add&amp;uniqId="&amp;BudgetsTable[[#This Row],[prop_id]]&amp;PO_id,"&gt;ra"))</f>
        <v/>
      </c>
      <c r="N454" s="80" t="s">
        <v>13</v>
      </c>
      <c r="O454" s="7" t="str">
        <f>IF(BudgetsTable[[#This Row],[pi_last_name]]=" ","",HYPERLINK("mailto:"&amp;BudgetsTable[[#This Row],[pi_email]]&amp;"&amp;subject=Your NSF Proposal:  "&amp;BudgetsTable[[#This Row],[prop_id]],BudgetsTable[[#This Row],[pi_email]]))</f>
        <v/>
      </c>
      <c r="P454" s="80" t="s">
        <v>13</v>
      </c>
      <c r="Q454" s="80">
        <v>1</v>
      </c>
      <c r="R454" s="80">
        <v>1.5</v>
      </c>
      <c r="S454" s="81">
        <v>0</v>
      </c>
      <c r="T454" s="81">
        <v>0</v>
      </c>
      <c r="U454" s="81">
        <v>0</v>
      </c>
      <c r="V454" s="82">
        <v>104160</v>
      </c>
      <c r="W454" s="80">
        <v>0</v>
      </c>
      <c r="X454" s="80">
        <v>1</v>
      </c>
      <c r="Y454" s="11" t="str">
        <f ca="1">IF(ISBLANK(BudgetsTable[[#This Row],[budg_seq_yr]]),"FY"&amp;fiscalyear,"FY"&amp;fiscalyear-1+BudgetsTable[[#This Row],[budg_seq_yr]])</f>
        <v>FY18</v>
      </c>
      <c r="Z454" s="81">
        <v>104160</v>
      </c>
      <c r="AA454" s="80" t="s">
        <v>222</v>
      </c>
      <c r="AB454" s="80" t="s">
        <v>405</v>
      </c>
      <c r="AC454" s="80" t="s">
        <v>411</v>
      </c>
    </row>
    <row r="455" spans="1:29" x14ac:dyDescent="0.4">
      <c r="A455" s="10" t="s">
        <v>370</v>
      </c>
      <c r="B455" s="78" t="s">
        <v>96</v>
      </c>
      <c r="C455" s="78">
        <f>C454+(BudgetsTable[[#This Row],[lead]]&lt;&gt;K454)</f>
        <v>86</v>
      </c>
      <c r="D455" s="78">
        <f>D454*(BudgetsTable[[#This Row],[lead]]=K454)+(BudgetsTable[[#This Row],[prop_id]]&lt;&gt;A454)</f>
        <v>1</v>
      </c>
      <c r="E455" s="79">
        <v>42935.54583333333</v>
      </c>
      <c r="F455" s="80" t="s">
        <v>256</v>
      </c>
      <c r="G455" s="80" t="s">
        <v>222</v>
      </c>
      <c r="H455" s="80" t="s">
        <v>405</v>
      </c>
      <c r="I455" s="78" t="s">
        <v>422</v>
      </c>
      <c r="J455" s="78" t="s">
        <v>13</v>
      </c>
      <c r="K455" s="80" t="s">
        <v>370</v>
      </c>
      <c r="L455" s="7" t="str">
        <f>IF(BudgetsTable[[#This Row],[pi_last_name]]=" ","",HYPERLINK("https://www.ejacket.nsf.gov/ej/showProposal.do?Continue=Y&amp;ID="&amp;BudgetsTable[[#This Row],[prop_id]],BudgetsTable[[#This Row],[prop_id]]))</f>
        <v/>
      </c>
      <c r="M455" s="15" t="str">
        <f>IF(BudgetsTable[[#This Row],[pi_last_name]]=" ","",HYPERLINK("https://www.ejacket.nsf.gov/ej/processReviewAnalysis.do?dispatch=add&amp;uniqId="&amp;BudgetsTable[[#This Row],[prop_id]]&amp;PO_id,"&gt;ra"))</f>
        <v/>
      </c>
      <c r="N455" s="80" t="s">
        <v>13</v>
      </c>
      <c r="O455" s="7" t="str">
        <f>IF(BudgetsTable[[#This Row],[pi_last_name]]=" ","",HYPERLINK("mailto:"&amp;BudgetsTable[[#This Row],[pi_email]]&amp;"&amp;subject=Your NSF Proposal:  "&amp;BudgetsTable[[#This Row],[prop_id]],BudgetsTable[[#This Row],[pi_email]]))</f>
        <v/>
      </c>
      <c r="P455" s="80" t="s">
        <v>13</v>
      </c>
      <c r="Q455" s="80">
        <v>1</v>
      </c>
      <c r="R455" s="80">
        <v>1.5</v>
      </c>
      <c r="S455" s="81">
        <v>0</v>
      </c>
      <c r="T455" s="81">
        <v>0</v>
      </c>
      <c r="U455" s="81">
        <v>0</v>
      </c>
      <c r="V455" s="82">
        <v>102988</v>
      </c>
      <c r="W455" s="80">
        <v>0</v>
      </c>
      <c r="X455" s="80">
        <v>2</v>
      </c>
      <c r="Y455" s="11" t="str">
        <f ca="1">IF(ISBLANK(BudgetsTable[[#This Row],[budg_seq_yr]]),"FY"&amp;fiscalyear,"FY"&amp;fiscalyear-1+BudgetsTable[[#This Row],[budg_seq_yr]])</f>
        <v>FY19</v>
      </c>
      <c r="Z455" s="81">
        <v>102988</v>
      </c>
      <c r="AA455" s="80" t="s">
        <v>222</v>
      </c>
      <c r="AB455" s="80" t="s">
        <v>405</v>
      </c>
      <c r="AC455" s="80" t="s">
        <v>411</v>
      </c>
    </row>
    <row r="456" spans="1:29" x14ac:dyDescent="0.4">
      <c r="A456" s="10" t="s">
        <v>370</v>
      </c>
      <c r="B456" s="78" t="s">
        <v>96</v>
      </c>
      <c r="C456" s="78">
        <f>C455+(BudgetsTable[[#This Row],[lead]]&lt;&gt;K455)</f>
        <v>86</v>
      </c>
      <c r="D456" s="78">
        <f>D455*(BudgetsTable[[#This Row],[lead]]=K455)+(BudgetsTable[[#This Row],[prop_id]]&lt;&gt;A455)</f>
        <v>1</v>
      </c>
      <c r="E456" s="79">
        <v>42935.54583333333</v>
      </c>
      <c r="F456" s="80" t="s">
        <v>256</v>
      </c>
      <c r="G456" s="80" t="s">
        <v>222</v>
      </c>
      <c r="H456" s="80" t="s">
        <v>405</v>
      </c>
      <c r="I456" s="78" t="s">
        <v>422</v>
      </c>
      <c r="J456" s="78" t="s">
        <v>13</v>
      </c>
      <c r="K456" s="80" t="s">
        <v>370</v>
      </c>
      <c r="L456" s="7" t="str">
        <f>IF(BudgetsTable[[#This Row],[pi_last_name]]=" ","",HYPERLINK("https://www.ejacket.nsf.gov/ej/showProposal.do?Continue=Y&amp;ID="&amp;BudgetsTable[[#This Row],[prop_id]],BudgetsTable[[#This Row],[prop_id]]))</f>
        <v/>
      </c>
      <c r="M456" s="15" t="str">
        <f>IF(BudgetsTable[[#This Row],[pi_last_name]]=" ","",HYPERLINK("https://www.ejacket.nsf.gov/ej/processReviewAnalysis.do?dispatch=add&amp;uniqId="&amp;BudgetsTable[[#This Row],[prop_id]]&amp;PO_id,"&gt;ra"))</f>
        <v/>
      </c>
      <c r="N456" s="80" t="s">
        <v>13</v>
      </c>
      <c r="O456" s="7" t="str">
        <f>IF(BudgetsTable[[#This Row],[pi_last_name]]=" ","",HYPERLINK("mailto:"&amp;BudgetsTable[[#This Row],[pi_email]]&amp;"&amp;subject=Your NSF Proposal:  "&amp;BudgetsTable[[#This Row],[prop_id]],BudgetsTable[[#This Row],[pi_email]]))</f>
        <v/>
      </c>
      <c r="P456" s="80" t="s">
        <v>13</v>
      </c>
      <c r="Q456" s="80">
        <v>1</v>
      </c>
      <c r="R456" s="80">
        <v>1.5</v>
      </c>
      <c r="S456" s="81">
        <v>0</v>
      </c>
      <c r="T456" s="81">
        <v>2500</v>
      </c>
      <c r="U456" s="81">
        <v>0</v>
      </c>
      <c r="V456" s="82">
        <v>115813</v>
      </c>
      <c r="W456" s="80">
        <v>0</v>
      </c>
      <c r="X456" s="80">
        <v>3</v>
      </c>
      <c r="Y456" s="11" t="str">
        <f ca="1">IF(ISBLANK(BudgetsTable[[#This Row],[budg_seq_yr]]),"FY"&amp;fiscalyear,"FY"&amp;fiscalyear-1+BudgetsTable[[#This Row],[budg_seq_yr]])</f>
        <v>FY20</v>
      </c>
      <c r="Z456" s="81">
        <v>115813</v>
      </c>
      <c r="AA456" s="80" t="s">
        <v>222</v>
      </c>
      <c r="AB456" s="80" t="s">
        <v>405</v>
      </c>
      <c r="AC456" s="80" t="s">
        <v>411</v>
      </c>
    </row>
    <row r="457" spans="1:29" x14ac:dyDescent="0.4">
      <c r="A457" s="10" t="s">
        <v>370</v>
      </c>
      <c r="B457" s="78" t="s">
        <v>96</v>
      </c>
      <c r="C457" s="78">
        <f>C456+(BudgetsTable[[#This Row],[lead]]&lt;&gt;K456)</f>
        <v>86</v>
      </c>
      <c r="D457" s="78">
        <f>D456*(BudgetsTable[[#This Row],[lead]]=K456)+(BudgetsTable[[#This Row],[prop_id]]&lt;&gt;A456)</f>
        <v>1</v>
      </c>
      <c r="E457" s="79">
        <v>42935.54583333333</v>
      </c>
      <c r="F457" s="80" t="s">
        <v>256</v>
      </c>
      <c r="G457" s="80" t="s">
        <v>222</v>
      </c>
      <c r="H457" s="80" t="s">
        <v>405</v>
      </c>
      <c r="I457" s="78" t="s">
        <v>422</v>
      </c>
      <c r="J457" s="78" t="s">
        <v>13</v>
      </c>
      <c r="K457" s="80" t="s">
        <v>370</v>
      </c>
      <c r="L457" s="7" t="str">
        <f>IF(BudgetsTable[[#This Row],[pi_last_name]]=" ","",HYPERLINK("https://www.ejacket.nsf.gov/ej/showProposal.do?Continue=Y&amp;ID="&amp;BudgetsTable[[#This Row],[prop_id]],BudgetsTable[[#This Row],[prop_id]]))</f>
        <v/>
      </c>
      <c r="M457" s="15" t="str">
        <f>IF(BudgetsTable[[#This Row],[pi_last_name]]=" ","",HYPERLINK("https://www.ejacket.nsf.gov/ej/processReviewAnalysis.do?dispatch=add&amp;uniqId="&amp;BudgetsTable[[#This Row],[prop_id]]&amp;PO_id,"&gt;ra"))</f>
        <v/>
      </c>
      <c r="N457" s="80" t="s">
        <v>13</v>
      </c>
      <c r="O457" s="7" t="str">
        <f>IF(BudgetsTable[[#This Row],[pi_last_name]]=" ","",HYPERLINK("mailto:"&amp;BudgetsTable[[#This Row],[pi_email]]&amp;"&amp;subject=Your NSF Proposal:  "&amp;BudgetsTable[[#This Row],[prop_id]],BudgetsTable[[#This Row],[pi_email]]))</f>
        <v/>
      </c>
      <c r="P457" s="80" t="s">
        <v>13</v>
      </c>
      <c r="Q457" s="80">
        <v>1</v>
      </c>
      <c r="R457" s="80">
        <v>1</v>
      </c>
      <c r="S457" s="81">
        <v>0</v>
      </c>
      <c r="T457" s="81">
        <v>2500</v>
      </c>
      <c r="U457" s="81">
        <v>0</v>
      </c>
      <c r="V457" s="82">
        <v>103682</v>
      </c>
      <c r="W457" s="80">
        <v>0</v>
      </c>
      <c r="X457" s="80">
        <v>4</v>
      </c>
      <c r="Y457" s="11" t="str">
        <f ca="1">IF(ISBLANK(BudgetsTable[[#This Row],[budg_seq_yr]]),"FY"&amp;fiscalyear,"FY"&amp;fiscalyear-1+BudgetsTable[[#This Row],[budg_seq_yr]])</f>
        <v>FY21</v>
      </c>
      <c r="Z457" s="81">
        <v>103682</v>
      </c>
      <c r="AA457" s="80" t="s">
        <v>222</v>
      </c>
      <c r="AB457" s="80" t="s">
        <v>405</v>
      </c>
      <c r="AC457" s="80" t="s">
        <v>411</v>
      </c>
    </row>
    <row r="458" spans="1:29" x14ac:dyDescent="0.4">
      <c r="A458" s="10" t="s">
        <v>370</v>
      </c>
      <c r="B458" s="78" t="s">
        <v>96</v>
      </c>
      <c r="C458" s="78">
        <f>C457+(BudgetsTable[[#This Row],[lead]]&lt;&gt;K457)</f>
        <v>86</v>
      </c>
      <c r="D458" s="78">
        <f>D457*(BudgetsTable[[#This Row],[lead]]=K457)+(BudgetsTable[[#This Row],[prop_id]]&lt;&gt;A457)</f>
        <v>1</v>
      </c>
      <c r="E458" s="79">
        <v>42935.54583333333</v>
      </c>
      <c r="F458" s="80" t="s">
        <v>256</v>
      </c>
      <c r="G458" s="80" t="s">
        <v>222</v>
      </c>
      <c r="H458" s="80" t="s">
        <v>405</v>
      </c>
      <c r="I458" s="78" t="s">
        <v>422</v>
      </c>
      <c r="J458" s="78" t="s">
        <v>13</v>
      </c>
      <c r="K458" s="80" t="s">
        <v>370</v>
      </c>
      <c r="L458" s="7" t="str">
        <f>IF(BudgetsTable[[#This Row],[pi_last_name]]=" ","",HYPERLINK("https://www.ejacket.nsf.gov/ej/showProposal.do?Continue=Y&amp;ID="&amp;BudgetsTable[[#This Row],[prop_id]],BudgetsTable[[#This Row],[prop_id]]))</f>
        <v/>
      </c>
      <c r="M458" s="15" t="str">
        <f>IF(BudgetsTable[[#This Row],[pi_last_name]]=" ","",HYPERLINK("https://www.ejacket.nsf.gov/ej/processReviewAnalysis.do?dispatch=add&amp;uniqId="&amp;BudgetsTable[[#This Row],[prop_id]]&amp;PO_id,"&gt;ra"))</f>
        <v/>
      </c>
      <c r="N458" s="80" t="s">
        <v>13</v>
      </c>
      <c r="O458" s="7" t="str">
        <f>IF(BudgetsTable[[#This Row],[pi_last_name]]=" ","",HYPERLINK("mailto:"&amp;BudgetsTable[[#This Row],[pi_email]]&amp;"&amp;subject=Your NSF Proposal:  "&amp;BudgetsTable[[#This Row],[prop_id]],BudgetsTable[[#This Row],[pi_email]]))</f>
        <v/>
      </c>
      <c r="P458" s="80" t="s">
        <v>13</v>
      </c>
      <c r="Q458" s="80">
        <v>1</v>
      </c>
      <c r="R458" s="80">
        <v>1</v>
      </c>
      <c r="S458" s="81">
        <v>0</v>
      </c>
      <c r="T458" s="81">
        <v>2500</v>
      </c>
      <c r="U458" s="81">
        <v>0</v>
      </c>
      <c r="V458" s="82">
        <v>107348</v>
      </c>
      <c r="W458" s="80">
        <v>0</v>
      </c>
      <c r="X458" s="80">
        <v>5</v>
      </c>
      <c r="Y458" s="11" t="str">
        <f ca="1">IF(ISBLANK(BudgetsTable[[#This Row],[budg_seq_yr]]),"FY"&amp;fiscalyear,"FY"&amp;fiscalyear-1+BudgetsTable[[#This Row],[budg_seq_yr]])</f>
        <v>FY22</v>
      </c>
      <c r="Z458" s="81">
        <v>107348</v>
      </c>
      <c r="AA458" s="80" t="s">
        <v>222</v>
      </c>
      <c r="AB458" s="80" t="s">
        <v>405</v>
      </c>
      <c r="AC458" s="80" t="s">
        <v>411</v>
      </c>
    </row>
    <row r="459" spans="1:29" x14ac:dyDescent="0.4">
      <c r="A459" s="10" t="s">
        <v>371</v>
      </c>
      <c r="B459" s="78" t="s">
        <v>96</v>
      </c>
      <c r="C459" s="78">
        <f>C458+(BudgetsTable[[#This Row],[lead]]&lt;&gt;K458)</f>
        <v>87</v>
      </c>
      <c r="D459" s="78">
        <f>D458*(BudgetsTable[[#This Row],[lead]]=K458)+(BudgetsTable[[#This Row],[prop_id]]&lt;&gt;A458)</f>
        <v>1</v>
      </c>
      <c r="E459" s="79">
        <v>42935.633333333331</v>
      </c>
      <c r="F459" s="80" t="s">
        <v>256</v>
      </c>
      <c r="G459" s="80" t="s">
        <v>222</v>
      </c>
      <c r="H459" s="80" t="s">
        <v>405</v>
      </c>
      <c r="I459" s="78" t="s">
        <v>406</v>
      </c>
      <c r="J459" s="78" t="s">
        <v>515</v>
      </c>
      <c r="K459" s="80" t="s">
        <v>371</v>
      </c>
      <c r="L459" s="7" t="str">
        <f>IF(BudgetsTable[[#This Row],[pi_last_name]]=" ","",HYPERLINK("https://www.ejacket.nsf.gov/ej/showProposal.do?Continue=Y&amp;ID="&amp;BudgetsTable[[#This Row],[prop_id]],BudgetsTable[[#This Row],[prop_id]]))</f>
        <v>1750780</v>
      </c>
      <c r="M459" s="15" t="str">
        <f>IF(BudgetsTable[[#This Row],[pi_last_name]]=" ","",HYPERLINK("https://www.ejacket.nsf.gov/ej/processReviewAnalysis.do?dispatch=add&amp;uniqId="&amp;BudgetsTable[[#This Row],[prop_id]]&amp;PO_id,"&gt;ra"))</f>
        <v>&gt;ra</v>
      </c>
      <c r="N459" s="80" t="s">
        <v>512</v>
      </c>
      <c r="O459" s="7" t="str">
        <f>IF(BudgetsTable[[#This Row],[pi_last_name]]=" ","",HYPERLINK("mailto:"&amp;BudgetsTable[[#This Row],[pi_email]]&amp;"&amp;subject=Your NSF Proposal:  "&amp;BudgetsTable[[#This Row],[prop_id]],BudgetsTable[[#This Row],[pi_email]]))</f>
        <v>Benjamin.Raichel@utdallas.edu</v>
      </c>
      <c r="P459" s="80" t="s">
        <v>513</v>
      </c>
      <c r="Q459" s="80"/>
      <c r="R459" s="80"/>
      <c r="S459" s="81"/>
      <c r="T459" s="81"/>
      <c r="U459" s="81"/>
      <c r="V459" s="82"/>
      <c r="W459" s="80">
        <v>0</v>
      </c>
      <c r="X459" s="80"/>
      <c r="Y459" s="11" t="str">
        <f ca="1">IF(ISBLANK(BudgetsTable[[#This Row],[budg_seq_yr]]),"FY"&amp;fiscalyear,"FY"&amp;fiscalyear-1+BudgetsTable[[#This Row],[budg_seq_yr]])</f>
        <v>FY18</v>
      </c>
      <c r="Z459" s="81">
        <v>582785</v>
      </c>
      <c r="AA459" s="80" t="s">
        <v>222</v>
      </c>
      <c r="AB459" s="80" t="s">
        <v>405</v>
      </c>
      <c r="AC459" s="80" t="s">
        <v>419</v>
      </c>
    </row>
    <row r="460" spans="1:29" x14ac:dyDescent="0.4">
      <c r="A460" s="10" t="s">
        <v>371</v>
      </c>
      <c r="B460" s="78" t="s">
        <v>96</v>
      </c>
      <c r="C460" s="78">
        <f>C459+(BudgetsTable[[#This Row],[lead]]&lt;&gt;K459)</f>
        <v>87</v>
      </c>
      <c r="D460" s="78">
        <f>D459*(BudgetsTable[[#This Row],[lead]]=K459)+(BudgetsTable[[#This Row],[prop_id]]&lt;&gt;A459)</f>
        <v>1</v>
      </c>
      <c r="E460" s="79">
        <v>42935.633333333331</v>
      </c>
      <c r="F460" s="80" t="s">
        <v>256</v>
      </c>
      <c r="G460" s="80" t="s">
        <v>222</v>
      </c>
      <c r="H460" s="80" t="s">
        <v>405</v>
      </c>
      <c r="I460" s="78" t="s">
        <v>406</v>
      </c>
      <c r="J460" s="78" t="s">
        <v>13</v>
      </c>
      <c r="K460" s="80" t="s">
        <v>371</v>
      </c>
      <c r="L460" s="7" t="str">
        <f>IF(BudgetsTable[[#This Row],[pi_last_name]]=" ","",HYPERLINK("https://www.ejacket.nsf.gov/ej/showProposal.do?Continue=Y&amp;ID="&amp;BudgetsTable[[#This Row],[prop_id]],BudgetsTable[[#This Row],[prop_id]]))</f>
        <v/>
      </c>
      <c r="M460" s="15" t="str">
        <f>IF(BudgetsTable[[#This Row],[pi_last_name]]=" ","",HYPERLINK("https://www.ejacket.nsf.gov/ej/processReviewAnalysis.do?dispatch=add&amp;uniqId="&amp;BudgetsTable[[#This Row],[prop_id]]&amp;PO_id,"&gt;ra"))</f>
        <v/>
      </c>
      <c r="N460" s="80" t="s">
        <v>13</v>
      </c>
      <c r="O460" s="7" t="str">
        <f>IF(BudgetsTable[[#This Row],[pi_last_name]]=" ","",HYPERLINK("mailto:"&amp;BudgetsTable[[#This Row],[pi_email]]&amp;"&amp;subject=Your NSF Proposal:  "&amp;BudgetsTable[[#This Row],[prop_id]],BudgetsTable[[#This Row],[pi_email]]))</f>
        <v/>
      </c>
      <c r="P460" s="80" t="s">
        <v>13</v>
      </c>
      <c r="Q460" s="80">
        <v>1</v>
      </c>
      <c r="R460" s="80">
        <v>1</v>
      </c>
      <c r="S460" s="81">
        <v>0</v>
      </c>
      <c r="T460" s="81">
        <v>2500</v>
      </c>
      <c r="U460" s="81">
        <v>0</v>
      </c>
      <c r="V460" s="82">
        <v>113134</v>
      </c>
      <c r="W460" s="80">
        <v>0</v>
      </c>
      <c r="X460" s="80">
        <v>1</v>
      </c>
      <c r="Y460" s="11" t="str">
        <f ca="1">IF(ISBLANK(BudgetsTable[[#This Row],[budg_seq_yr]]),"FY"&amp;fiscalyear,"FY"&amp;fiscalyear-1+BudgetsTable[[#This Row],[budg_seq_yr]])</f>
        <v>FY18</v>
      </c>
      <c r="Z460" s="81">
        <v>113134</v>
      </c>
      <c r="AA460" s="80" t="s">
        <v>222</v>
      </c>
      <c r="AB460" s="80" t="s">
        <v>405</v>
      </c>
      <c r="AC460" s="80" t="s">
        <v>419</v>
      </c>
    </row>
    <row r="461" spans="1:29" x14ac:dyDescent="0.4">
      <c r="A461" s="10" t="s">
        <v>371</v>
      </c>
      <c r="B461" s="78" t="s">
        <v>96</v>
      </c>
      <c r="C461" s="78">
        <f>C460+(BudgetsTable[[#This Row],[lead]]&lt;&gt;K460)</f>
        <v>87</v>
      </c>
      <c r="D461" s="78">
        <f>D460*(BudgetsTable[[#This Row],[lead]]=K460)+(BudgetsTable[[#This Row],[prop_id]]&lt;&gt;A460)</f>
        <v>1</v>
      </c>
      <c r="E461" s="79">
        <v>42935.633333333331</v>
      </c>
      <c r="F461" s="80" t="s">
        <v>256</v>
      </c>
      <c r="G461" s="80" t="s">
        <v>222</v>
      </c>
      <c r="H461" s="80" t="s">
        <v>405</v>
      </c>
      <c r="I461" s="78" t="s">
        <v>406</v>
      </c>
      <c r="J461" s="78" t="s">
        <v>13</v>
      </c>
      <c r="K461" s="80" t="s">
        <v>371</v>
      </c>
      <c r="L461" s="7" t="str">
        <f>IF(BudgetsTable[[#This Row],[pi_last_name]]=" ","",HYPERLINK("https://www.ejacket.nsf.gov/ej/showProposal.do?Continue=Y&amp;ID="&amp;BudgetsTable[[#This Row],[prop_id]],BudgetsTable[[#This Row],[prop_id]]))</f>
        <v/>
      </c>
      <c r="M461" s="15" t="str">
        <f>IF(BudgetsTable[[#This Row],[pi_last_name]]=" ","",HYPERLINK("https://www.ejacket.nsf.gov/ej/processReviewAnalysis.do?dispatch=add&amp;uniqId="&amp;BudgetsTable[[#This Row],[prop_id]]&amp;PO_id,"&gt;ra"))</f>
        <v/>
      </c>
      <c r="N461" s="80" t="s">
        <v>13</v>
      </c>
      <c r="O461" s="7" t="str">
        <f>IF(BudgetsTable[[#This Row],[pi_last_name]]=" ","",HYPERLINK("mailto:"&amp;BudgetsTable[[#This Row],[pi_email]]&amp;"&amp;subject=Your NSF Proposal:  "&amp;BudgetsTable[[#This Row],[prop_id]],BudgetsTable[[#This Row],[pi_email]]))</f>
        <v/>
      </c>
      <c r="P461" s="80" t="s">
        <v>13</v>
      </c>
      <c r="Q461" s="80">
        <v>1</v>
      </c>
      <c r="R461" s="80">
        <v>1</v>
      </c>
      <c r="S461" s="81">
        <v>0</v>
      </c>
      <c r="T461" s="81">
        <v>0</v>
      </c>
      <c r="U461" s="81">
        <v>0</v>
      </c>
      <c r="V461" s="82">
        <v>113214</v>
      </c>
      <c r="W461" s="80">
        <v>0</v>
      </c>
      <c r="X461" s="80">
        <v>2</v>
      </c>
      <c r="Y461" s="11" t="str">
        <f ca="1">IF(ISBLANK(BudgetsTable[[#This Row],[budg_seq_yr]]),"FY"&amp;fiscalyear,"FY"&amp;fiscalyear-1+BudgetsTable[[#This Row],[budg_seq_yr]])</f>
        <v>FY19</v>
      </c>
      <c r="Z461" s="81">
        <v>113214</v>
      </c>
      <c r="AA461" s="80" t="s">
        <v>222</v>
      </c>
      <c r="AB461" s="80" t="s">
        <v>405</v>
      </c>
      <c r="AC461" s="80" t="s">
        <v>419</v>
      </c>
    </row>
    <row r="462" spans="1:29" x14ac:dyDescent="0.4">
      <c r="A462" s="10" t="s">
        <v>371</v>
      </c>
      <c r="B462" s="78" t="s">
        <v>96</v>
      </c>
      <c r="C462" s="78">
        <f>C461+(BudgetsTable[[#This Row],[lead]]&lt;&gt;K461)</f>
        <v>87</v>
      </c>
      <c r="D462" s="78">
        <f>D461*(BudgetsTable[[#This Row],[lead]]=K461)+(BudgetsTable[[#This Row],[prop_id]]&lt;&gt;A461)</f>
        <v>1</v>
      </c>
      <c r="E462" s="79">
        <v>42935.633333333331</v>
      </c>
      <c r="F462" s="80" t="s">
        <v>256</v>
      </c>
      <c r="G462" s="80" t="s">
        <v>222</v>
      </c>
      <c r="H462" s="80" t="s">
        <v>405</v>
      </c>
      <c r="I462" s="78" t="s">
        <v>406</v>
      </c>
      <c r="J462" s="78" t="s">
        <v>13</v>
      </c>
      <c r="K462" s="80" t="s">
        <v>371</v>
      </c>
      <c r="L462" s="7" t="str">
        <f>IF(BudgetsTable[[#This Row],[pi_last_name]]=" ","",HYPERLINK("https://www.ejacket.nsf.gov/ej/showProposal.do?Continue=Y&amp;ID="&amp;BudgetsTable[[#This Row],[prop_id]],BudgetsTable[[#This Row],[prop_id]]))</f>
        <v/>
      </c>
      <c r="M462" s="15" t="str">
        <f>IF(BudgetsTable[[#This Row],[pi_last_name]]=" ","",HYPERLINK("https://www.ejacket.nsf.gov/ej/processReviewAnalysis.do?dispatch=add&amp;uniqId="&amp;BudgetsTable[[#This Row],[prop_id]]&amp;PO_id,"&gt;ra"))</f>
        <v/>
      </c>
      <c r="N462" s="80" t="s">
        <v>13</v>
      </c>
      <c r="O462" s="7" t="str">
        <f>IF(BudgetsTable[[#This Row],[pi_last_name]]=" ","",HYPERLINK("mailto:"&amp;BudgetsTable[[#This Row],[pi_email]]&amp;"&amp;subject=Your NSF Proposal:  "&amp;BudgetsTable[[#This Row],[prop_id]],BudgetsTable[[#This Row],[pi_email]]))</f>
        <v/>
      </c>
      <c r="P462" s="80" t="s">
        <v>13</v>
      </c>
      <c r="Q462" s="80">
        <v>1</v>
      </c>
      <c r="R462" s="80">
        <v>1</v>
      </c>
      <c r="S462" s="81">
        <v>0</v>
      </c>
      <c r="T462" s="81">
        <v>2500</v>
      </c>
      <c r="U462" s="81">
        <v>0</v>
      </c>
      <c r="V462" s="82">
        <v>117310</v>
      </c>
      <c r="W462" s="80">
        <v>0</v>
      </c>
      <c r="X462" s="80">
        <v>3</v>
      </c>
      <c r="Y462" s="11" t="str">
        <f ca="1">IF(ISBLANK(BudgetsTable[[#This Row],[budg_seq_yr]]),"FY"&amp;fiscalyear,"FY"&amp;fiscalyear-1+BudgetsTable[[#This Row],[budg_seq_yr]])</f>
        <v>FY20</v>
      </c>
      <c r="Z462" s="81">
        <v>117310</v>
      </c>
      <c r="AA462" s="80" t="s">
        <v>222</v>
      </c>
      <c r="AB462" s="80" t="s">
        <v>405</v>
      </c>
      <c r="AC462" s="80" t="s">
        <v>419</v>
      </c>
    </row>
    <row r="463" spans="1:29" x14ac:dyDescent="0.4">
      <c r="A463" s="10" t="s">
        <v>371</v>
      </c>
      <c r="B463" s="78" t="s">
        <v>96</v>
      </c>
      <c r="C463" s="78">
        <f>C462+(BudgetsTable[[#This Row],[lead]]&lt;&gt;K462)</f>
        <v>87</v>
      </c>
      <c r="D463" s="78">
        <f>D462*(BudgetsTable[[#This Row],[lead]]=K462)+(BudgetsTable[[#This Row],[prop_id]]&lt;&gt;A462)</f>
        <v>1</v>
      </c>
      <c r="E463" s="79">
        <v>42935.633333333331</v>
      </c>
      <c r="F463" s="80" t="s">
        <v>256</v>
      </c>
      <c r="G463" s="80" t="s">
        <v>222</v>
      </c>
      <c r="H463" s="80" t="s">
        <v>405</v>
      </c>
      <c r="I463" s="78" t="s">
        <v>406</v>
      </c>
      <c r="J463" s="78" t="s">
        <v>13</v>
      </c>
      <c r="K463" s="80" t="s">
        <v>371</v>
      </c>
      <c r="L463" s="7" t="str">
        <f>IF(BudgetsTable[[#This Row],[pi_last_name]]=" ","",HYPERLINK("https://www.ejacket.nsf.gov/ej/showProposal.do?Continue=Y&amp;ID="&amp;BudgetsTable[[#This Row],[prop_id]],BudgetsTable[[#This Row],[prop_id]]))</f>
        <v/>
      </c>
      <c r="M463" s="15" t="str">
        <f>IF(BudgetsTable[[#This Row],[pi_last_name]]=" ","",HYPERLINK("https://www.ejacket.nsf.gov/ej/processReviewAnalysis.do?dispatch=add&amp;uniqId="&amp;BudgetsTable[[#This Row],[prop_id]]&amp;PO_id,"&gt;ra"))</f>
        <v/>
      </c>
      <c r="N463" s="80" t="s">
        <v>13</v>
      </c>
      <c r="O463" s="7" t="str">
        <f>IF(BudgetsTable[[#This Row],[pi_last_name]]=" ","",HYPERLINK("mailto:"&amp;BudgetsTable[[#This Row],[pi_email]]&amp;"&amp;subject=Your NSF Proposal:  "&amp;BudgetsTable[[#This Row],[prop_id]],BudgetsTable[[#This Row],[pi_email]]))</f>
        <v/>
      </c>
      <c r="P463" s="80" t="s">
        <v>13</v>
      </c>
      <c r="Q463" s="80">
        <v>1</v>
      </c>
      <c r="R463" s="80">
        <v>1</v>
      </c>
      <c r="S463" s="81">
        <v>0</v>
      </c>
      <c r="T463" s="81">
        <v>0</v>
      </c>
      <c r="U463" s="81">
        <v>0</v>
      </c>
      <c r="V463" s="82">
        <v>117472</v>
      </c>
      <c r="W463" s="80">
        <v>0</v>
      </c>
      <c r="X463" s="80">
        <v>4</v>
      </c>
      <c r="Y463" s="11" t="str">
        <f ca="1">IF(ISBLANK(BudgetsTable[[#This Row],[budg_seq_yr]]),"FY"&amp;fiscalyear,"FY"&amp;fiscalyear-1+BudgetsTable[[#This Row],[budg_seq_yr]])</f>
        <v>FY21</v>
      </c>
      <c r="Z463" s="81">
        <v>117472</v>
      </c>
      <c r="AA463" s="80" t="s">
        <v>222</v>
      </c>
      <c r="AB463" s="80" t="s">
        <v>405</v>
      </c>
      <c r="AC463" s="80" t="s">
        <v>419</v>
      </c>
    </row>
    <row r="464" spans="1:29" x14ac:dyDescent="0.4">
      <c r="A464" s="10" t="s">
        <v>371</v>
      </c>
      <c r="B464" s="78" t="s">
        <v>96</v>
      </c>
      <c r="C464" s="78">
        <f>C463+(BudgetsTable[[#This Row],[lead]]&lt;&gt;K463)</f>
        <v>87</v>
      </c>
      <c r="D464" s="78">
        <f>D463*(BudgetsTable[[#This Row],[lead]]=K463)+(BudgetsTable[[#This Row],[prop_id]]&lt;&gt;A463)</f>
        <v>1</v>
      </c>
      <c r="E464" s="79">
        <v>42935.633333333331</v>
      </c>
      <c r="F464" s="80" t="s">
        <v>256</v>
      </c>
      <c r="G464" s="80" t="s">
        <v>222</v>
      </c>
      <c r="H464" s="80" t="s">
        <v>405</v>
      </c>
      <c r="I464" s="78" t="s">
        <v>406</v>
      </c>
      <c r="J464" s="78" t="s">
        <v>13</v>
      </c>
      <c r="K464" s="80" t="s">
        <v>371</v>
      </c>
      <c r="L464" s="7" t="str">
        <f>IF(BudgetsTable[[#This Row],[pi_last_name]]=" ","",HYPERLINK("https://www.ejacket.nsf.gov/ej/showProposal.do?Continue=Y&amp;ID="&amp;BudgetsTable[[#This Row],[prop_id]],BudgetsTable[[#This Row],[prop_id]]))</f>
        <v/>
      </c>
      <c r="M464" s="15" t="str">
        <f>IF(BudgetsTable[[#This Row],[pi_last_name]]=" ","",HYPERLINK("https://www.ejacket.nsf.gov/ej/processReviewAnalysis.do?dispatch=add&amp;uniqId="&amp;BudgetsTable[[#This Row],[prop_id]]&amp;PO_id,"&gt;ra"))</f>
        <v/>
      </c>
      <c r="N464" s="80" t="s">
        <v>13</v>
      </c>
      <c r="O464" s="7" t="str">
        <f>IF(BudgetsTable[[#This Row],[pi_last_name]]=" ","",HYPERLINK("mailto:"&amp;BudgetsTable[[#This Row],[pi_email]]&amp;"&amp;subject=Your NSF Proposal:  "&amp;BudgetsTable[[#This Row],[prop_id]],BudgetsTable[[#This Row],[pi_email]]))</f>
        <v/>
      </c>
      <c r="P464" s="80" t="s">
        <v>13</v>
      </c>
      <c r="Q464" s="80">
        <v>1</v>
      </c>
      <c r="R464" s="80">
        <v>1</v>
      </c>
      <c r="S464" s="81">
        <v>0</v>
      </c>
      <c r="T464" s="81">
        <v>2500</v>
      </c>
      <c r="U464" s="81">
        <v>0</v>
      </c>
      <c r="V464" s="82">
        <v>121655</v>
      </c>
      <c r="W464" s="80">
        <v>0</v>
      </c>
      <c r="X464" s="80">
        <v>5</v>
      </c>
      <c r="Y464" s="11" t="str">
        <f ca="1">IF(ISBLANK(BudgetsTable[[#This Row],[budg_seq_yr]]),"FY"&amp;fiscalyear,"FY"&amp;fiscalyear-1+BudgetsTable[[#This Row],[budg_seq_yr]])</f>
        <v>FY22</v>
      </c>
      <c r="Z464" s="81">
        <v>121655</v>
      </c>
      <c r="AA464" s="80" t="s">
        <v>222</v>
      </c>
      <c r="AB464" s="80" t="s">
        <v>405</v>
      </c>
      <c r="AC464" s="80" t="s">
        <v>419</v>
      </c>
    </row>
    <row r="465" spans="1:29" x14ac:dyDescent="0.4">
      <c r="A465" s="10" t="s">
        <v>372</v>
      </c>
      <c r="B465" s="78" t="s">
        <v>96</v>
      </c>
      <c r="C465" s="78">
        <f>C464+(BudgetsTable[[#This Row],[lead]]&lt;&gt;K464)</f>
        <v>88</v>
      </c>
      <c r="D465" s="78">
        <f>D464*(BudgetsTable[[#This Row],[lead]]=K464)+(BudgetsTable[[#This Row],[prop_id]]&lt;&gt;A464)</f>
        <v>1</v>
      </c>
      <c r="E465" s="79">
        <v>42935.680555555555</v>
      </c>
      <c r="F465" s="80" t="s">
        <v>256</v>
      </c>
      <c r="G465" s="80" t="s">
        <v>222</v>
      </c>
      <c r="H465" s="80" t="s">
        <v>405</v>
      </c>
      <c r="I465" s="78" t="s">
        <v>406</v>
      </c>
      <c r="J465" s="78" t="s">
        <v>520</v>
      </c>
      <c r="K465" s="80" t="s">
        <v>372</v>
      </c>
      <c r="L465" s="7" t="str">
        <f>IF(BudgetsTable[[#This Row],[pi_last_name]]=" ","",HYPERLINK("https://www.ejacket.nsf.gov/ej/showProposal.do?Continue=Y&amp;ID="&amp;BudgetsTable[[#This Row],[prop_id]],BudgetsTable[[#This Row],[prop_id]]))</f>
        <v>1751047</v>
      </c>
      <c r="M465" s="15" t="str">
        <f>IF(BudgetsTable[[#This Row],[pi_last_name]]=" ","",HYPERLINK("https://www.ejacket.nsf.gov/ej/processReviewAnalysis.do?dispatch=add&amp;uniqId="&amp;BudgetsTable[[#This Row],[prop_id]]&amp;PO_id,"&gt;ra"))</f>
        <v>&gt;ra</v>
      </c>
      <c r="N465" s="80" t="s">
        <v>517</v>
      </c>
      <c r="O465" s="7" t="str">
        <f>IF(BudgetsTable[[#This Row],[pi_last_name]]=" ","",HYPERLINK("mailto:"&amp;BudgetsTable[[#This Row],[pi_email]]&amp;"&amp;subject=Your NSF Proposal:  "&amp;BudgetsTable[[#This Row],[prop_id]],BudgetsTable[[#This Row],[pi_email]]))</f>
        <v>MATTHEW.GIBSON@UTSA.EDU</v>
      </c>
      <c r="P465" s="80" t="s">
        <v>519</v>
      </c>
      <c r="Q465" s="80"/>
      <c r="R465" s="80"/>
      <c r="S465" s="81"/>
      <c r="T465" s="81"/>
      <c r="U465" s="81"/>
      <c r="V465" s="82"/>
      <c r="W465" s="80">
        <v>0</v>
      </c>
      <c r="X465" s="80"/>
      <c r="Y465" s="11" t="str">
        <f ca="1">IF(ISBLANK(BudgetsTable[[#This Row],[budg_seq_yr]]),"FY"&amp;fiscalyear,"FY"&amp;fiscalyear-1+BudgetsTable[[#This Row],[budg_seq_yr]])</f>
        <v>FY18</v>
      </c>
      <c r="Z465" s="81">
        <v>415497</v>
      </c>
      <c r="AA465" s="80" t="s">
        <v>222</v>
      </c>
      <c r="AB465" s="80" t="s">
        <v>405</v>
      </c>
      <c r="AC465" s="80" t="s">
        <v>419</v>
      </c>
    </row>
    <row r="466" spans="1:29" x14ac:dyDescent="0.4">
      <c r="A466" s="10" t="s">
        <v>372</v>
      </c>
      <c r="B466" s="78" t="s">
        <v>96</v>
      </c>
      <c r="C466" s="78">
        <f>C465+(BudgetsTable[[#This Row],[lead]]&lt;&gt;K465)</f>
        <v>88</v>
      </c>
      <c r="D466" s="78">
        <f>D465*(BudgetsTable[[#This Row],[lead]]=K465)+(BudgetsTable[[#This Row],[prop_id]]&lt;&gt;A465)</f>
        <v>1</v>
      </c>
      <c r="E466" s="79">
        <v>42935.680555555555</v>
      </c>
      <c r="F466" s="80" t="s">
        <v>256</v>
      </c>
      <c r="G466" s="80" t="s">
        <v>222</v>
      </c>
      <c r="H466" s="80" t="s">
        <v>405</v>
      </c>
      <c r="I466" s="78" t="s">
        <v>406</v>
      </c>
      <c r="J466" s="78" t="s">
        <v>13</v>
      </c>
      <c r="K466" s="80" t="s">
        <v>372</v>
      </c>
      <c r="L466" s="7" t="str">
        <f>IF(BudgetsTable[[#This Row],[pi_last_name]]=" ","",HYPERLINK("https://www.ejacket.nsf.gov/ej/showProposal.do?Continue=Y&amp;ID="&amp;BudgetsTable[[#This Row],[prop_id]],BudgetsTable[[#This Row],[prop_id]]))</f>
        <v/>
      </c>
      <c r="M466" s="15" t="str">
        <f>IF(BudgetsTable[[#This Row],[pi_last_name]]=" ","",HYPERLINK("https://www.ejacket.nsf.gov/ej/processReviewAnalysis.do?dispatch=add&amp;uniqId="&amp;BudgetsTable[[#This Row],[prop_id]]&amp;PO_id,"&gt;ra"))</f>
        <v/>
      </c>
      <c r="N466" s="80" t="s">
        <v>13</v>
      </c>
      <c r="O466" s="7" t="str">
        <f>IF(BudgetsTable[[#This Row],[pi_last_name]]=" ","",HYPERLINK("mailto:"&amp;BudgetsTable[[#This Row],[pi_email]]&amp;"&amp;subject=Your NSF Proposal:  "&amp;BudgetsTable[[#This Row],[prop_id]],BudgetsTable[[#This Row],[pi_email]]))</f>
        <v/>
      </c>
      <c r="P466" s="80" t="s">
        <v>13</v>
      </c>
      <c r="Q466" s="80">
        <v>1</v>
      </c>
      <c r="R466" s="80">
        <v>1</v>
      </c>
      <c r="S466" s="81">
        <v>0</v>
      </c>
      <c r="T466" s="81">
        <v>2450</v>
      </c>
      <c r="U466" s="81">
        <v>16000</v>
      </c>
      <c r="V466" s="82">
        <v>92539</v>
      </c>
      <c r="W466" s="80">
        <v>0</v>
      </c>
      <c r="X466" s="80">
        <v>1</v>
      </c>
      <c r="Y466" s="11" t="str">
        <f ca="1">IF(ISBLANK(BudgetsTable[[#This Row],[budg_seq_yr]]),"FY"&amp;fiscalyear,"FY"&amp;fiscalyear-1+BudgetsTable[[#This Row],[budg_seq_yr]])</f>
        <v>FY18</v>
      </c>
      <c r="Z466" s="81">
        <v>92539</v>
      </c>
      <c r="AA466" s="80" t="s">
        <v>222</v>
      </c>
      <c r="AB466" s="80" t="s">
        <v>405</v>
      </c>
      <c r="AC466" s="80" t="s">
        <v>419</v>
      </c>
    </row>
    <row r="467" spans="1:29" x14ac:dyDescent="0.4">
      <c r="A467" s="10" t="s">
        <v>372</v>
      </c>
      <c r="B467" s="78" t="s">
        <v>96</v>
      </c>
      <c r="C467" s="78">
        <f>C466+(BudgetsTable[[#This Row],[lead]]&lt;&gt;K466)</f>
        <v>88</v>
      </c>
      <c r="D467" s="78">
        <f>D466*(BudgetsTable[[#This Row],[lead]]=K466)+(BudgetsTable[[#This Row],[prop_id]]&lt;&gt;A466)</f>
        <v>1</v>
      </c>
      <c r="E467" s="79">
        <v>42935.680555555555</v>
      </c>
      <c r="F467" s="80" t="s">
        <v>256</v>
      </c>
      <c r="G467" s="80" t="s">
        <v>222</v>
      </c>
      <c r="H467" s="80" t="s">
        <v>405</v>
      </c>
      <c r="I467" s="78" t="s">
        <v>406</v>
      </c>
      <c r="J467" s="78" t="s">
        <v>13</v>
      </c>
      <c r="K467" s="80" t="s">
        <v>372</v>
      </c>
      <c r="L467" s="7" t="str">
        <f>IF(BudgetsTable[[#This Row],[pi_last_name]]=" ","",HYPERLINK("https://www.ejacket.nsf.gov/ej/showProposal.do?Continue=Y&amp;ID="&amp;BudgetsTable[[#This Row],[prop_id]],BudgetsTable[[#This Row],[prop_id]]))</f>
        <v/>
      </c>
      <c r="M467" s="15" t="str">
        <f>IF(BudgetsTable[[#This Row],[pi_last_name]]=" ","",HYPERLINK("https://www.ejacket.nsf.gov/ej/processReviewAnalysis.do?dispatch=add&amp;uniqId="&amp;BudgetsTable[[#This Row],[prop_id]]&amp;PO_id,"&gt;ra"))</f>
        <v/>
      </c>
      <c r="N467" s="80" t="s">
        <v>13</v>
      </c>
      <c r="O467" s="7" t="str">
        <f>IF(BudgetsTable[[#This Row],[pi_last_name]]=" ","",HYPERLINK("mailto:"&amp;BudgetsTable[[#This Row],[pi_email]]&amp;"&amp;subject=Your NSF Proposal:  "&amp;BudgetsTable[[#This Row],[prop_id]],BudgetsTable[[#This Row],[pi_email]]))</f>
        <v/>
      </c>
      <c r="P467" s="80" t="s">
        <v>13</v>
      </c>
      <c r="Q467" s="80">
        <v>1</v>
      </c>
      <c r="R467" s="80">
        <v>1</v>
      </c>
      <c r="S467" s="81">
        <v>0</v>
      </c>
      <c r="T467" s="81">
        <v>2450</v>
      </c>
      <c r="U467" s="81">
        <v>0</v>
      </c>
      <c r="V467" s="82">
        <v>78169</v>
      </c>
      <c r="W467" s="80">
        <v>0</v>
      </c>
      <c r="X467" s="80">
        <v>2</v>
      </c>
      <c r="Y467" s="11" t="str">
        <f ca="1">IF(ISBLANK(BudgetsTable[[#This Row],[budg_seq_yr]]),"FY"&amp;fiscalyear,"FY"&amp;fiscalyear-1+BudgetsTable[[#This Row],[budg_seq_yr]])</f>
        <v>FY19</v>
      </c>
      <c r="Z467" s="81">
        <v>78169</v>
      </c>
      <c r="AA467" s="80" t="s">
        <v>222</v>
      </c>
      <c r="AB467" s="80" t="s">
        <v>405</v>
      </c>
      <c r="AC467" s="80" t="s">
        <v>419</v>
      </c>
    </row>
    <row r="468" spans="1:29" x14ac:dyDescent="0.4">
      <c r="A468" s="10" t="s">
        <v>372</v>
      </c>
      <c r="B468" s="78" t="s">
        <v>96</v>
      </c>
      <c r="C468" s="78">
        <f>C467+(BudgetsTable[[#This Row],[lead]]&lt;&gt;K467)</f>
        <v>88</v>
      </c>
      <c r="D468" s="78">
        <f>D467*(BudgetsTable[[#This Row],[lead]]=K467)+(BudgetsTable[[#This Row],[prop_id]]&lt;&gt;A467)</f>
        <v>1</v>
      </c>
      <c r="E468" s="79">
        <v>42935.680555555555</v>
      </c>
      <c r="F468" s="80" t="s">
        <v>256</v>
      </c>
      <c r="G468" s="80" t="s">
        <v>222</v>
      </c>
      <c r="H468" s="80" t="s">
        <v>405</v>
      </c>
      <c r="I468" s="78" t="s">
        <v>406</v>
      </c>
      <c r="J468" s="78" t="s">
        <v>13</v>
      </c>
      <c r="K468" s="80" t="s">
        <v>372</v>
      </c>
      <c r="L468" s="7" t="str">
        <f>IF(BudgetsTable[[#This Row],[pi_last_name]]=" ","",HYPERLINK("https://www.ejacket.nsf.gov/ej/showProposal.do?Continue=Y&amp;ID="&amp;BudgetsTable[[#This Row],[prop_id]],BudgetsTable[[#This Row],[prop_id]]))</f>
        <v/>
      </c>
      <c r="M468" s="15" t="str">
        <f>IF(BudgetsTable[[#This Row],[pi_last_name]]=" ","",HYPERLINK("https://www.ejacket.nsf.gov/ej/processReviewAnalysis.do?dispatch=add&amp;uniqId="&amp;BudgetsTable[[#This Row],[prop_id]]&amp;PO_id,"&gt;ra"))</f>
        <v/>
      </c>
      <c r="N468" s="80" t="s">
        <v>13</v>
      </c>
      <c r="O468" s="7" t="str">
        <f>IF(BudgetsTable[[#This Row],[pi_last_name]]=" ","",HYPERLINK("mailto:"&amp;BudgetsTable[[#This Row],[pi_email]]&amp;"&amp;subject=Your NSF Proposal:  "&amp;BudgetsTable[[#This Row],[prop_id]],BudgetsTable[[#This Row],[pi_email]]))</f>
        <v/>
      </c>
      <c r="P468" s="80" t="s">
        <v>13</v>
      </c>
      <c r="Q468" s="80">
        <v>1</v>
      </c>
      <c r="R468" s="80">
        <v>1</v>
      </c>
      <c r="S468" s="81">
        <v>0</v>
      </c>
      <c r="T468" s="81">
        <v>2450</v>
      </c>
      <c r="U468" s="81">
        <v>0</v>
      </c>
      <c r="V468" s="82">
        <v>79849</v>
      </c>
      <c r="W468" s="80">
        <v>0</v>
      </c>
      <c r="X468" s="80">
        <v>3</v>
      </c>
      <c r="Y468" s="11" t="str">
        <f ca="1">IF(ISBLANK(BudgetsTable[[#This Row],[budg_seq_yr]]),"FY"&amp;fiscalyear,"FY"&amp;fiscalyear-1+BudgetsTable[[#This Row],[budg_seq_yr]])</f>
        <v>FY20</v>
      </c>
      <c r="Z468" s="81">
        <v>79849</v>
      </c>
      <c r="AA468" s="80" t="s">
        <v>222</v>
      </c>
      <c r="AB468" s="80" t="s">
        <v>405</v>
      </c>
      <c r="AC468" s="80" t="s">
        <v>419</v>
      </c>
    </row>
    <row r="469" spans="1:29" x14ac:dyDescent="0.4">
      <c r="A469" s="10" t="s">
        <v>372</v>
      </c>
      <c r="B469" s="78" t="s">
        <v>96</v>
      </c>
      <c r="C469" s="78">
        <f>C468+(BudgetsTable[[#This Row],[lead]]&lt;&gt;K468)</f>
        <v>88</v>
      </c>
      <c r="D469" s="78">
        <f>D468*(BudgetsTable[[#This Row],[lead]]=K468)+(BudgetsTable[[#This Row],[prop_id]]&lt;&gt;A468)</f>
        <v>1</v>
      </c>
      <c r="E469" s="79">
        <v>42935.680555555555</v>
      </c>
      <c r="F469" s="80" t="s">
        <v>256</v>
      </c>
      <c r="G469" s="80" t="s">
        <v>222</v>
      </c>
      <c r="H469" s="80" t="s">
        <v>405</v>
      </c>
      <c r="I469" s="78" t="s">
        <v>406</v>
      </c>
      <c r="J469" s="78" t="s">
        <v>13</v>
      </c>
      <c r="K469" s="80" t="s">
        <v>372</v>
      </c>
      <c r="L469" s="7" t="str">
        <f>IF(BudgetsTable[[#This Row],[pi_last_name]]=" ","",HYPERLINK("https://www.ejacket.nsf.gov/ej/showProposal.do?Continue=Y&amp;ID="&amp;BudgetsTable[[#This Row],[prop_id]],BudgetsTable[[#This Row],[prop_id]]))</f>
        <v/>
      </c>
      <c r="M469" s="15" t="str">
        <f>IF(BudgetsTable[[#This Row],[pi_last_name]]=" ","",HYPERLINK("https://www.ejacket.nsf.gov/ej/processReviewAnalysis.do?dispatch=add&amp;uniqId="&amp;BudgetsTable[[#This Row],[prop_id]]&amp;PO_id,"&gt;ra"))</f>
        <v/>
      </c>
      <c r="N469" s="80" t="s">
        <v>13</v>
      </c>
      <c r="O469" s="7" t="str">
        <f>IF(BudgetsTable[[#This Row],[pi_last_name]]=" ","",HYPERLINK("mailto:"&amp;BudgetsTable[[#This Row],[pi_email]]&amp;"&amp;subject=Your NSF Proposal:  "&amp;BudgetsTable[[#This Row],[prop_id]],BudgetsTable[[#This Row],[pi_email]]))</f>
        <v/>
      </c>
      <c r="P469" s="80" t="s">
        <v>13</v>
      </c>
      <c r="Q469" s="80">
        <v>1</v>
      </c>
      <c r="R469" s="80">
        <v>1</v>
      </c>
      <c r="S469" s="81">
        <v>0</v>
      </c>
      <c r="T469" s="81">
        <v>2450</v>
      </c>
      <c r="U469" s="81">
        <v>0</v>
      </c>
      <c r="V469" s="82">
        <v>81580</v>
      </c>
      <c r="W469" s="80">
        <v>0</v>
      </c>
      <c r="X469" s="80">
        <v>4</v>
      </c>
      <c r="Y469" s="11" t="str">
        <f ca="1">IF(ISBLANK(BudgetsTable[[#This Row],[budg_seq_yr]]),"FY"&amp;fiscalyear,"FY"&amp;fiscalyear-1+BudgetsTable[[#This Row],[budg_seq_yr]])</f>
        <v>FY21</v>
      </c>
      <c r="Z469" s="81">
        <v>81580</v>
      </c>
      <c r="AA469" s="80" t="s">
        <v>222</v>
      </c>
      <c r="AB469" s="80" t="s">
        <v>405</v>
      </c>
      <c r="AC469" s="80" t="s">
        <v>419</v>
      </c>
    </row>
    <row r="470" spans="1:29" x14ac:dyDescent="0.4">
      <c r="A470" s="10" t="s">
        <v>372</v>
      </c>
      <c r="B470" s="78" t="s">
        <v>96</v>
      </c>
      <c r="C470" s="78">
        <f>C469+(BudgetsTable[[#This Row],[lead]]&lt;&gt;K469)</f>
        <v>88</v>
      </c>
      <c r="D470" s="78">
        <f>D469*(BudgetsTable[[#This Row],[lead]]=K469)+(BudgetsTable[[#This Row],[prop_id]]&lt;&gt;A469)</f>
        <v>1</v>
      </c>
      <c r="E470" s="79">
        <v>42935.680555555555</v>
      </c>
      <c r="F470" s="80" t="s">
        <v>256</v>
      </c>
      <c r="G470" s="80" t="s">
        <v>222</v>
      </c>
      <c r="H470" s="80" t="s">
        <v>405</v>
      </c>
      <c r="I470" s="78" t="s">
        <v>406</v>
      </c>
      <c r="J470" s="78" t="s">
        <v>13</v>
      </c>
      <c r="K470" s="80" t="s">
        <v>372</v>
      </c>
      <c r="L470" s="7" t="str">
        <f>IF(BudgetsTable[[#This Row],[pi_last_name]]=" ","",HYPERLINK("https://www.ejacket.nsf.gov/ej/showProposal.do?Continue=Y&amp;ID="&amp;BudgetsTable[[#This Row],[prop_id]],BudgetsTable[[#This Row],[prop_id]]))</f>
        <v/>
      </c>
      <c r="M470" s="15" t="str">
        <f>IF(BudgetsTable[[#This Row],[pi_last_name]]=" ","",HYPERLINK("https://www.ejacket.nsf.gov/ej/processReviewAnalysis.do?dispatch=add&amp;uniqId="&amp;BudgetsTable[[#This Row],[prop_id]]&amp;PO_id,"&gt;ra"))</f>
        <v/>
      </c>
      <c r="N470" s="80" t="s">
        <v>13</v>
      </c>
      <c r="O470" s="7" t="str">
        <f>IF(BudgetsTable[[#This Row],[pi_last_name]]=" ","",HYPERLINK("mailto:"&amp;BudgetsTable[[#This Row],[pi_email]]&amp;"&amp;subject=Your NSF Proposal:  "&amp;BudgetsTable[[#This Row],[prop_id]],BudgetsTable[[#This Row],[pi_email]]))</f>
        <v/>
      </c>
      <c r="P470" s="80" t="s">
        <v>13</v>
      </c>
      <c r="Q470" s="80">
        <v>1</v>
      </c>
      <c r="R470" s="80">
        <v>1</v>
      </c>
      <c r="S470" s="81">
        <v>0</v>
      </c>
      <c r="T470" s="81">
        <v>2450</v>
      </c>
      <c r="U470" s="81">
        <v>0</v>
      </c>
      <c r="V470" s="82">
        <v>83360</v>
      </c>
      <c r="W470" s="80">
        <v>0</v>
      </c>
      <c r="X470" s="80">
        <v>5</v>
      </c>
      <c r="Y470" s="11" t="str">
        <f ca="1">IF(ISBLANK(BudgetsTable[[#This Row],[budg_seq_yr]]),"FY"&amp;fiscalyear,"FY"&amp;fiscalyear-1+BudgetsTable[[#This Row],[budg_seq_yr]])</f>
        <v>FY22</v>
      </c>
      <c r="Z470" s="81">
        <v>83360</v>
      </c>
      <c r="AA470" s="80" t="s">
        <v>222</v>
      </c>
      <c r="AB470" s="80" t="s">
        <v>405</v>
      </c>
      <c r="AC470" s="80" t="s">
        <v>419</v>
      </c>
    </row>
    <row r="471" spans="1:29" x14ac:dyDescent="0.4">
      <c r="A471" s="10" t="s">
        <v>373</v>
      </c>
      <c r="B471" s="78" t="s">
        <v>96</v>
      </c>
      <c r="C471" s="78">
        <f>C470+(BudgetsTable[[#This Row],[lead]]&lt;&gt;K470)</f>
        <v>89</v>
      </c>
      <c r="D471" s="78">
        <f>D470*(BudgetsTable[[#This Row],[lead]]=K470)+(BudgetsTable[[#This Row],[prop_id]]&lt;&gt;A470)</f>
        <v>1</v>
      </c>
      <c r="E471" s="79">
        <v>42935.69027777778</v>
      </c>
      <c r="F471" s="80" t="s">
        <v>256</v>
      </c>
      <c r="G471" s="80" t="s">
        <v>222</v>
      </c>
      <c r="H471" s="80" t="s">
        <v>405</v>
      </c>
      <c r="I471" s="78" t="s">
        <v>406</v>
      </c>
      <c r="J471" s="78" t="s">
        <v>526</v>
      </c>
      <c r="K471" s="80" t="s">
        <v>373</v>
      </c>
      <c r="L471" s="7" t="str">
        <f>IF(BudgetsTable[[#This Row],[pi_last_name]]=" ","",HYPERLINK("https://www.ejacket.nsf.gov/ej/showProposal.do?Continue=Y&amp;ID="&amp;BudgetsTable[[#This Row],[prop_id]],BudgetsTable[[#This Row],[prop_id]]))</f>
        <v>1751102</v>
      </c>
      <c r="M471" s="15" t="str">
        <f>IF(BudgetsTable[[#This Row],[pi_last_name]]=" ","",HYPERLINK("https://www.ejacket.nsf.gov/ej/processReviewAnalysis.do?dispatch=add&amp;uniqId="&amp;BudgetsTable[[#This Row],[prop_id]]&amp;PO_id,"&gt;ra"))</f>
        <v>&gt;ra</v>
      </c>
      <c r="N471" s="80" t="s">
        <v>523</v>
      </c>
      <c r="O471" s="7" t="str">
        <f>IF(BudgetsTable[[#This Row],[pi_last_name]]=" ","",HYPERLINK("mailto:"&amp;BudgetsTable[[#This Row],[pi_email]]&amp;"&amp;subject=Your NSF Proposal:  "&amp;BudgetsTable[[#This Row],[prop_id]],BudgetsTable[[#This Row],[pi_email]]))</f>
        <v>evouga@cs.utexas.edu</v>
      </c>
      <c r="P471" s="80" t="s">
        <v>525</v>
      </c>
      <c r="Q471" s="80"/>
      <c r="R471" s="80"/>
      <c r="S471" s="81"/>
      <c r="T471" s="81"/>
      <c r="U471" s="81"/>
      <c r="V471" s="82"/>
      <c r="W471" s="80">
        <v>0</v>
      </c>
      <c r="X471" s="80"/>
      <c r="Y471" s="11" t="str">
        <f ca="1">IF(ISBLANK(BudgetsTable[[#This Row],[budg_seq_yr]]),"FY"&amp;fiscalyear,"FY"&amp;fiscalyear-1+BudgetsTable[[#This Row],[budg_seq_yr]])</f>
        <v>FY18</v>
      </c>
      <c r="Z471" s="81">
        <v>523537</v>
      </c>
      <c r="AA471" s="80" t="s">
        <v>222</v>
      </c>
      <c r="AB471" s="80" t="s">
        <v>405</v>
      </c>
      <c r="AC471" s="80" t="s">
        <v>419</v>
      </c>
    </row>
    <row r="472" spans="1:29" x14ac:dyDescent="0.4">
      <c r="A472" s="10" t="s">
        <v>373</v>
      </c>
      <c r="B472" s="78" t="s">
        <v>96</v>
      </c>
      <c r="C472" s="78">
        <f>C471+(BudgetsTable[[#This Row],[lead]]&lt;&gt;K471)</f>
        <v>89</v>
      </c>
      <c r="D472" s="78">
        <f>D471*(BudgetsTable[[#This Row],[lead]]=K471)+(BudgetsTable[[#This Row],[prop_id]]&lt;&gt;A471)</f>
        <v>1</v>
      </c>
      <c r="E472" s="79">
        <v>42935.69027777778</v>
      </c>
      <c r="F472" s="80" t="s">
        <v>256</v>
      </c>
      <c r="G472" s="80" t="s">
        <v>222</v>
      </c>
      <c r="H472" s="80" t="s">
        <v>405</v>
      </c>
      <c r="I472" s="78" t="s">
        <v>406</v>
      </c>
      <c r="J472" s="78" t="s">
        <v>13</v>
      </c>
      <c r="K472" s="80" t="s">
        <v>373</v>
      </c>
      <c r="L472" s="7" t="str">
        <f>IF(BudgetsTable[[#This Row],[pi_last_name]]=" ","",HYPERLINK("https://www.ejacket.nsf.gov/ej/showProposal.do?Continue=Y&amp;ID="&amp;BudgetsTable[[#This Row],[prop_id]],BudgetsTable[[#This Row],[prop_id]]))</f>
        <v/>
      </c>
      <c r="M472" s="15" t="str">
        <f>IF(BudgetsTable[[#This Row],[pi_last_name]]=" ","",HYPERLINK("https://www.ejacket.nsf.gov/ej/processReviewAnalysis.do?dispatch=add&amp;uniqId="&amp;BudgetsTable[[#This Row],[prop_id]]&amp;PO_id,"&gt;ra"))</f>
        <v/>
      </c>
      <c r="N472" s="80" t="s">
        <v>13</v>
      </c>
      <c r="O472" s="7" t="str">
        <f>IF(BudgetsTable[[#This Row],[pi_last_name]]=" ","",HYPERLINK("mailto:"&amp;BudgetsTable[[#This Row],[pi_email]]&amp;"&amp;subject=Your NSF Proposal:  "&amp;BudgetsTable[[#This Row],[prop_id]],BudgetsTable[[#This Row],[pi_email]]))</f>
        <v/>
      </c>
      <c r="P472" s="80" t="s">
        <v>13</v>
      </c>
      <c r="Q472" s="80">
        <v>1</v>
      </c>
      <c r="R472" s="80">
        <v>0.4</v>
      </c>
      <c r="S472" s="81">
        <v>0</v>
      </c>
      <c r="T472" s="81">
        <v>3000</v>
      </c>
      <c r="U472" s="81">
        <v>0</v>
      </c>
      <c r="V472" s="82">
        <v>150440</v>
      </c>
      <c r="W472" s="80">
        <v>0</v>
      </c>
      <c r="X472" s="80">
        <v>1</v>
      </c>
      <c r="Y472" s="11" t="str">
        <f ca="1">IF(ISBLANK(BudgetsTable[[#This Row],[budg_seq_yr]]),"FY"&amp;fiscalyear,"FY"&amp;fiscalyear-1+BudgetsTable[[#This Row],[budg_seq_yr]])</f>
        <v>FY18</v>
      </c>
      <c r="Z472" s="81">
        <v>150440</v>
      </c>
      <c r="AA472" s="80" t="s">
        <v>222</v>
      </c>
      <c r="AB472" s="80" t="s">
        <v>405</v>
      </c>
      <c r="AC472" s="80" t="s">
        <v>419</v>
      </c>
    </row>
    <row r="473" spans="1:29" x14ac:dyDescent="0.4">
      <c r="A473" s="10" t="s">
        <v>373</v>
      </c>
      <c r="B473" s="78" t="s">
        <v>96</v>
      </c>
      <c r="C473" s="78">
        <f>C472+(BudgetsTable[[#This Row],[lead]]&lt;&gt;K472)</f>
        <v>89</v>
      </c>
      <c r="D473" s="78">
        <f>D472*(BudgetsTable[[#This Row],[lead]]=K472)+(BudgetsTable[[#This Row],[prop_id]]&lt;&gt;A472)</f>
        <v>1</v>
      </c>
      <c r="E473" s="79">
        <v>42935.69027777778</v>
      </c>
      <c r="F473" s="80" t="s">
        <v>256</v>
      </c>
      <c r="G473" s="80" t="s">
        <v>222</v>
      </c>
      <c r="H473" s="80" t="s">
        <v>405</v>
      </c>
      <c r="I473" s="78" t="s">
        <v>406</v>
      </c>
      <c r="J473" s="78" t="s">
        <v>13</v>
      </c>
      <c r="K473" s="80" t="s">
        <v>373</v>
      </c>
      <c r="L473" s="7" t="str">
        <f>IF(BudgetsTable[[#This Row],[pi_last_name]]=" ","",HYPERLINK("https://www.ejacket.nsf.gov/ej/showProposal.do?Continue=Y&amp;ID="&amp;BudgetsTable[[#This Row],[prop_id]],BudgetsTable[[#This Row],[prop_id]]))</f>
        <v/>
      </c>
      <c r="M473" s="15" t="str">
        <f>IF(BudgetsTable[[#This Row],[pi_last_name]]=" ","",HYPERLINK("https://www.ejacket.nsf.gov/ej/processReviewAnalysis.do?dispatch=add&amp;uniqId="&amp;BudgetsTable[[#This Row],[prop_id]]&amp;PO_id,"&gt;ra"))</f>
        <v/>
      </c>
      <c r="N473" s="80" t="s">
        <v>13</v>
      </c>
      <c r="O473" s="7" t="str">
        <f>IF(BudgetsTable[[#This Row],[pi_last_name]]=" ","",HYPERLINK("mailto:"&amp;BudgetsTable[[#This Row],[pi_email]]&amp;"&amp;subject=Your NSF Proposal:  "&amp;BudgetsTable[[#This Row],[prop_id]],BudgetsTable[[#This Row],[pi_email]]))</f>
        <v/>
      </c>
      <c r="P473" s="80" t="s">
        <v>13</v>
      </c>
      <c r="Q473" s="80">
        <v>1</v>
      </c>
      <c r="R473" s="80">
        <v>0.4</v>
      </c>
      <c r="S473" s="81">
        <v>0</v>
      </c>
      <c r="T473" s="81">
        <v>3000</v>
      </c>
      <c r="U473" s="81">
        <v>0</v>
      </c>
      <c r="V473" s="82">
        <v>148480</v>
      </c>
      <c r="W473" s="80">
        <v>0</v>
      </c>
      <c r="X473" s="80">
        <v>2</v>
      </c>
      <c r="Y473" s="11" t="str">
        <f ca="1">IF(ISBLANK(BudgetsTable[[#This Row],[budg_seq_yr]]),"FY"&amp;fiscalyear,"FY"&amp;fiscalyear-1+BudgetsTable[[#This Row],[budg_seq_yr]])</f>
        <v>FY19</v>
      </c>
      <c r="Z473" s="81">
        <v>148480</v>
      </c>
      <c r="AA473" s="80" t="s">
        <v>222</v>
      </c>
      <c r="AB473" s="80" t="s">
        <v>405</v>
      </c>
      <c r="AC473" s="80" t="s">
        <v>419</v>
      </c>
    </row>
    <row r="474" spans="1:29" x14ac:dyDescent="0.4">
      <c r="A474" s="10" t="s">
        <v>373</v>
      </c>
      <c r="B474" s="78" t="s">
        <v>96</v>
      </c>
      <c r="C474" s="78">
        <f>C473+(BudgetsTable[[#This Row],[lead]]&lt;&gt;K473)</f>
        <v>89</v>
      </c>
      <c r="D474" s="78">
        <f>D473*(BudgetsTable[[#This Row],[lead]]=K473)+(BudgetsTable[[#This Row],[prop_id]]&lt;&gt;A473)</f>
        <v>1</v>
      </c>
      <c r="E474" s="79">
        <v>42935.69027777778</v>
      </c>
      <c r="F474" s="80" t="s">
        <v>256</v>
      </c>
      <c r="G474" s="80" t="s">
        <v>222</v>
      </c>
      <c r="H474" s="80" t="s">
        <v>405</v>
      </c>
      <c r="I474" s="78" t="s">
        <v>406</v>
      </c>
      <c r="J474" s="78" t="s">
        <v>13</v>
      </c>
      <c r="K474" s="80" t="s">
        <v>373</v>
      </c>
      <c r="L474" s="7" t="str">
        <f>IF(BudgetsTable[[#This Row],[pi_last_name]]=" ","",HYPERLINK("https://www.ejacket.nsf.gov/ej/showProposal.do?Continue=Y&amp;ID="&amp;BudgetsTable[[#This Row],[prop_id]],BudgetsTable[[#This Row],[prop_id]]))</f>
        <v/>
      </c>
      <c r="M474" s="15" t="str">
        <f>IF(BudgetsTable[[#This Row],[pi_last_name]]=" ","",HYPERLINK("https://www.ejacket.nsf.gov/ej/processReviewAnalysis.do?dispatch=add&amp;uniqId="&amp;BudgetsTable[[#This Row],[prop_id]]&amp;PO_id,"&gt;ra"))</f>
        <v/>
      </c>
      <c r="N474" s="80" t="s">
        <v>13</v>
      </c>
      <c r="O474" s="7" t="str">
        <f>IF(BudgetsTable[[#This Row],[pi_last_name]]=" ","",HYPERLINK("mailto:"&amp;BudgetsTable[[#This Row],[pi_email]]&amp;"&amp;subject=Your NSF Proposal:  "&amp;BudgetsTable[[#This Row],[prop_id]],BudgetsTable[[#This Row],[pi_email]]))</f>
        <v/>
      </c>
      <c r="P474" s="80" t="s">
        <v>13</v>
      </c>
      <c r="Q474" s="80">
        <v>1</v>
      </c>
      <c r="R474" s="80">
        <v>0.4</v>
      </c>
      <c r="S474" s="81">
        <v>0</v>
      </c>
      <c r="T474" s="81">
        <v>3000</v>
      </c>
      <c r="U474" s="81">
        <v>0</v>
      </c>
      <c r="V474" s="82">
        <v>74290</v>
      </c>
      <c r="W474" s="80">
        <v>0</v>
      </c>
      <c r="X474" s="80">
        <v>3</v>
      </c>
      <c r="Y474" s="11" t="str">
        <f ca="1">IF(ISBLANK(BudgetsTable[[#This Row],[budg_seq_yr]]),"FY"&amp;fiscalyear,"FY"&amp;fiscalyear-1+BudgetsTable[[#This Row],[budg_seq_yr]])</f>
        <v>FY20</v>
      </c>
      <c r="Z474" s="81">
        <v>74290</v>
      </c>
      <c r="AA474" s="80" t="s">
        <v>222</v>
      </c>
      <c r="AB474" s="80" t="s">
        <v>405</v>
      </c>
      <c r="AC474" s="80" t="s">
        <v>419</v>
      </c>
    </row>
    <row r="475" spans="1:29" x14ac:dyDescent="0.4">
      <c r="A475" s="10" t="s">
        <v>373</v>
      </c>
      <c r="B475" s="78" t="s">
        <v>96</v>
      </c>
      <c r="C475" s="78">
        <f>C474+(BudgetsTable[[#This Row],[lead]]&lt;&gt;K474)</f>
        <v>89</v>
      </c>
      <c r="D475" s="78">
        <f>D474*(BudgetsTable[[#This Row],[lead]]=K474)+(BudgetsTable[[#This Row],[prop_id]]&lt;&gt;A474)</f>
        <v>1</v>
      </c>
      <c r="E475" s="79">
        <v>42935.69027777778</v>
      </c>
      <c r="F475" s="80" t="s">
        <v>256</v>
      </c>
      <c r="G475" s="80" t="s">
        <v>222</v>
      </c>
      <c r="H475" s="80" t="s">
        <v>405</v>
      </c>
      <c r="I475" s="78" t="s">
        <v>406</v>
      </c>
      <c r="J475" s="78" t="s">
        <v>13</v>
      </c>
      <c r="K475" s="80" t="s">
        <v>373</v>
      </c>
      <c r="L475" s="7" t="str">
        <f>IF(BudgetsTable[[#This Row],[pi_last_name]]=" ","",HYPERLINK("https://www.ejacket.nsf.gov/ej/showProposal.do?Continue=Y&amp;ID="&amp;BudgetsTable[[#This Row],[prop_id]],BudgetsTable[[#This Row],[prop_id]]))</f>
        <v/>
      </c>
      <c r="M475" s="15" t="str">
        <f>IF(BudgetsTable[[#This Row],[pi_last_name]]=" ","",HYPERLINK("https://www.ejacket.nsf.gov/ej/processReviewAnalysis.do?dispatch=add&amp;uniqId="&amp;BudgetsTable[[#This Row],[prop_id]]&amp;PO_id,"&gt;ra"))</f>
        <v/>
      </c>
      <c r="N475" s="80" t="s">
        <v>13</v>
      </c>
      <c r="O475" s="7" t="str">
        <f>IF(BudgetsTable[[#This Row],[pi_last_name]]=" ","",HYPERLINK("mailto:"&amp;BudgetsTable[[#This Row],[pi_email]]&amp;"&amp;subject=Your NSF Proposal:  "&amp;BudgetsTable[[#This Row],[prop_id]],BudgetsTable[[#This Row],[pi_email]]))</f>
        <v/>
      </c>
      <c r="P475" s="80" t="s">
        <v>13</v>
      </c>
      <c r="Q475" s="80">
        <v>1</v>
      </c>
      <c r="R475" s="80">
        <v>0.4</v>
      </c>
      <c r="S475" s="81">
        <v>0</v>
      </c>
      <c r="T475" s="81">
        <v>3000</v>
      </c>
      <c r="U475" s="81">
        <v>0</v>
      </c>
      <c r="V475" s="82">
        <v>74335</v>
      </c>
      <c r="W475" s="80">
        <v>0</v>
      </c>
      <c r="X475" s="80">
        <v>4</v>
      </c>
      <c r="Y475" s="11" t="str">
        <f ca="1">IF(ISBLANK(BudgetsTable[[#This Row],[budg_seq_yr]]),"FY"&amp;fiscalyear,"FY"&amp;fiscalyear-1+BudgetsTable[[#This Row],[budg_seq_yr]])</f>
        <v>FY21</v>
      </c>
      <c r="Z475" s="81">
        <v>74335</v>
      </c>
      <c r="AA475" s="80" t="s">
        <v>222</v>
      </c>
      <c r="AB475" s="80" t="s">
        <v>405</v>
      </c>
      <c r="AC475" s="80" t="s">
        <v>419</v>
      </c>
    </row>
    <row r="476" spans="1:29" x14ac:dyDescent="0.4">
      <c r="A476" s="10" t="s">
        <v>373</v>
      </c>
      <c r="B476" s="78" t="s">
        <v>96</v>
      </c>
      <c r="C476" s="78">
        <f>C475+(BudgetsTable[[#This Row],[lead]]&lt;&gt;K475)</f>
        <v>89</v>
      </c>
      <c r="D476" s="78">
        <f>D475*(BudgetsTable[[#This Row],[lead]]=K475)+(BudgetsTable[[#This Row],[prop_id]]&lt;&gt;A475)</f>
        <v>1</v>
      </c>
      <c r="E476" s="79">
        <v>42935.69027777778</v>
      </c>
      <c r="F476" s="80" t="s">
        <v>256</v>
      </c>
      <c r="G476" s="80" t="s">
        <v>222</v>
      </c>
      <c r="H476" s="80" t="s">
        <v>405</v>
      </c>
      <c r="I476" s="78" t="s">
        <v>406</v>
      </c>
      <c r="J476" s="78" t="s">
        <v>13</v>
      </c>
      <c r="K476" s="80" t="s">
        <v>373</v>
      </c>
      <c r="L476" s="7" t="str">
        <f>IF(BudgetsTable[[#This Row],[pi_last_name]]=" ","",HYPERLINK("https://www.ejacket.nsf.gov/ej/showProposal.do?Continue=Y&amp;ID="&amp;BudgetsTable[[#This Row],[prop_id]],BudgetsTable[[#This Row],[prop_id]]))</f>
        <v/>
      </c>
      <c r="M476" s="15" t="str">
        <f>IF(BudgetsTable[[#This Row],[pi_last_name]]=" ","",HYPERLINK("https://www.ejacket.nsf.gov/ej/processReviewAnalysis.do?dispatch=add&amp;uniqId="&amp;BudgetsTable[[#This Row],[prop_id]]&amp;PO_id,"&gt;ra"))</f>
        <v/>
      </c>
      <c r="N476" s="80" t="s">
        <v>13</v>
      </c>
      <c r="O476" s="7" t="str">
        <f>IF(BudgetsTable[[#This Row],[pi_last_name]]=" ","",HYPERLINK("mailto:"&amp;BudgetsTable[[#This Row],[pi_email]]&amp;"&amp;subject=Your NSF Proposal:  "&amp;BudgetsTable[[#This Row],[prop_id]],BudgetsTable[[#This Row],[pi_email]]))</f>
        <v/>
      </c>
      <c r="P476" s="80" t="s">
        <v>13</v>
      </c>
      <c r="Q476" s="80">
        <v>1</v>
      </c>
      <c r="R476" s="80">
        <v>0.4</v>
      </c>
      <c r="S476" s="81">
        <v>0</v>
      </c>
      <c r="T476" s="81">
        <v>3000</v>
      </c>
      <c r="U476" s="81">
        <v>0</v>
      </c>
      <c r="V476" s="82">
        <v>75992</v>
      </c>
      <c r="W476" s="80">
        <v>0</v>
      </c>
      <c r="X476" s="80">
        <v>5</v>
      </c>
      <c r="Y476" s="11" t="str">
        <f ca="1">IF(ISBLANK(BudgetsTable[[#This Row],[budg_seq_yr]]),"FY"&amp;fiscalyear,"FY"&amp;fiscalyear-1+BudgetsTable[[#This Row],[budg_seq_yr]])</f>
        <v>FY22</v>
      </c>
      <c r="Z476" s="81">
        <v>75992</v>
      </c>
      <c r="AA476" s="80" t="s">
        <v>222</v>
      </c>
      <c r="AB476" s="80" t="s">
        <v>405</v>
      </c>
      <c r="AC476" s="80" t="s">
        <v>419</v>
      </c>
    </row>
    <row r="477" spans="1:29" x14ac:dyDescent="0.4">
      <c r="A477" s="10" t="s">
        <v>374</v>
      </c>
      <c r="B477" s="78" t="s">
        <v>96</v>
      </c>
      <c r="C477" s="78">
        <f>C476+(BudgetsTable[[#This Row],[lead]]&lt;&gt;K476)</f>
        <v>90</v>
      </c>
      <c r="D477" s="78">
        <f>D476*(BudgetsTable[[#This Row],[lead]]=K476)+(BudgetsTable[[#This Row],[prop_id]]&lt;&gt;A476)</f>
        <v>1</v>
      </c>
      <c r="E477" s="79">
        <v>42935.696527777778</v>
      </c>
      <c r="F477" s="80" t="s">
        <v>256</v>
      </c>
      <c r="G477" s="80" t="s">
        <v>222</v>
      </c>
      <c r="H477" s="80" t="s">
        <v>405</v>
      </c>
      <c r="I477" s="78" t="s">
        <v>406</v>
      </c>
      <c r="J477" s="78" t="s">
        <v>532</v>
      </c>
      <c r="K477" s="80" t="s">
        <v>374</v>
      </c>
      <c r="L477" s="7" t="str">
        <f>IF(BudgetsTable[[#This Row],[pi_last_name]]=" ","",HYPERLINK("https://www.ejacket.nsf.gov/ej/showProposal.do?Continue=Y&amp;ID="&amp;BudgetsTable[[#This Row],[prop_id]],BudgetsTable[[#This Row],[prop_id]]))</f>
        <v>1751135</v>
      </c>
      <c r="M477" s="15" t="str">
        <f>IF(BudgetsTable[[#This Row],[pi_last_name]]=" ","",HYPERLINK("https://www.ejacket.nsf.gov/ej/processReviewAnalysis.do?dispatch=add&amp;uniqId="&amp;BudgetsTable[[#This Row],[prop_id]]&amp;PO_id,"&gt;ra"))</f>
        <v>&gt;ra</v>
      </c>
      <c r="N477" s="80" t="s">
        <v>528</v>
      </c>
      <c r="O477" s="7" t="str">
        <f>IF(BudgetsTable[[#This Row],[pi_last_name]]=" ","",HYPERLINK("mailto:"&amp;BudgetsTable[[#This Row],[pi_email]]&amp;"&amp;subject=Your NSF Proposal:  "&amp;BudgetsTable[[#This Row],[prop_id]],BudgetsTable[[#This Row],[pi_email]]))</f>
        <v>nayyeria@eecs.oregonstate.edu</v>
      </c>
      <c r="P477" s="80" t="s">
        <v>530</v>
      </c>
      <c r="Q477" s="80"/>
      <c r="R477" s="80"/>
      <c r="S477" s="81"/>
      <c r="T477" s="81"/>
      <c r="U477" s="81"/>
      <c r="V477" s="82"/>
      <c r="W477" s="80">
        <v>0</v>
      </c>
      <c r="X477" s="80"/>
      <c r="Y477" s="11" t="str">
        <f ca="1">IF(ISBLANK(BudgetsTable[[#This Row],[budg_seq_yr]]),"FY"&amp;fiscalyear,"FY"&amp;fiscalyear-1+BudgetsTable[[#This Row],[budg_seq_yr]])</f>
        <v>FY18</v>
      </c>
      <c r="Z477" s="81">
        <v>607459</v>
      </c>
      <c r="AA477" s="80" t="s">
        <v>222</v>
      </c>
      <c r="AB477" s="80" t="s">
        <v>405</v>
      </c>
      <c r="AC477" s="80" t="s">
        <v>419</v>
      </c>
    </row>
    <row r="478" spans="1:29" x14ac:dyDescent="0.4">
      <c r="A478" s="10" t="s">
        <v>374</v>
      </c>
      <c r="B478" s="78" t="s">
        <v>96</v>
      </c>
      <c r="C478" s="78">
        <f>C477+(BudgetsTable[[#This Row],[lead]]&lt;&gt;K477)</f>
        <v>90</v>
      </c>
      <c r="D478" s="78">
        <f>D477*(BudgetsTable[[#This Row],[lead]]=K477)+(BudgetsTable[[#This Row],[prop_id]]&lt;&gt;A477)</f>
        <v>1</v>
      </c>
      <c r="E478" s="79">
        <v>42935.696527777778</v>
      </c>
      <c r="F478" s="80" t="s">
        <v>256</v>
      </c>
      <c r="G478" s="80" t="s">
        <v>222</v>
      </c>
      <c r="H478" s="80" t="s">
        <v>405</v>
      </c>
      <c r="I478" s="78" t="s">
        <v>406</v>
      </c>
      <c r="J478" s="78" t="s">
        <v>13</v>
      </c>
      <c r="K478" s="80" t="s">
        <v>374</v>
      </c>
      <c r="L478" s="7" t="str">
        <f>IF(BudgetsTable[[#This Row],[pi_last_name]]=" ","",HYPERLINK("https://www.ejacket.nsf.gov/ej/showProposal.do?Continue=Y&amp;ID="&amp;BudgetsTable[[#This Row],[prop_id]],BudgetsTable[[#This Row],[prop_id]]))</f>
        <v/>
      </c>
      <c r="M478" s="15" t="str">
        <f>IF(BudgetsTable[[#This Row],[pi_last_name]]=" ","",HYPERLINK("https://www.ejacket.nsf.gov/ej/processReviewAnalysis.do?dispatch=add&amp;uniqId="&amp;BudgetsTable[[#This Row],[prop_id]]&amp;PO_id,"&gt;ra"))</f>
        <v/>
      </c>
      <c r="N478" s="80" t="s">
        <v>13</v>
      </c>
      <c r="O478" s="7" t="str">
        <f>IF(BudgetsTable[[#This Row],[pi_last_name]]=" ","",HYPERLINK("mailto:"&amp;BudgetsTable[[#This Row],[pi_email]]&amp;"&amp;subject=Your NSF Proposal:  "&amp;BudgetsTable[[#This Row],[prop_id]],BudgetsTable[[#This Row],[pi_email]]))</f>
        <v/>
      </c>
      <c r="P478" s="80" t="s">
        <v>13</v>
      </c>
      <c r="Q478" s="80">
        <v>1</v>
      </c>
      <c r="R478" s="80">
        <v>0.5</v>
      </c>
      <c r="S478" s="81">
        <v>0</v>
      </c>
      <c r="T478" s="81">
        <v>0</v>
      </c>
      <c r="U478" s="81">
        <v>1100</v>
      </c>
      <c r="V478" s="82">
        <v>94905</v>
      </c>
      <c r="W478" s="80">
        <v>0</v>
      </c>
      <c r="X478" s="80">
        <v>1</v>
      </c>
      <c r="Y478" s="11" t="str">
        <f ca="1">IF(ISBLANK(BudgetsTable[[#This Row],[budg_seq_yr]]),"FY"&amp;fiscalyear,"FY"&amp;fiscalyear-1+BudgetsTable[[#This Row],[budg_seq_yr]])</f>
        <v>FY18</v>
      </c>
      <c r="Z478" s="81">
        <v>94905</v>
      </c>
      <c r="AA478" s="80" t="s">
        <v>222</v>
      </c>
      <c r="AB478" s="80" t="s">
        <v>405</v>
      </c>
      <c r="AC478" s="80" t="s">
        <v>419</v>
      </c>
    </row>
    <row r="479" spans="1:29" x14ac:dyDescent="0.4">
      <c r="A479" s="10" t="s">
        <v>374</v>
      </c>
      <c r="B479" s="78" t="s">
        <v>96</v>
      </c>
      <c r="C479" s="78">
        <f>C478+(BudgetsTable[[#This Row],[lead]]&lt;&gt;K478)</f>
        <v>90</v>
      </c>
      <c r="D479" s="78">
        <f>D478*(BudgetsTable[[#This Row],[lead]]=K478)+(BudgetsTable[[#This Row],[prop_id]]&lt;&gt;A478)</f>
        <v>1</v>
      </c>
      <c r="E479" s="79">
        <v>42935.696527777778</v>
      </c>
      <c r="F479" s="80" t="s">
        <v>256</v>
      </c>
      <c r="G479" s="80" t="s">
        <v>222</v>
      </c>
      <c r="H479" s="80" t="s">
        <v>405</v>
      </c>
      <c r="I479" s="78" t="s">
        <v>406</v>
      </c>
      <c r="J479" s="78" t="s">
        <v>13</v>
      </c>
      <c r="K479" s="80" t="s">
        <v>374</v>
      </c>
      <c r="L479" s="7" t="str">
        <f>IF(BudgetsTable[[#This Row],[pi_last_name]]=" ","",HYPERLINK("https://www.ejacket.nsf.gov/ej/showProposal.do?Continue=Y&amp;ID="&amp;BudgetsTable[[#This Row],[prop_id]],BudgetsTable[[#This Row],[prop_id]]))</f>
        <v/>
      </c>
      <c r="M479" s="15" t="str">
        <f>IF(BudgetsTable[[#This Row],[pi_last_name]]=" ","",HYPERLINK("https://www.ejacket.nsf.gov/ej/processReviewAnalysis.do?dispatch=add&amp;uniqId="&amp;BudgetsTable[[#This Row],[prop_id]]&amp;PO_id,"&gt;ra"))</f>
        <v/>
      </c>
      <c r="N479" s="80" t="s">
        <v>13</v>
      </c>
      <c r="O479" s="7" t="str">
        <f>IF(BudgetsTable[[#This Row],[pi_last_name]]=" ","",HYPERLINK("mailto:"&amp;BudgetsTable[[#This Row],[pi_email]]&amp;"&amp;subject=Your NSF Proposal:  "&amp;BudgetsTable[[#This Row],[prop_id]],BudgetsTable[[#This Row],[pi_email]]))</f>
        <v/>
      </c>
      <c r="P479" s="80" t="s">
        <v>13</v>
      </c>
      <c r="Q479" s="80">
        <v>1</v>
      </c>
      <c r="R479" s="80">
        <v>1</v>
      </c>
      <c r="S479" s="81">
        <v>0</v>
      </c>
      <c r="T479" s="81">
        <v>7485</v>
      </c>
      <c r="U479" s="81">
        <v>1100</v>
      </c>
      <c r="V479" s="82">
        <v>121969</v>
      </c>
      <c r="W479" s="80">
        <v>0</v>
      </c>
      <c r="X479" s="80">
        <v>2</v>
      </c>
      <c r="Y479" s="11" t="str">
        <f ca="1">IF(ISBLANK(BudgetsTable[[#This Row],[budg_seq_yr]]),"FY"&amp;fiscalyear,"FY"&amp;fiscalyear-1+BudgetsTable[[#This Row],[budg_seq_yr]])</f>
        <v>FY19</v>
      </c>
      <c r="Z479" s="81">
        <v>121969</v>
      </c>
      <c r="AA479" s="80" t="s">
        <v>222</v>
      </c>
      <c r="AB479" s="80" t="s">
        <v>405</v>
      </c>
      <c r="AC479" s="80" t="s">
        <v>419</v>
      </c>
    </row>
    <row r="480" spans="1:29" x14ac:dyDescent="0.4">
      <c r="A480" s="10" t="s">
        <v>374</v>
      </c>
      <c r="B480" s="78" t="s">
        <v>96</v>
      </c>
      <c r="C480" s="78">
        <f>C479+(BudgetsTable[[#This Row],[lead]]&lt;&gt;K479)</f>
        <v>90</v>
      </c>
      <c r="D480" s="78">
        <f>D479*(BudgetsTable[[#This Row],[lead]]=K479)+(BudgetsTable[[#This Row],[prop_id]]&lt;&gt;A479)</f>
        <v>1</v>
      </c>
      <c r="E480" s="79">
        <v>42935.696527777778</v>
      </c>
      <c r="F480" s="80" t="s">
        <v>256</v>
      </c>
      <c r="G480" s="80" t="s">
        <v>222</v>
      </c>
      <c r="H480" s="80" t="s">
        <v>405</v>
      </c>
      <c r="I480" s="78" t="s">
        <v>406</v>
      </c>
      <c r="J480" s="78" t="s">
        <v>13</v>
      </c>
      <c r="K480" s="80" t="s">
        <v>374</v>
      </c>
      <c r="L480" s="7" t="str">
        <f>IF(BudgetsTable[[#This Row],[pi_last_name]]=" ","",HYPERLINK("https://www.ejacket.nsf.gov/ej/showProposal.do?Continue=Y&amp;ID="&amp;BudgetsTable[[#This Row],[prop_id]],BudgetsTable[[#This Row],[prop_id]]))</f>
        <v/>
      </c>
      <c r="M480" s="15" t="str">
        <f>IF(BudgetsTable[[#This Row],[pi_last_name]]=" ","",HYPERLINK("https://www.ejacket.nsf.gov/ej/processReviewAnalysis.do?dispatch=add&amp;uniqId="&amp;BudgetsTable[[#This Row],[prop_id]]&amp;PO_id,"&gt;ra"))</f>
        <v/>
      </c>
      <c r="N480" s="80" t="s">
        <v>13</v>
      </c>
      <c r="O480" s="7" t="str">
        <f>IF(BudgetsTable[[#This Row],[pi_last_name]]=" ","",HYPERLINK("mailto:"&amp;BudgetsTable[[#This Row],[pi_email]]&amp;"&amp;subject=Your NSF Proposal:  "&amp;BudgetsTable[[#This Row],[prop_id]],BudgetsTable[[#This Row],[pi_email]]))</f>
        <v/>
      </c>
      <c r="P480" s="80" t="s">
        <v>13</v>
      </c>
      <c r="Q480" s="80">
        <v>1</v>
      </c>
      <c r="R480" s="80">
        <v>1</v>
      </c>
      <c r="S480" s="81">
        <v>0</v>
      </c>
      <c r="T480" s="81">
        <v>7709</v>
      </c>
      <c r="U480" s="81">
        <v>1100</v>
      </c>
      <c r="V480" s="82">
        <v>128760</v>
      </c>
      <c r="W480" s="80">
        <v>0</v>
      </c>
      <c r="X480" s="80">
        <v>3</v>
      </c>
      <c r="Y480" s="11" t="str">
        <f ca="1">IF(ISBLANK(BudgetsTable[[#This Row],[budg_seq_yr]]),"FY"&amp;fiscalyear,"FY"&amp;fiscalyear-1+BudgetsTable[[#This Row],[budg_seq_yr]])</f>
        <v>FY20</v>
      </c>
      <c r="Z480" s="81">
        <v>128760</v>
      </c>
      <c r="AA480" s="80" t="s">
        <v>222</v>
      </c>
      <c r="AB480" s="80" t="s">
        <v>405</v>
      </c>
      <c r="AC480" s="80" t="s">
        <v>419</v>
      </c>
    </row>
    <row r="481" spans="1:29" x14ac:dyDescent="0.4">
      <c r="A481" s="10" t="s">
        <v>374</v>
      </c>
      <c r="B481" s="78" t="s">
        <v>96</v>
      </c>
      <c r="C481" s="78">
        <f>C480+(BudgetsTable[[#This Row],[lead]]&lt;&gt;K480)</f>
        <v>90</v>
      </c>
      <c r="D481" s="78">
        <f>D480*(BudgetsTable[[#This Row],[lead]]=K480)+(BudgetsTable[[#This Row],[prop_id]]&lt;&gt;A480)</f>
        <v>1</v>
      </c>
      <c r="E481" s="79">
        <v>42935.696527777778</v>
      </c>
      <c r="F481" s="80" t="s">
        <v>256</v>
      </c>
      <c r="G481" s="80" t="s">
        <v>222</v>
      </c>
      <c r="H481" s="80" t="s">
        <v>405</v>
      </c>
      <c r="I481" s="78" t="s">
        <v>406</v>
      </c>
      <c r="J481" s="78" t="s">
        <v>13</v>
      </c>
      <c r="K481" s="80" t="s">
        <v>374</v>
      </c>
      <c r="L481" s="7" t="str">
        <f>IF(BudgetsTable[[#This Row],[pi_last_name]]=" ","",HYPERLINK("https://www.ejacket.nsf.gov/ej/showProposal.do?Continue=Y&amp;ID="&amp;BudgetsTable[[#This Row],[prop_id]],BudgetsTable[[#This Row],[prop_id]]))</f>
        <v/>
      </c>
      <c r="M481" s="15" t="str">
        <f>IF(BudgetsTable[[#This Row],[pi_last_name]]=" ","",HYPERLINK("https://www.ejacket.nsf.gov/ej/processReviewAnalysis.do?dispatch=add&amp;uniqId="&amp;BudgetsTable[[#This Row],[prop_id]]&amp;PO_id,"&gt;ra"))</f>
        <v/>
      </c>
      <c r="N481" s="80" t="s">
        <v>13</v>
      </c>
      <c r="O481" s="7" t="str">
        <f>IF(BudgetsTable[[#This Row],[pi_last_name]]=" ","",HYPERLINK("mailto:"&amp;BudgetsTable[[#This Row],[pi_email]]&amp;"&amp;subject=Your NSF Proposal:  "&amp;BudgetsTable[[#This Row],[prop_id]],BudgetsTable[[#This Row],[pi_email]]))</f>
        <v/>
      </c>
      <c r="P481" s="80" t="s">
        <v>13</v>
      </c>
      <c r="Q481" s="80">
        <v>1</v>
      </c>
      <c r="R481" s="80">
        <v>1</v>
      </c>
      <c r="S481" s="81">
        <v>0</v>
      </c>
      <c r="T481" s="81">
        <v>7939</v>
      </c>
      <c r="U481" s="81">
        <v>1100</v>
      </c>
      <c r="V481" s="82">
        <v>134130</v>
      </c>
      <c r="W481" s="80">
        <v>0</v>
      </c>
      <c r="X481" s="80">
        <v>4</v>
      </c>
      <c r="Y481" s="11" t="str">
        <f ca="1">IF(ISBLANK(BudgetsTable[[#This Row],[budg_seq_yr]]),"FY"&amp;fiscalyear,"FY"&amp;fiscalyear-1+BudgetsTable[[#This Row],[budg_seq_yr]])</f>
        <v>FY21</v>
      </c>
      <c r="Z481" s="81">
        <v>134130</v>
      </c>
      <c r="AA481" s="80" t="s">
        <v>222</v>
      </c>
      <c r="AB481" s="80" t="s">
        <v>405</v>
      </c>
      <c r="AC481" s="80" t="s">
        <v>419</v>
      </c>
    </row>
    <row r="482" spans="1:29" x14ac:dyDescent="0.4">
      <c r="A482" s="10" t="s">
        <v>374</v>
      </c>
      <c r="B482" s="78" t="s">
        <v>96</v>
      </c>
      <c r="C482" s="78">
        <f>C481+(BudgetsTable[[#This Row],[lead]]&lt;&gt;K481)</f>
        <v>90</v>
      </c>
      <c r="D482" s="78">
        <f>D481*(BudgetsTable[[#This Row],[lead]]=K481)+(BudgetsTable[[#This Row],[prop_id]]&lt;&gt;A481)</f>
        <v>1</v>
      </c>
      <c r="E482" s="79">
        <v>42935.696527777778</v>
      </c>
      <c r="F482" s="80" t="s">
        <v>256</v>
      </c>
      <c r="G482" s="80" t="s">
        <v>222</v>
      </c>
      <c r="H482" s="80" t="s">
        <v>405</v>
      </c>
      <c r="I482" s="78" t="s">
        <v>406</v>
      </c>
      <c r="J482" s="78" t="s">
        <v>13</v>
      </c>
      <c r="K482" s="80" t="s">
        <v>374</v>
      </c>
      <c r="L482" s="7" t="str">
        <f>IF(BudgetsTable[[#This Row],[pi_last_name]]=" ","",HYPERLINK("https://www.ejacket.nsf.gov/ej/showProposal.do?Continue=Y&amp;ID="&amp;BudgetsTable[[#This Row],[prop_id]],BudgetsTable[[#This Row],[prop_id]]))</f>
        <v/>
      </c>
      <c r="M482" s="15" t="str">
        <f>IF(BudgetsTable[[#This Row],[pi_last_name]]=" ","",HYPERLINK("https://www.ejacket.nsf.gov/ej/processReviewAnalysis.do?dispatch=add&amp;uniqId="&amp;BudgetsTable[[#This Row],[prop_id]]&amp;PO_id,"&gt;ra"))</f>
        <v/>
      </c>
      <c r="N482" s="80" t="s">
        <v>13</v>
      </c>
      <c r="O482" s="7" t="str">
        <f>IF(BudgetsTable[[#This Row],[pi_last_name]]=" ","",HYPERLINK("mailto:"&amp;BudgetsTable[[#This Row],[pi_email]]&amp;"&amp;subject=Your NSF Proposal:  "&amp;BudgetsTable[[#This Row],[prop_id]],BudgetsTable[[#This Row],[pi_email]]))</f>
        <v/>
      </c>
      <c r="P482" s="80" t="s">
        <v>13</v>
      </c>
      <c r="Q482" s="80">
        <v>1</v>
      </c>
      <c r="R482" s="80">
        <v>1</v>
      </c>
      <c r="S482" s="81">
        <v>0</v>
      </c>
      <c r="T482" s="81">
        <v>0</v>
      </c>
      <c r="U482" s="81">
        <v>1100</v>
      </c>
      <c r="V482" s="82">
        <v>127695</v>
      </c>
      <c r="W482" s="80">
        <v>0</v>
      </c>
      <c r="X482" s="80">
        <v>5</v>
      </c>
      <c r="Y482" s="11" t="str">
        <f ca="1">IF(ISBLANK(BudgetsTable[[#This Row],[budg_seq_yr]]),"FY"&amp;fiscalyear,"FY"&amp;fiscalyear-1+BudgetsTable[[#This Row],[budg_seq_yr]])</f>
        <v>FY22</v>
      </c>
      <c r="Z482" s="81">
        <v>127695</v>
      </c>
      <c r="AA482" s="80" t="s">
        <v>222</v>
      </c>
      <c r="AB482" s="80" t="s">
        <v>405</v>
      </c>
      <c r="AC482" s="80" t="s">
        <v>419</v>
      </c>
    </row>
    <row r="483" spans="1:29" x14ac:dyDescent="0.4">
      <c r="A483" s="10" t="s">
        <v>375</v>
      </c>
      <c r="B483" s="78" t="s">
        <v>96</v>
      </c>
      <c r="C483" s="78">
        <f>C482+(BudgetsTable[[#This Row],[lead]]&lt;&gt;K482)</f>
        <v>91</v>
      </c>
      <c r="D483" s="78">
        <f>D482*(BudgetsTable[[#This Row],[lead]]=K482)+(BudgetsTable[[#This Row],[prop_id]]&lt;&gt;A482)</f>
        <v>1</v>
      </c>
      <c r="E483" s="79">
        <v>42935.723611111112</v>
      </c>
      <c r="F483" s="80" t="s">
        <v>256</v>
      </c>
      <c r="G483" s="80" t="s">
        <v>222</v>
      </c>
      <c r="H483" s="80" t="s">
        <v>405</v>
      </c>
      <c r="I483" s="78" t="s">
        <v>451</v>
      </c>
      <c r="J483" s="78" t="s">
        <v>538</v>
      </c>
      <c r="K483" s="80" t="s">
        <v>375</v>
      </c>
      <c r="L483" s="7" t="str">
        <f>IF(BudgetsTable[[#This Row],[pi_last_name]]=" ","",HYPERLINK("https://www.ejacket.nsf.gov/ej/showProposal.do?Continue=Y&amp;ID="&amp;BudgetsTable[[#This Row],[prop_id]],BudgetsTable[[#This Row],[prop_id]]))</f>
        <v>1751254</v>
      </c>
      <c r="M483" s="15" t="str">
        <f>IF(BudgetsTable[[#This Row],[pi_last_name]]=" ","",HYPERLINK("https://www.ejacket.nsf.gov/ej/processReviewAnalysis.do?dispatch=add&amp;uniqId="&amp;BudgetsTable[[#This Row],[prop_id]]&amp;PO_id,"&gt;ra"))</f>
        <v>&gt;ra</v>
      </c>
      <c r="N483" s="80" t="s">
        <v>535</v>
      </c>
      <c r="O483" s="7" t="str">
        <f>IF(BudgetsTable[[#This Row],[pi_last_name]]=" ","",HYPERLINK("mailto:"&amp;BudgetsTable[[#This Row],[pi_email]]&amp;"&amp;subject=Your NSF Proposal:  "&amp;BudgetsTable[[#This Row],[prop_id]],BudgetsTable[[#This Row],[pi_email]]))</f>
        <v>brittany@cs.montana.edu</v>
      </c>
      <c r="P483" s="80" t="s">
        <v>537</v>
      </c>
      <c r="Q483" s="80"/>
      <c r="R483" s="80"/>
      <c r="S483" s="81"/>
      <c r="T483" s="81"/>
      <c r="U483" s="81"/>
      <c r="V483" s="82"/>
      <c r="W483" s="80">
        <v>0</v>
      </c>
      <c r="X483" s="80"/>
      <c r="Y483" s="11" t="str">
        <f ca="1">IF(ISBLANK(BudgetsTable[[#This Row],[budg_seq_yr]]),"FY"&amp;fiscalyear,"FY"&amp;fiscalyear-1+BudgetsTable[[#This Row],[budg_seq_yr]])</f>
        <v>FY18</v>
      </c>
      <c r="Z483" s="81">
        <v>552355</v>
      </c>
      <c r="AA483" s="80" t="s">
        <v>222</v>
      </c>
      <c r="AB483" s="80" t="s">
        <v>405</v>
      </c>
      <c r="AC483" s="80" t="s">
        <v>539</v>
      </c>
    </row>
    <row r="484" spans="1:29" x14ac:dyDescent="0.4">
      <c r="A484" s="10" t="s">
        <v>375</v>
      </c>
      <c r="B484" s="78" t="s">
        <v>96</v>
      </c>
      <c r="C484" s="78">
        <f>C483+(BudgetsTable[[#This Row],[lead]]&lt;&gt;K483)</f>
        <v>91</v>
      </c>
      <c r="D484" s="78">
        <f>D483*(BudgetsTable[[#This Row],[lead]]=K483)+(BudgetsTable[[#This Row],[prop_id]]&lt;&gt;A483)</f>
        <v>1</v>
      </c>
      <c r="E484" s="79">
        <v>42935.723611111112</v>
      </c>
      <c r="F484" s="80" t="s">
        <v>256</v>
      </c>
      <c r="G484" s="80" t="s">
        <v>222</v>
      </c>
      <c r="H484" s="80" t="s">
        <v>405</v>
      </c>
      <c r="I484" s="78" t="s">
        <v>451</v>
      </c>
      <c r="J484" s="78" t="s">
        <v>13</v>
      </c>
      <c r="K484" s="80" t="s">
        <v>375</v>
      </c>
      <c r="L484" s="7" t="str">
        <f>IF(BudgetsTable[[#This Row],[pi_last_name]]=" ","",HYPERLINK("https://www.ejacket.nsf.gov/ej/showProposal.do?Continue=Y&amp;ID="&amp;BudgetsTable[[#This Row],[prop_id]],BudgetsTable[[#This Row],[prop_id]]))</f>
        <v/>
      </c>
      <c r="M484" s="15" t="str">
        <f>IF(BudgetsTable[[#This Row],[pi_last_name]]=" ","",HYPERLINK("https://www.ejacket.nsf.gov/ej/processReviewAnalysis.do?dispatch=add&amp;uniqId="&amp;BudgetsTable[[#This Row],[prop_id]]&amp;PO_id,"&gt;ra"))</f>
        <v/>
      </c>
      <c r="N484" s="80" t="s">
        <v>13</v>
      </c>
      <c r="O484" s="7" t="str">
        <f>IF(BudgetsTable[[#This Row],[pi_last_name]]=" ","",HYPERLINK("mailto:"&amp;BudgetsTable[[#This Row],[pi_email]]&amp;"&amp;subject=Your NSF Proposal:  "&amp;BudgetsTable[[#This Row],[prop_id]],BudgetsTable[[#This Row],[pi_email]]))</f>
        <v/>
      </c>
      <c r="P484" s="80" t="s">
        <v>13</v>
      </c>
      <c r="Q484" s="80">
        <v>1</v>
      </c>
      <c r="R484" s="80">
        <v>1</v>
      </c>
      <c r="S484" s="81">
        <v>0</v>
      </c>
      <c r="T484" s="81">
        <v>2600</v>
      </c>
      <c r="U484" s="81">
        <v>0</v>
      </c>
      <c r="V484" s="82">
        <v>91913</v>
      </c>
      <c r="W484" s="80">
        <v>0</v>
      </c>
      <c r="X484" s="80">
        <v>1</v>
      </c>
      <c r="Y484" s="11" t="str">
        <f ca="1">IF(ISBLANK(BudgetsTable[[#This Row],[budg_seq_yr]]),"FY"&amp;fiscalyear,"FY"&amp;fiscalyear-1+BudgetsTable[[#This Row],[budg_seq_yr]])</f>
        <v>FY18</v>
      </c>
      <c r="Z484" s="81">
        <v>91913</v>
      </c>
      <c r="AA484" s="80" t="s">
        <v>222</v>
      </c>
      <c r="AB484" s="80" t="s">
        <v>405</v>
      </c>
      <c r="AC484" s="80" t="s">
        <v>539</v>
      </c>
    </row>
    <row r="485" spans="1:29" x14ac:dyDescent="0.4">
      <c r="A485" s="10" t="s">
        <v>375</v>
      </c>
      <c r="B485" s="78" t="s">
        <v>96</v>
      </c>
      <c r="C485" s="78">
        <f>C484+(BudgetsTable[[#This Row],[lead]]&lt;&gt;K484)</f>
        <v>91</v>
      </c>
      <c r="D485" s="78">
        <f>D484*(BudgetsTable[[#This Row],[lead]]=K484)+(BudgetsTable[[#This Row],[prop_id]]&lt;&gt;A484)</f>
        <v>1</v>
      </c>
      <c r="E485" s="79">
        <v>42935.723611111112</v>
      </c>
      <c r="F485" s="80" t="s">
        <v>256</v>
      </c>
      <c r="G485" s="80" t="s">
        <v>222</v>
      </c>
      <c r="H485" s="80" t="s">
        <v>405</v>
      </c>
      <c r="I485" s="78" t="s">
        <v>451</v>
      </c>
      <c r="J485" s="78" t="s">
        <v>13</v>
      </c>
      <c r="K485" s="80" t="s">
        <v>375</v>
      </c>
      <c r="L485" s="7" t="str">
        <f>IF(BudgetsTable[[#This Row],[pi_last_name]]=" ","",HYPERLINK("https://www.ejacket.nsf.gov/ej/showProposal.do?Continue=Y&amp;ID="&amp;BudgetsTable[[#This Row],[prop_id]],BudgetsTable[[#This Row],[prop_id]]))</f>
        <v/>
      </c>
      <c r="M485" s="15" t="str">
        <f>IF(BudgetsTable[[#This Row],[pi_last_name]]=" ","",HYPERLINK("https://www.ejacket.nsf.gov/ej/processReviewAnalysis.do?dispatch=add&amp;uniqId="&amp;BudgetsTable[[#This Row],[prop_id]]&amp;PO_id,"&gt;ra"))</f>
        <v/>
      </c>
      <c r="N485" s="80" t="s">
        <v>13</v>
      </c>
      <c r="O485" s="7" t="str">
        <f>IF(BudgetsTable[[#This Row],[pi_last_name]]=" ","",HYPERLINK("mailto:"&amp;BudgetsTable[[#This Row],[pi_email]]&amp;"&amp;subject=Your NSF Proposal:  "&amp;BudgetsTable[[#This Row],[prop_id]],BudgetsTable[[#This Row],[pi_email]]))</f>
        <v/>
      </c>
      <c r="P485" s="80" t="s">
        <v>13</v>
      </c>
      <c r="Q485" s="80">
        <v>1</v>
      </c>
      <c r="R485" s="80">
        <v>1</v>
      </c>
      <c r="S485" s="81">
        <v>0</v>
      </c>
      <c r="T485" s="81">
        <v>2600</v>
      </c>
      <c r="U485" s="81">
        <v>0</v>
      </c>
      <c r="V485" s="82">
        <v>94307</v>
      </c>
      <c r="W485" s="80">
        <v>0</v>
      </c>
      <c r="X485" s="80">
        <v>2</v>
      </c>
      <c r="Y485" s="11" t="str">
        <f ca="1">IF(ISBLANK(BudgetsTable[[#This Row],[budg_seq_yr]]),"FY"&amp;fiscalyear,"FY"&amp;fiscalyear-1+BudgetsTable[[#This Row],[budg_seq_yr]])</f>
        <v>FY19</v>
      </c>
      <c r="Z485" s="81">
        <v>94307</v>
      </c>
      <c r="AA485" s="80" t="s">
        <v>222</v>
      </c>
      <c r="AB485" s="80" t="s">
        <v>405</v>
      </c>
      <c r="AC485" s="80" t="s">
        <v>539</v>
      </c>
    </row>
    <row r="486" spans="1:29" x14ac:dyDescent="0.4">
      <c r="A486" s="10" t="s">
        <v>375</v>
      </c>
      <c r="B486" s="78" t="s">
        <v>96</v>
      </c>
      <c r="C486" s="78">
        <f>C485+(BudgetsTable[[#This Row],[lead]]&lt;&gt;K485)</f>
        <v>91</v>
      </c>
      <c r="D486" s="78">
        <f>D485*(BudgetsTable[[#This Row],[lead]]=K485)+(BudgetsTable[[#This Row],[prop_id]]&lt;&gt;A485)</f>
        <v>1</v>
      </c>
      <c r="E486" s="79">
        <v>42935.723611111112</v>
      </c>
      <c r="F486" s="80" t="s">
        <v>256</v>
      </c>
      <c r="G486" s="80" t="s">
        <v>222</v>
      </c>
      <c r="H486" s="80" t="s">
        <v>405</v>
      </c>
      <c r="I486" s="78" t="s">
        <v>451</v>
      </c>
      <c r="J486" s="78" t="s">
        <v>13</v>
      </c>
      <c r="K486" s="80" t="s">
        <v>375</v>
      </c>
      <c r="L486" s="7" t="str">
        <f>IF(BudgetsTable[[#This Row],[pi_last_name]]=" ","",HYPERLINK("https://www.ejacket.nsf.gov/ej/showProposal.do?Continue=Y&amp;ID="&amp;BudgetsTable[[#This Row],[prop_id]],BudgetsTable[[#This Row],[prop_id]]))</f>
        <v/>
      </c>
      <c r="M486" s="15" t="str">
        <f>IF(BudgetsTable[[#This Row],[pi_last_name]]=" ","",HYPERLINK("https://www.ejacket.nsf.gov/ej/processReviewAnalysis.do?dispatch=add&amp;uniqId="&amp;BudgetsTable[[#This Row],[prop_id]]&amp;PO_id,"&gt;ra"))</f>
        <v/>
      </c>
      <c r="N486" s="80" t="s">
        <v>13</v>
      </c>
      <c r="O486" s="7" t="str">
        <f>IF(BudgetsTable[[#This Row],[pi_last_name]]=" ","",HYPERLINK("mailto:"&amp;BudgetsTable[[#This Row],[pi_email]]&amp;"&amp;subject=Your NSF Proposal:  "&amp;BudgetsTable[[#This Row],[prop_id]],BudgetsTable[[#This Row],[pi_email]]))</f>
        <v/>
      </c>
      <c r="P486" s="80" t="s">
        <v>13</v>
      </c>
      <c r="Q486" s="80">
        <v>1</v>
      </c>
      <c r="R486" s="80">
        <v>1</v>
      </c>
      <c r="S486" s="81">
        <v>0</v>
      </c>
      <c r="T486" s="81">
        <v>2600</v>
      </c>
      <c r="U486" s="81">
        <v>0</v>
      </c>
      <c r="V486" s="82">
        <v>137366</v>
      </c>
      <c r="W486" s="80">
        <v>0</v>
      </c>
      <c r="X486" s="80">
        <v>3</v>
      </c>
      <c r="Y486" s="11" t="str">
        <f ca="1">IF(ISBLANK(BudgetsTable[[#This Row],[budg_seq_yr]]),"FY"&amp;fiscalyear,"FY"&amp;fiscalyear-1+BudgetsTable[[#This Row],[budg_seq_yr]])</f>
        <v>FY20</v>
      </c>
      <c r="Z486" s="81">
        <v>137366</v>
      </c>
      <c r="AA486" s="80" t="s">
        <v>222</v>
      </c>
      <c r="AB486" s="80" t="s">
        <v>405</v>
      </c>
      <c r="AC486" s="80" t="s">
        <v>539</v>
      </c>
    </row>
    <row r="487" spans="1:29" x14ac:dyDescent="0.4">
      <c r="A487" s="10" t="s">
        <v>375</v>
      </c>
      <c r="B487" s="78" t="s">
        <v>96</v>
      </c>
      <c r="C487" s="78">
        <f>C486+(BudgetsTable[[#This Row],[lead]]&lt;&gt;K486)</f>
        <v>91</v>
      </c>
      <c r="D487" s="78">
        <f>D486*(BudgetsTable[[#This Row],[lead]]=K486)+(BudgetsTable[[#This Row],[prop_id]]&lt;&gt;A486)</f>
        <v>1</v>
      </c>
      <c r="E487" s="79">
        <v>42935.723611111112</v>
      </c>
      <c r="F487" s="80" t="s">
        <v>256</v>
      </c>
      <c r="G487" s="80" t="s">
        <v>222</v>
      </c>
      <c r="H487" s="80" t="s">
        <v>405</v>
      </c>
      <c r="I487" s="78" t="s">
        <v>451</v>
      </c>
      <c r="J487" s="78" t="s">
        <v>13</v>
      </c>
      <c r="K487" s="80" t="s">
        <v>375</v>
      </c>
      <c r="L487" s="7" t="str">
        <f>IF(BudgetsTable[[#This Row],[pi_last_name]]=" ","",HYPERLINK("https://www.ejacket.nsf.gov/ej/showProposal.do?Continue=Y&amp;ID="&amp;BudgetsTable[[#This Row],[prop_id]],BudgetsTable[[#This Row],[prop_id]]))</f>
        <v/>
      </c>
      <c r="M487" s="15" t="str">
        <f>IF(BudgetsTable[[#This Row],[pi_last_name]]=" ","",HYPERLINK("https://www.ejacket.nsf.gov/ej/processReviewAnalysis.do?dispatch=add&amp;uniqId="&amp;BudgetsTable[[#This Row],[prop_id]]&amp;PO_id,"&gt;ra"))</f>
        <v/>
      </c>
      <c r="N487" s="80" t="s">
        <v>13</v>
      </c>
      <c r="O487" s="7" t="str">
        <f>IF(BudgetsTable[[#This Row],[pi_last_name]]=" ","",HYPERLINK("mailto:"&amp;BudgetsTable[[#This Row],[pi_email]]&amp;"&amp;subject=Your NSF Proposal:  "&amp;BudgetsTable[[#This Row],[prop_id]],BudgetsTable[[#This Row],[pi_email]]))</f>
        <v/>
      </c>
      <c r="P487" s="80" t="s">
        <v>13</v>
      </c>
      <c r="Q487" s="80">
        <v>1</v>
      </c>
      <c r="R487" s="80">
        <v>1</v>
      </c>
      <c r="S487" s="81">
        <v>0</v>
      </c>
      <c r="T487" s="81">
        <v>2600</v>
      </c>
      <c r="U487" s="81">
        <v>0</v>
      </c>
      <c r="V487" s="82">
        <v>100963</v>
      </c>
      <c r="W487" s="80">
        <v>0</v>
      </c>
      <c r="X487" s="80">
        <v>4</v>
      </c>
      <c r="Y487" s="11" t="str">
        <f ca="1">IF(ISBLANK(BudgetsTable[[#This Row],[budg_seq_yr]]),"FY"&amp;fiscalyear,"FY"&amp;fiscalyear-1+BudgetsTable[[#This Row],[budg_seq_yr]])</f>
        <v>FY21</v>
      </c>
      <c r="Z487" s="81">
        <v>100963</v>
      </c>
      <c r="AA487" s="80" t="s">
        <v>222</v>
      </c>
      <c r="AB487" s="80" t="s">
        <v>405</v>
      </c>
      <c r="AC487" s="80" t="s">
        <v>539</v>
      </c>
    </row>
    <row r="488" spans="1:29" x14ac:dyDescent="0.4">
      <c r="A488" s="10" t="s">
        <v>375</v>
      </c>
      <c r="B488" s="78" t="s">
        <v>96</v>
      </c>
      <c r="C488" s="78">
        <f>C487+(BudgetsTable[[#This Row],[lead]]&lt;&gt;K487)</f>
        <v>91</v>
      </c>
      <c r="D488" s="78">
        <f>D487*(BudgetsTable[[#This Row],[lead]]=K487)+(BudgetsTable[[#This Row],[prop_id]]&lt;&gt;A487)</f>
        <v>1</v>
      </c>
      <c r="E488" s="79">
        <v>42935.723611111112</v>
      </c>
      <c r="F488" s="80" t="s">
        <v>256</v>
      </c>
      <c r="G488" s="80" t="s">
        <v>222</v>
      </c>
      <c r="H488" s="80" t="s">
        <v>405</v>
      </c>
      <c r="I488" s="78" t="s">
        <v>451</v>
      </c>
      <c r="J488" s="78" t="s">
        <v>13</v>
      </c>
      <c r="K488" s="80" t="s">
        <v>375</v>
      </c>
      <c r="L488" s="7" t="str">
        <f>IF(BudgetsTable[[#This Row],[pi_last_name]]=" ","",HYPERLINK("https://www.ejacket.nsf.gov/ej/showProposal.do?Continue=Y&amp;ID="&amp;BudgetsTable[[#This Row],[prop_id]],BudgetsTable[[#This Row],[prop_id]]))</f>
        <v/>
      </c>
      <c r="M488" s="15" t="str">
        <f>IF(BudgetsTable[[#This Row],[pi_last_name]]=" ","",HYPERLINK("https://www.ejacket.nsf.gov/ej/processReviewAnalysis.do?dispatch=add&amp;uniqId="&amp;BudgetsTable[[#This Row],[prop_id]]&amp;PO_id,"&gt;ra"))</f>
        <v/>
      </c>
      <c r="N488" s="80" t="s">
        <v>13</v>
      </c>
      <c r="O488" s="7" t="str">
        <f>IF(BudgetsTable[[#This Row],[pi_last_name]]=" ","",HYPERLINK("mailto:"&amp;BudgetsTable[[#This Row],[pi_email]]&amp;"&amp;subject=Your NSF Proposal:  "&amp;BudgetsTable[[#This Row],[prop_id]],BudgetsTable[[#This Row],[pi_email]]))</f>
        <v/>
      </c>
      <c r="P488" s="80" t="s">
        <v>13</v>
      </c>
      <c r="Q488" s="80">
        <v>1</v>
      </c>
      <c r="R488" s="80">
        <v>1</v>
      </c>
      <c r="S488" s="81">
        <v>0</v>
      </c>
      <c r="T488" s="81">
        <v>2600</v>
      </c>
      <c r="U488" s="81">
        <v>0</v>
      </c>
      <c r="V488" s="82">
        <v>127806</v>
      </c>
      <c r="W488" s="80">
        <v>0</v>
      </c>
      <c r="X488" s="80">
        <v>5</v>
      </c>
      <c r="Y488" s="11" t="str">
        <f ca="1">IF(ISBLANK(BudgetsTable[[#This Row],[budg_seq_yr]]),"FY"&amp;fiscalyear,"FY"&amp;fiscalyear-1+BudgetsTable[[#This Row],[budg_seq_yr]])</f>
        <v>FY22</v>
      </c>
      <c r="Z488" s="81">
        <v>127806</v>
      </c>
      <c r="AA488" s="80" t="s">
        <v>222</v>
      </c>
      <c r="AB488" s="80" t="s">
        <v>405</v>
      </c>
      <c r="AC488" s="80" t="s">
        <v>539</v>
      </c>
    </row>
    <row r="489" spans="1:29" x14ac:dyDescent="0.4">
      <c r="A489" s="10" t="s">
        <v>376</v>
      </c>
      <c r="B489" s="78" t="s">
        <v>96</v>
      </c>
      <c r="C489" s="78">
        <f>C488+(BudgetsTable[[#This Row],[lead]]&lt;&gt;K488)</f>
        <v>92</v>
      </c>
      <c r="D489" s="78">
        <f>D488*(BudgetsTable[[#This Row],[lead]]=K488)+(BudgetsTable[[#This Row],[prop_id]]&lt;&gt;A488)</f>
        <v>1</v>
      </c>
      <c r="E489" s="79">
        <v>42935.851388888892</v>
      </c>
      <c r="F489" s="80" t="s">
        <v>256</v>
      </c>
      <c r="G489" s="80" t="s">
        <v>222</v>
      </c>
      <c r="H489" s="80" t="s">
        <v>405</v>
      </c>
      <c r="I489" s="78" t="s">
        <v>422</v>
      </c>
      <c r="J489" s="78" t="s">
        <v>544</v>
      </c>
      <c r="K489" s="80" t="s">
        <v>376</v>
      </c>
      <c r="L489" s="7" t="str">
        <f>IF(BudgetsTable[[#This Row],[pi_last_name]]=" ","",HYPERLINK("https://www.ejacket.nsf.gov/ej/showProposal.do?Continue=Y&amp;ID="&amp;BudgetsTable[[#This Row],[prop_id]],BudgetsTable[[#This Row],[prop_id]]))</f>
        <v>1751416</v>
      </c>
      <c r="M489" s="15" t="str">
        <f>IF(BudgetsTable[[#This Row],[pi_last_name]]=" ","",HYPERLINK("https://www.ejacket.nsf.gov/ej/processReviewAnalysis.do?dispatch=add&amp;uniqId="&amp;BudgetsTable[[#This Row],[prop_id]]&amp;PO_id,"&gt;ra"))</f>
        <v>&gt;ra</v>
      </c>
      <c r="N489" s="80" t="s">
        <v>541</v>
      </c>
      <c r="O489" s="7" t="str">
        <f>IF(BudgetsTable[[#This Row],[pi_last_name]]=" ","",HYPERLINK("mailto:"&amp;BudgetsTable[[#This Row],[pi_email]]&amp;"&amp;subject=Your NSF Proposal:  "&amp;BudgetsTable[[#This Row],[prop_id]],BudgetsTable[[#This Row],[pi_email]]))</f>
        <v>nodari@hawaii.edu</v>
      </c>
      <c r="P489" s="80" t="s">
        <v>543</v>
      </c>
      <c r="Q489" s="80"/>
      <c r="R489" s="80"/>
      <c r="S489" s="81"/>
      <c r="T489" s="81"/>
      <c r="U489" s="81"/>
      <c r="V489" s="82"/>
      <c r="W489" s="80">
        <v>0</v>
      </c>
      <c r="X489" s="80"/>
      <c r="Y489" s="11" t="str">
        <f ca="1">IF(ISBLANK(BudgetsTable[[#This Row],[budg_seq_yr]]),"FY"&amp;fiscalyear,"FY"&amp;fiscalyear-1+BudgetsTable[[#This Row],[budg_seq_yr]])</f>
        <v>FY18</v>
      </c>
      <c r="Z489" s="81">
        <v>549999</v>
      </c>
      <c r="AA489" s="80" t="s">
        <v>222</v>
      </c>
      <c r="AB489" s="80" t="s">
        <v>405</v>
      </c>
      <c r="AC489" s="80" t="s">
        <v>545</v>
      </c>
    </row>
    <row r="490" spans="1:29" x14ac:dyDescent="0.4">
      <c r="A490" s="10" t="s">
        <v>376</v>
      </c>
      <c r="B490" s="78" t="s">
        <v>96</v>
      </c>
      <c r="C490" s="78">
        <f>C489+(BudgetsTable[[#This Row],[lead]]&lt;&gt;K489)</f>
        <v>92</v>
      </c>
      <c r="D490" s="78">
        <f>D489*(BudgetsTable[[#This Row],[lead]]=K489)+(BudgetsTable[[#This Row],[prop_id]]&lt;&gt;A489)</f>
        <v>1</v>
      </c>
      <c r="E490" s="79">
        <v>42935.851388888892</v>
      </c>
      <c r="F490" s="80" t="s">
        <v>256</v>
      </c>
      <c r="G490" s="80" t="s">
        <v>222</v>
      </c>
      <c r="H490" s="80" t="s">
        <v>405</v>
      </c>
      <c r="I490" s="78" t="s">
        <v>422</v>
      </c>
      <c r="J490" s="78" t="s">
        <v>13</v>
      </c>
      <c r="K490" s="80" t="s">
        <v>376</v>
      </c>
      <c r="L490" s="7" t="str">
        <f>IF(BudgetsTable[[#This Row],[pi_last_name]]=" ","",HYPERLINK("https://www.ejacket.nsf.gov/ej/showProposal.do?Continue=Y&amp;ID="&amp;BudgetsTable[[#This Row],[prop_id]],BudgetsTable[[#This Row],[prop_id]]))</f>
        <v/>
      </c>
      <c r="M490" s="15" t="str">
        <f>IF(BudgetsTable[[#This Row],[pi_last_name]]=" ","",HYPERLINK("https://www.ejacket.nsf.gov/ej/processReviewAnalysis.do?dispatch=add&amp;uniqId="&amp;BudgetsTable[[#This Row],[prop_id]]&amp;PO_id,"&gt;ra"))</f>
        <v/>
      </c>
      <c r="N490" s="80" t="s">
        <v>13</v>
      </c>
      <c r="O490" s="7" t="str">
        <f>IF(BudgetsTable[[#This Row],[pi_last_name]]=" ","",HYPERLINK("mailto:"&amp;BudgetsTable[[#This Row],[pi_email]]&amp;"&amp;subject=Your NSF Proposal:  "&amp;BudgetsTable[[#This Row],[prop_id]],BudgetsTable[[#This Row],[pi_email]]))</f>
        <v/>
      </c>
      <c r="P490" s="80" t="s">
        <v>13</v>
      </c>
      <c r="Q490" s="80">
        <v>1</v>
      </c>
      <c r="R490" s="80">
        <v>1</v>
      </c>
      <c r="S490" s="81">
        <v>0</v>
      </c>
      <c r="T490" s="81">
        <v>4000</v>
      </c>
      <c r="U490" s="81">
        <v>0</v>
      </c>
      <c r="V490" s="82">
        <v>107503</v>
      </c>
      <c r="W490" s="80">
        <v>0</v>
      </c>
      <c r="X490" s="80">
        <v>1</v>
      </c>
      <c r="Y490" s="11" t="str">
        <f ca="1">IF(ISBLANK(BudgetsTable[[#This Row],[budg_seq_yr]]),"FY"&amp;fiscalyear,"FY"&amp;fiscalyear-1+BudgetsTable[[#This Row],[budg_seq_yr]])</f>
        <v>FY18</v>
      </c>
      <c r="Z490" s="81">
        <v>107503</v>
      </c>
      <c r="AA490" s="80" t="s">
        <v>222</v>
      </c>
      <c r="AB490" s="80" t="s">
        <v>405</v>
      </c>
      <c r="AC490" s="80" t="s">
        <v>545</v>
      </c>
    </row>
    <row r="491" spans="1:29" x14ac:dyDescent="0.4">
      <c r="A491" s="10" t="s">
        <v>376</v>
      </c>
      <c r="B491" s="78" t="s">
        <v>96</v>
      </c>
      <c r="C491" s="78">
        <f>C490+(BudgetsTable[[#This Row],[lead]]&lt;&gt;K490)</f>
        <v>92</v>
      </c>
      <c r="D491" s="78">
        <f>D490*(BudgetsTable[[#This Row],[lead]]=K490)+(BudgetsTable[[#This Row],[prop_id]]&lt;&gt;A490)</f>
        <v>1</v>
      </c>
      <c r="E491" s="79">
        <v>42935.851388888892</v>
      </c>
      <c r="F491" s="80" t="s">
        <v>256</v>
      </c>
      <c r="G491" s="80" t="s">
        <v>222</v>
      </c>
      <c r="H491" s="80" t="s">
        <v>405</v>
      </c>
      <c r="I491" s="78" t="s">
        <v>422</v>
      </c>
      <c r="J491" s="78" t="s">
        <v>13</v>
      </c>
      <c r="K491" s="80" t="s">
        <v>376</v>
      </c>
      <c r="L491" s="7" t="str">
        <f>IF(BudgetsTable[[#This Row],[pi_last_name]]=" ","",HYPERLINK("https://www.ejacket.nsf.gov/ej/showProposal.do?Continue=Y&amp;ID="&amp;BudgetsTable[[#This Row],[prop_id]],BudgetsTable[[#This Row],[prop_id]]))</f>
        <v/>
      </c>
      <c r="M491" s="15" t="str">
        <f>IF(BudgetsTable[[#This Row],[pi_last_name]]=" ","",HYPERLINK("https://www.ejacket.nsf.gov/ej/processReviewAnalysis.do?dispatch=add&amp;uniqId="&amp;BudgetsTable[[#This Row],[prop_id]]&amp;PO_id,"&gt;ra"))</f>
        <v/>
      </c>
      <c r="N491" s="80" t="s">
        <v>13</v>
      </c>
      <c r="O491" s="7" t="str">
        <f>IF(BudgetsTable[[#This Row],[pi_last_name]]=" ","",HYPERLINK("mailto:"&amp;BudgetsTable[[#This Row],[pi_email]]&amp;"&amp;subject=Your NSF Proposal:  "&amp;BudgetsTable[[#This Row],[prop_id]],BudgetsTable[[#This Row],[pi_email]]))</f>
        <v/>
      </c>
      <c r="P491" s="80" t="s">
        <v>13</v>
      </c>
      <c r="Q491" s="80">
        <v>1</v>
      </c>
      <c r="R491" s="80">
        <v>1</v>
      </c>
      <c r="S491" s="81">
        <v>0</v>
      </c>
      <c r="T491" s="81">
        <v>4000</v>
      </c>
      <c r="U491" s="81">
        <v>0</v>
      </c>
      <c r="V491" s="82">
        <v>106381</v>
      </c>
      <c r="W491" s="80">
        <v>0</v>
      </c>
      <c r="X491" s="80">
        <v>2</v>
      </c>
      <c r="Y491" s="11" t="str">
        <f ca="1">IF(ISBLANK(BudgetsTable[[#This Row],[budg_seq_yr]]),"FY"&amp;fiscalyear,"FY"&amp;fiscalyear-1+BudgetsTable[[#This Row],[budg_seq_yr]])</f>
        <v>FY19</v>
      </c>
      <c r="Z491" s="81">
        <v>106381</v>
      </c>
      <c r="AA491" s="80" t="s">
        <v>222</v>
      </c>
      <c r="AB491" s="80" t="s">
        <v>405</v>
      </c>
      <c r="AC491" s="80" t="s">
        <v>545</v>
      </c>
    </row>
    <row r="492" spans="1:29" x14ac:dyDescent="0.4">
      <c r="A492" s="10" t="s">
        <v>376</v>
      </c>
      <c r="B492" s="78" t="s">
        <v>96</v>
      </c>
      <c r="C492" s="78">
        <f>C491+(BudgetsTable[[#This Row],[lead]]&lt;&gt;K491)</f>
        <v>92</v>
      </c>
      <c r="D492" s="78">
        <f>D491*(BudgetsTable[[#This Row],[lead]]=K491)+(BudgetsTable[[#This Row],[prop_id]]&lt;&gt;A491)</f>
        <v>1</v>
      </c>
      <c r="E492" s="79">
        <v>42935.851388888892</v>
      </c>
      <c r="F492" s="80" t="s">
        <v>256</v>
      </c>
      <c r="G492" s="80" t="s">
        <v>222</v>
      </c>
      <c r="H492" s="80" t="s">
        <v>405</v>
      </c>
      <c r="I492" s="78" t="s">
        <v>422</v>
      </c>
      <c r="J492" s="78" t="s">
        <v>13</v>
      </c>
      <c r="K492" s="80" t="s">
        <v>376</v>
      </c>
      <c r="L492" s="7" t="str">
        <f>IF(BudgetsTable[[#This Row],[pi_last_name]]=" ","",HYPERLINK("https://www.ejacket.nsf.gov/ej/showProposal.do?Continue=Y&amp;ID="&amp;BudgetsTable[[#This Row],[prop_id]],BudgetsTable[[#This Row],[prop_id]]))</f>
        <v/>
      </c>
      <c r="M492" s="15" t="str">
        <f>IF(BudgetsTable[[#This Row],[pi_last_name]]=" ","",HYPERLINK("https://www.ejacket.nsf.gov/ej/processReviewAnalysis.do?dispatch=add&amp;uniqId="&amp;BudgetsTable[[#This Row],[prop_id]]&amp;PO_id,"&gt;ra"))</f>
        <v/>
      </c>
      <c r="N492" s="80" t="s">
        <v>13</v>
      </c>
      <c r="O492" s="7" t="str">
        <f>IF(BudgetsTable[[#This Row],[pi_last_name]]=" ","",HYPERLINK("mailto:"&amp;BudgetsTable[[#This Row],[pi_email]]&amp;"&amp;subject=Your NSF Proposal:  "&amp;BudgetsTable[[#This Row],[prop_id]],BudgetsTable[[#This Row],[pi_email]]))</f>
        <v/>
      </c>
      <c r="P492" s="80" t="s">
        <v>13</v>
      </c>
      <c r="Q492" s="80">
        <v>1</v>
      </c>
      <c r="R492" s="80">
        <v>1</v>
      </c>
      <c r="S492" s="81">
        <v>0</v>
      </c>
      <c r="T492" s="81">
        <v>4000</v>
      </c>
      <c r="U492" s="81">
        <v>0</v>
      </c>
      <c r="V492" s="82">
        <v>109149</v>
      </c>
      <c r="W492" s="80">
        <v>0</v>
      </c>
      <c r="X492" s="80">
        <v>3</v>
      </c>
      <c r="Y492" s="11" t="str">
        <f ca="1">IF(ISBLANK(BudgetsTable[[#This Row],[budg_seq_yr]]),"FY"&amp;fiscalyear,"FY"&amp;fiscalyear-1+BudgetsTable[[#This Row],[budg_seq_yr]])</f>
        <v>FY20</v>
      </c>
      <c r="Z492" s="81">
        <v>109149</v>
      </c>
      <c r="AA492" s="80" t="s">
        <v>222</v>
      </c>
      <c r="AB492" s="80" t="s">
        <v>405</v>
      </c>
      <c r="AC492" s="80" t="s">
        <v>545</v>
      </c>
    </row>
    <row r="493" spans="1:29" x14ac:dyDescent="0.4">
      <c r="A493" s="10" t="s">
        <v>376</v>
      </c>
      <c r="B493" s="78" t="s">
        <v>96</v>
      </c>
      <c r="C493" s="78">
        <f>C492+(BudgetsTable[[#This Row],[lead]]&lt;&gt;K492)</f>
        <v>92</v>
      </c>
      <c r="D493" s="78">
        <f>D492*(BudgetsTable[[#This Row],[lead]]=K492)+(BudgetsTable[[#This Row],[prop_id]]&lt;&gt;A492)</f>
        <v>1</v>
      </c>
      <c r="E493" s="79">
        <v>42935.851388888892</v>
      </c>
      <c r="F493" s="80" t="s">
        <v>256</v>
      </c>
      <c r="G493" s="80" t="s">
        <v>222</v>
      </c>
      <c r="H493" s="80" t="s">
        <v>405</v>
      </c>
      <c r="I493" s="78" t="s">
        <v>422</v>
      </c>
      <c r="J493" s="78" t="s">
        <v>13</v>
      </c>
      <c r="K493" s="80" t="s">
        <v>376</v>
      </c>
      <c r="L493" s="7" t="str">
        <f>IF(BudgetsTable[[#This Row],[pi_last_name]]=" ","",HYPERLINK("https://www.ejacket.nsf.gov/ej/showProposal.do?Continue=Y&amp;ID="&amp;BudgetsTable[[#This Row],[prop_id]],BudgetsTable[[#This Row],[prop_id]]))</f>
        <v/>
      </c>
      <c r="M493" s="15" t="str">
        <f>IF(BudgetsTable[[#This Row],[pi_last_name]]=" ","",HYPERLINK("https://www.ejacket.nsf.gov/ej/processReviewAnalysis.do?dispatch=add&amp;uniqId="&amp;BudgetsTable[[#This Row],[prop_id]]&amp;PO_id,"&gt;ra"))</f>
        <v/>
      </c>
      <c r="N493" s="80" t="s">
        <v>13</v>
      </c>
      <c r="O493" s="7" t="str">
        <f>IF(BudgetsTable[[#This Row],[pi_last_name]]=" ","",HYPERLINK("mailto:"&amp;BudgetsTable[[#This Row],[pi_email]]&amp;"&amp;subject=Your NSF Proposal:  "&amp;BudgetsTable[[#This Row],[prop_id]],BudgetsTable[[#This Row],[pi_email]]))</f>
        <v/>
      </c>
      <c r="P493" s="80" t="s">
        <v>13</v>
      </c>
      <c r="Q493" s="80">
        <v>1</v>
      </c>
      <c r="R493" s="80">
        <v>1</v>
      </c>
      <c r="S493" s="81">
        <v>0</v>
      </c>
      <c r="T493" s="81">
        <v>4000</v>
      </c>
      <c r="U493" s="81">
        <v>0</v>
      </c>
      <c r="V493" s="82">
        <v>112009</v>
      </c>
      <c r="W493" s="80">
        <v>0</v>
      </c>
      <c r="X493" s="80">
        <v>4</v>
      </c>
      <c r="Y493" s="11" t="str">
        <f ca="1">IF(ISBLANK(BudgetsTable[[#This Row],[budg_seq_yr]]),"FY"&amp;fiscalyear,"FY"&amp;fiscalyear-1+BudgetsTable[[#This Row],[budg_seq_yr]])</f>
        <v>FY21</v>
      </c>
      <c r="Z493" s="81">
        <v>112009</v>
      </c>
      <c r="AA493" s="80" t="s">
        <v>222</v>
      </c>
      <c r="AB493" s="80" t="s">
        <v>405</v>
      </c>
      <c r="AC493" s="80" t="s">
        <v>545</v>
      </c>
    </row>
    <row r="494" spans="1:29" x14ac:dyDescent="0.4">
      <c r="A494" s="10" t="s">
        <v>376</v>
      </c>
      <c r="B494" s="78" t="s">
        <v>96</v>
      </c>
      <c r="C494" s="78">
        <f>C493+(BudgetsTable[[#This Row],[lead]]&lt;&gt;K493)</f>
        <v>92</v>
      </c>
      <c r="D494" s="78">
        <f>D493*(BudgetsTable[[#This Row],[lead]]=K493)+(BudgetsTable[[#This Row],[prop_id]]&lt;&gt;A493)</f>
        <v>1</v>
      </c>
      <c r="E494" s="79">
        <v>42935.851388888892</v>
      </c>
      <c r="F494" s="80" t="s">
        <v>256</v>
      </c>
      <c r="G494" s="80" t="s">
        <v>222</v>
      </c>
      <c r="H494" s="80" t="s">
        <v>405</v>
      </c>
      <c r="I494" s="78" t="s">
        <v>422</v>
      </c>
      <c r="J494" s="78" t="s">
        <v>13</v>
      </c>
      <c r="K494" s="80" t="s">
        <v>376</v>
      </c>
      <c r="L494" s="7" t="str">
        <f>IF(BudgetsTable[[#This Row],[pi_last_name]]=" ","",HYPERLINK("https://www.ejacket.nsf.gov/ej/showProposal.do?Continue=Y&amp;ID="&amp;BudgetsTable[[#This Row],[prop_id]],BudgetsTable[[#This Row],[prop_id]]))</f>
        <v/>
      </c>
      <c r="M494" s="15" t="str">
        <f>IF(BudgetsTable[[#This Row],[pi_last_name]]=" ","",HYPERLINK("https://www.ejacket.nsf.gov/ej/processReviewAnalysis.do?dispatch=add&amp;uniqId="&amp;BudgetsTable[[#This Row],[prop_id]]&amp;PO_id,"&gt;ra"))</f>
        <v/>
      </c>
      <c r="N494" s="80" t="s">
        <v>13</v>
      </c>
      <c r="O494" s="7" t="str">
        <f>IF(BudgetsTable[[#This Row],[pi_last_name]]=" ","",HYPERLINK("mailto:"&amp;BudgetsTable[[#This Row],[pi_email]]&amp;"&amp;subject=Your NSF Proposal:  "&amp;BudgetsTable[[#This Row],[prop_id]],BudgetsTable[[#This Row],[pi_email]]))</f>
        <v/>
      </c>
      <c r="P494" s="80" t="s">
        <v>13</v>
      </c>
      <c r="Q494" s="80">
        <v>1</v>
      </c>
      <c r="R494" s="80">
        <v>1</v>
      </c>
      <c r="S494" s="81">
        <v>0</v>
      </c>
      <c r="T494" s="81">
        <v>4000</v>
      </c>
      <c r="U494" s="81">
        <v>0</v>
      </c>
      <c r="V494" s="82">
        <v>114957</v>
      </c>
      <c r="W494" s="80">
        <v>0</v>
      </c>
      <c r="X494" s="80">
        <v>5</v>
      </c>
      <c r="Y494" s="11" t="str">
        <f ca="1">IF(ISBLANK(BudgetsTable[[#This Row],[budg_seq_yr]]),"FY"&amp;fiscalyear,"FY"&amp;fiscalyear-1+BudgetsTable[[#This Row],[budg_seq_yr]])</f>
        <v>FY22</v>
      </c>
      <c r="Z494" s="81">
        <v>114957</v>
      </c>
      <c r="AA494" s="80" t="s">
        <v>222</v>
      </c>
      <c r="AB494" s="80" t="s">
        <v>405</v>
      </c>
      <c r="AC494" s="80" t="s">
        <v>545</v>
      </c>
    </row>
    <row r="495" spans="1:29" x14ac:dyDescent="0.4">
      <c r="A495" s="10" t="s">
        <v>377</v>
      </c>
      <c r="B495" s="78" t="s">
        <v>96</v>
      </c>
      <c r="C495" s="78">
        <f>C494+(BudgetsTable[[#This Row],[lead]]&lt;&gt;K494)</f>
        <v>93</v>
      </c>
      <c r="D495" s="78">
        <f>D494*(BudgetsTable[[#This Row],[lead]]=K494)+(BudgetsTable[[#This Row],[prop_id]]&lt;&gt;A494)</f>
        <v>1</v>
      </c>
      <c r="E495" s="79">
        <v>42954.500694444447</v>
      </c>
      <c r="F495" s="80" t="s">
        <v>549</v>
      </c>
      <c r="G495" s="80" t="s">
        <v>222</v>
      </c>
      <c r="H495" s="80" t="s">
        <v>550</v>
      </c>
      <c r="I495" s="78" t="s">
        <v>422</v>
      </c>
      <c r="J495" s="78" t="s">
        <v>553</v>
      </c>
      <c r="K495" s="80" t="s">
        <v>377</v>
      </c>
      <c r="L495" s="7" t="str">
        <f>IF(BudgetsTable[[#This Row],[pi_last_name]]=" ","",HYPERLINK("https://www.ejacket.nsf.gov/ej/showProposal.do?Continue=Y&amp;ID="&amp;BudgetsTable[[#This Row],[prop_id]],BudgetsTable[[#This Row],[prop_id]]))</f>
        <v>1755481</v>
      </c>
      <c r="M495" s="15" t="str">
        <f>IF(BudgetsTable[[#This Row],[pi_last_name]]=" ","",HYPERLINK("https://www.ejacket.nsf.gov/ej/processReviewAnalysis.do?dispatch=add&amp;uniqId="&amp;BudgetsTable[[#This Row],[prop_id]]&amp;PO_id,"&gt;ra"))</f>
        <v>&gt;ra</v>
      </c>
      <c r="N495" s="80" t="s">
        <v>414</v>
      </c>
      <c r="O495" s="7" t="str">
        <f>IF(BudgetsTable[[#This Row],[pi_last_name]]=" ","",HYPERLINK("mailto:"&amp;BudgetsTable[[#This Row],[pi_email]]&amp;"&amp;subject=Your NSF Proposal:  "&amp;BudgetsTable[[#This Row],[prop_id]],BudgetsTable[[#This Row],[pi_email]]))</f>
        <v>kwang@georgiasouthern.edu</v>
      </c>
      <c r="P495" s="80" t="s">
        <v>552</v>
      </c>
      <c r="Q495" s="80"/>
      <c r="R495" s="80"/>
      <c r="S495" s="81"/>
      <c r="T495" s="81"/>
      <c r="U495" s="81"/>
      <c r="V495" s="82"/>
      <c r="W495" s="80">
        <v>0</v>
      </c>
      <c r="X495" s="80"/>
      <c r="Y495" s="11" t="str">
        <f ca="1">IF(ISBLANK(BudgetsTable[[#This Row],[budg_seq_yr]]),"FY"&amp;fiscalyear,"FY"&amp;fiscalyear-1+BudgetsTable[[#This Row],[budg_seq_yr]])</f>
        <v>FY18</v>
      </c>
      <c r="Z495" s="81">
        <v>168126</v>
      </c>
      <c r="AA495" s="80" t="s">
        <v>222</v>
      </c>
      <c r="AB495" s="80" t="s">
        <v>550</v>
      </c>
      <c r="AC495" s="80" t="s">
        <v>554</v>
      </c>
    </row>
    <row r="496" spans="1:29" x14ac:dyDescent="0.4">
      <c r="A496" s="10" t="s">
        <v>377</v>
      </c>
      <c r="B496" s="78" t="s">
        <v>96</v>
      </c>
      <c r="C496" s="78">
        <f>C495+(BudgetsTable[[#This Row],[lead]]&lt;&gt;K495)</f>
        <v>93</v>
      </c>
      <c r="D496" s="78">
        <f>D495*(BudgetsTable[[#This Row],[lead]]=K495)+(BudgetsTable[[#This Row],[prop_id]]&lt;&gt;A495)</f>
        <v>1</v>
      </c>
      <c r="E496" s="79">
        <v>42954.500694444447</v>
      </c>
      <c r="F496" s="80" t="s">
        <v>549</v>
      </c>
      <c r="G496" s="80" t="s">
        <v>222</v>
      </c>
      <c r="H496" s="80" t="s">
        <v>550</v>
      </c>
      <c r="I496" s="78" t="s">
        <v>422</v>
      </c>
      <c r="J496" s="78" t="s">
        <v>13</v>
      </c>
      <c r="K496" s="80" t="s">
        <v>377</v>
      </c>
      <c r="L496" s="7" t="str">
        <f>IF(BudgetsTable[[#This Row],[pi_last_name]]=" ","",HYPERLINK("https://www.ejacket.nsf.gov/ej/showProposal.do?Continue=Y&amp;ID="&amp;BudgetsTable[[#This Row],[prop_id]],BudgetsTable[[#This Row],[prop_id]]))</f>
        <v/>
      </c>
      <c r="M496" s="15" t="str">
        <f>IF(BudgetsTable[[#This Row],[pi_last_name]]=" ","",HYPERLINK("https://www.ejacket.nsf.gov/ej/processReviewAnalysis.do?dispatch=add&amp;uniqId="&amp;BudgetsTable[[#This Row],[prop_id]]&amp;PO_id,"&gt;ra"))</f>
        <v/>
      </c>
      <c r="N496" s="80" t="s">
        <v>13</v>
      </c>
      <c r="O496" s="7" t="str">
        <f>IF(BudgetsTable[[#This Row],[pi_last_name]]=" ","",HYPERLINK("mailto:"&amp;BudgetsTable[[#This Row],[pi_email]]&amp;"&amp;subject=Your NSF Proposal:  "&amp;BudgetsTable[[#This Row],[prop_id]],BudgetsTable[[#This Row],[pi_email]]))</f>
        <v/>
      </c>
      <c r="P496" s="80" t="s">
        <v>13</v>
      </c>
      <c r="Q496" s="80">
        <v>0</v>
      </c>
      <c r="R496" s="80">
        <v>0</v>
      </c>
      <c r="S496" s="81">
        <v>0</v>
      </c>
      <c r="T496" s="81">
        <v>0</v>
      </c>
      <c r="U496" s="81">
        <v>0</v>
      </c>
      <c r="V496" s="82">
        <v>90062</v>
      </c>
      <c r="W496" s="80">
        <v>0</v>
      </c>
      <c r="X496" s="80">
        <v>1</v>
      </c>
      <c r="Y496" s="11" t="str">
        <f ca="1">IF(ISBLANK(BudgetsTable[[#This Row],[budg_seq_yr]]),"FY"&amp;fiscalyear,"FY"&amp;fiscalyear-1+BudgetsTable[[#This Row],[budg_seq_yr]])</f>
        <v>FY18</v>
      </c>
      <c r="Z496" s="81">
        <v>90062</v>
      </c>
      <c r="AA496" s="80" t="s">
        <v>222</v>
      </c>
      <c r="AB496" s="80" t="s">
        <v>550</v>
      </c>
      <c r="AC496" s="80" t="s">
        <v>554</v>
      </c>
    </row>
    <row r="497" spans="1:29" x14ac:dyDescent="0.4">
      <c r="A497" s="10" t="s">
        <v>377</v>
      </c>
      <c r="B497" s="78" t="s">
        <v>96</v>
      </c>
      <c r="C497" s="78">
        <f>C496+(BudgetsTable[[#This Row],[lead]]&lt;&gt;K496)</f>
        <v>93</v>
      </c>
      <c r="D497" s="78">
        <f>D496*(BudgetsTable[[#This Row],[lead]]=K496)+(BudgetsTable[[#This Row],[prop_id]]&lt;&gt;A496)</f>
        <v>1</v>
      </c>
      <c r="E497" s="79">
        <v>42954.500694444447</v>
      </c>
      <c r="F497" s="80" t="s">
        <v>549</v>
      </c>
      <c r="G497" s="80" t="s">
        <v>222</v>
      </c>
      <c r="H497" s="80" t="s">
        <v>550</v>
      </c>
      <c r="I497" s="78" t="s">
        <v>422</v>
      </c>
      <c r="J497" s="78" t="s">
        <v>13</v>
      </c>
      <c r="K497" s="80" t="s">
        <v>377</v>
      </c>
      <c r="L497" s="7" t="str">
        <f>IF(BudgetsTable[[#This Row],[pi_last_name]]=" ","",HYPERLINK("https://www.ejacket.nsf.gov/ej/showProposal.do?Continue=Y&amp;ID="&amp;BudgetsTable[[#This Row],[prop_id]],BudgetsTable[[#This Row],[prop_id]]))</f>
        <v/>
      </c>
      <c r="M497" s="15" t="str">
        <f>IF(BudgetsTable[[#This Row],[pi_last_name]]=" ","",HYPERLINK("https://www.ejacket.nsf.gov/ej/processReviewAnalysis.do?dispatch=add&amp;uniqId="&amp;BudgetsTable[[#This Row],[prop_id]]&amp;PO_id,"&gt;ra"))</f>
        <v/>
      </c>
      <c r="N497" s="80" t="s">
        <v>13</v>
      </c>
      <c r="O497" s="7" t="str">
        <f>IF(BudgetsTable[[#This Row],[pi_last_name]]=" ","",HYPERLINK("mailto:"&amp;BudgetsTable[[#This Row],[pi_email]]&amp;"&amp;subject=Your NSF Proposal:  "&amp;BudgetsTable[[#This Row],[prop_id]],BudgetsTable[[#This Row],[pi_email]]))</f>
        <v/>
      </c>
      <c r="P497" s="80" t="s">
        <v>13</v>
      </c>
      <c r="Q497" s="80">
        <v>0</v>
      </c>
      <c r="R497" s="80">
        <v>0</v>
      </c>
      <c r="S497" s="81">
        <v>0</v>
      </c>
      <c r="T497" s="81">
        <v>0</v>
      </c>
      <c r="U497" s="81">
        <v>0</v>
      </c>
      <c r="V497" s="82">
        <v>78064</v>
      </c>
      <c r="W497" s="80">
        <v>0</v>
      </c>
      <c r="X497" s="80">
        <v>2</v>
      </c>
      <c r="Y497" s="11" t="str">
        <f ca="1">IF(ISBLANK(BudgetsTable[[#This Row],[budg_seq_yr]]),"FY"&amp;fiscalyear,"FY"&amp;fiscalyear-1+BudgetsTable[[#This Row],[budg_seq_yr]])</f>
        <v>FY19</v>
      </c>
      <c r="Z497" s="81">
        <v>78064</v>
      </c>
      <c r="AA497" s="80" t="s">
        <v>222</v>
      </c>
      <c r="AB497" s="80" t="s">
        <v>550</v>
      </c>
      <c r="AC497" s="80" t="s">
        <v>554</v>
      </c>
    </row>
    <row r="498" spans="1:29" x14ac:dyDescent="0.4">
      <c r="A498" s="10" t="s">
        <v>378</v>
      </c>
      <c r="B498" s="78" t="s">
        <v>96</v>
      </c>
      <c r="C498" s="78">
        <f>C497+(BudgetsTable[[#This Row],[lead]]&lt;&gt;K497)</f>
        <v>94</v>
      </c>
      <c r="D498" s="78">
        <f>D497*(BudgetsTable[[#This Row],[lead]]=K497)+(BudgetsTable[[#This Row],[prop_id]]&lt;&gt;A497)</f>
        <v>1</v>
      </c>
      <c r="E498" s="79">
        <v>42956.472222222219</v>
      </c>
      <c r="F498" s="80" t="s">
        <v>549</v>
      </c>
      <c r="G498" s="80" t="s">
        <v>222</v>
      </c>
      <c r="H498" s="80" t="s">
        <v>550</v>
      </c>
      <c r="I498" s="78" t="s">
        <v>406</v>
      </c>
      <c r="J498" s="78" t="s">
        <v>561</v>
      </c>
      <c r="K498" s="80" t="s">
        <v>378</v>
      </c>
      <c r="L498" s="7" t="str">
        <f>IF(BudgetsTable[[#This Row],[pi_last_name]]=" ","",HYPERLINK("https://www.ejacket.nsf.gov/ej/showProposal.do?Continue=Y&amp;ID="&amp;BudgetsTable[[#This Row],[prop_id]],BudgetsTable[[#This Row],[prop_id]]))</f>
        <v>1755702</v>
      </c>
      <c r="M498" s="15" t="str">
        <f>IF(BudgetsTable[[#This Row],[pi_last_name]]=" ","",HYPERLINK("https://www.ejacket.nsf.gov/ej/processReviewAnalysis.do?dispatch=add&amp;uniqId="&amp;BudgetsTable[[#This Row],[prop_id]]&amp;PO_id,"&gt;ra"))</f>
        <v>&gt;ra</v>
      </c>
      <c r="N498" s="80" t="s">
        <v>557</v>
      </c>
      <c r="O498" s="7" t="str">
        <f>IF(BudgetsTable[[#This Row],[pi_last_name]]=" ","",HYPERLINK("mailto:"&amp;BudgetsTable[[#This Row],[pi_email]]&amp;"&amp;subject=Your NSF Proposal:  "&amp;BudgetsTable[[#This Row],[prop_id]],BudgetsTable[[#This Row],[pi_email]]))</f>
        <v>hcharkhgard@usf.edu</v>
      </c>
      <c r="P498" s="80" t="s">
        <v>559</v>
      </c>
      <c r="Q498" s="80"/>
      <c r="R498" s="80"/>
      <c r="S498" s="81"/>
      <c r="T498" s="81"/>
      <c r="U498" s="81"/>
      <c r="V498" s="82"/>
      <c r="W498" s="80">
        <v>0</v>
      </c>
      <c r="X498" s="80"/>
      <c r="Y498" s="11" t="str">
        <f ca="1">IF(ISBLANK(BudgetsTable[[#This Row],[budg_seq_yr]]),"FY"&amp;fiscalyear,"FY"&amp;fiscalyear-1+BudgetsTable[[#This Row],[budg_seq_yr]])</f>
        <v>FY18</v>
      </c>
      <c r="Z498" s="81">
        <v>172682</v>
      </c>
      <c r="AA498" s="80" t="s">
        <v>222</v>
      </c>
      <c r="AB498" s="80" t="s">
        <v>550</v>
      </c>
      <c r="AC498" s="80" t="s">
        <v>554</v>
      </c>
    </row>
    <row r="499" spans="1:29" x14ac:dyDescent="0.4">
      <c r="A499" s="10" t="s">
        <v>378</v>
      </c>
      <c r="B499" s="78" t="s">
        <v>96</v>
      </c>
      <c r="C499" s="78">
        <f>C498+(BudgetsTable[[#This Row],[lead]]&lt;&gt;K498)</f>
        <v>94</v>
      </c>
      <c r="D499" s="78">
        <f>D498*(BudgetsTable[[#This Row],[lead]]=K498)+(BudgetsTable[[#This Row],[prop_id]]&lt;&gt;A498)</f>
        <v>1</v>
      </c>
      <c r="E499" s="79">
        <v>42956.472222222219</v>
      </c>
      <c r="F499" s="80" t="s">
        <v>549</v>
      </c>
      <c r="G499" s="80" t="s">
        <v>222</v>
      </c>
      <c r="H499" s="80" t="s">
        <v>550</v>
      </c>
      <c r="I499" s="78" t="s">
        <v>406</v>
      </c>
      <c r="J499" s="78" t="s">
        <v>13</v>
      </c>
      <c r="K499" s="80" t="s">
        <v>378</v>
      </c>
      <c r="L499" s="7" t="str">
        <f>IF(BudgetsTable[[#This Row],[pi_last_name]]=" ","",HYPERLINK("https://www.ejacket.nsf.gov/ej/showProposal.do?Continue=Y&amp;ID="&amp;BudgetsTable[[#This Row],[prop_id]],BudgetsTable[[#This Row],[prop_id]]))</f>
        <v/>
      </c>
      <c r="M499" s="15" t="str">
        <f>IF(BudgetsTable[[#This Row],[pi_last_name]]=" ","",HYPERLINK("https://www.ejacket.nsf.gov/ej/processReviewAnalysis.do?dispatch=add&amp;uniqId="&amp;BudgetsTable[[#This Row],[prop_id]]&amp;PO_id,"&gt;ra"))</f>
        <v/>
      </c>
      <c r="N499" s="80" t="s">
        <v>13</v>
      </c>
      <c r="O499" s="7" t="str">
        <f>IF(BudgetsTable[[#This Row],[pi_last_name]]=" ","",HYPERLINK("mailto:"&amp;BudgetsTable[[#This Row],[pi_email]]&amp;"&amp;subject=Your NSF Proposal:  "&amp;BudgetsTable[[#This Row],[prop_id]],BudgetsTable[[#This Row],[pi_email]]))</f>
        <v/>
      </c>
      <c r="P499" s="80" t="s">
        <v>13</v>
      </c>
      <c r="Q499" s="80">
        <v>0</v>
      </c>
      <c r="R499" s="80">
        <v>0</v>
      </c>
      <c r="S499" s="81">
        <v>0</v>
      </c>
      <c r="T499" s="81">
        <v>0</v>
      </c>
      <c r="U499" s="81">
        <v>0</v>
      </c>
      <c r="V499" s="82">
        <v>86673</v>
      </c>
      <c r="W499" s="80">
        <v>0</v>
      </c>
      <c r="X499" s="80">
        <v>1</v>
      </c>
      <c r="Y499" s="11" t="str">
        <f ca="1">IF(ISBLANK(BudgetsTable[[#This Row],[budg_seq_yr]]),"FY"&amp;fiscalyear,"FY"&amp;fiscalyear-1+BudgetsTable[[#This Row],[budg_seq_yr]])</f>
        <v>FY18</v>
      </c>
      <c r="Z499" s="81">
        <v>86673</v>
      </c>
      <c r="AA499" s="80" t="s">
        <v>222</v>
      </c>
      <c r="AB499" s="80" t="s">
        <v>550</v>
      </c>
      <c r="AC499" s="80" t="s">
        <v>554</v>
      </c>
    </row>
    <row r="500" spans="1:29" x14ac:dyDescent="0.4">
      <c r="A500" s="10" t="s">
        <v>378</v>
      </c>
      <c r="B500" s="78" t="s">
        <v>96</v>
      </c>
      <c r="C500" s="78">
        <f>C499+(BudgetsTable[[#This Row],[lead]]&lt;&gt;K499)</f>
        <v>94</v>
      </c>
      <c r="D500" s="78">
        <f>D499*(BudgetsTable[[#This Row],[lead]]=K499)+(BudgetsTable[[#This Row],[prop_id]]&lt;&gt;A499)</f>
        <v>1</v>
      </c>
      <c r="E500" s="79">
        <v>42956.472222222219</v>
      </c>
      <c r="F500" s="80" t="s">
        <v>549</v>
      </c>
      <c r="G500" s="80" t="s">
        <v>222</v>
      </c>
      <c r="H500" s="80" t="s">
        <v>550</v>
      </c>
      <c r="I500" s="78" t="s">
        <v>406</v>
      </c>
      <c r="J500" s="78" t="s">
        <v>13</v>
      </c>
      <c r="K500" s="80" t="s">
        <v>378</v>
      </c>
      <c r="L500" s="7" t="str">
        <f>IF(BudgetsTable[[#This Row],[pi_last_name]]=" ","",HYPERLINK("https://www.ejacket.nsf.gov/ej/showProposal.do?Continue=Y&amp;ID="&amp;BudgetsTable[[#This Row],[prop_id]],BudgetsTable[[#This Row],[prop_id]]))</f>
        <v/>
      </c>
      <c r="M500" s="15" t="str">
        <f>IF(BudgetsTable[[#This Row],[pi_last_name]]=" ","",HYPERLINK("https://www.ejacket.nsf.gov/ej/processReviewAnalysis.do?dispatch=add&amp;uniqId="&amp;BudgetsTable[[#This Row],[prop_id]]&amp;PO_id,"&gt;ra"))</f>
        <v/>
      </c>
      <c r="N500" s="80" t="s">
        <v>13</v>
      </c>
      <c r="O500" s="7" t="str">
        <f>IF(BudgetsTable[[#This Row],[pi_last_name]]=" ","",HYPERLINK("mailto:"&amp;BudgetsTable[[#This Row],[pi_email]]&amp;"&amp;subject=Your NSF Proposal:  "&amp;BudgetsTable[[#This Row],[prop_id]],BudgetsTable[[#This Row],[pi_email]]))</f>
        <v/>
      </c>
      <c r="P500" s="80" t="s">
        <v>13</v>
      </c>
      <c r="Q500" s="80">
        <v>0</v>
      </c>
      <c r="R500" s="80">
        <v>0</v>
      </c>
      <c r="S500" s="81">
        <v>0</v>
      </c>
      <c r="T500" s="81">
        <v>0</v>
      </c>
      <c r="U500" s="81">
        <v>0</v>
      </c>
      <c r="V500" s="82">
        <v>86009</v>
      </c>
      <c r="W500" s="80">
        <v>0</v>
      </c>
      <c r="X500" s="80">
        <v>2</v>
      </c>
      <c r="Y500" s="11" t="str">
        <f ca="1">IF(ISBLANK(BudgetsTable[[#This Row],[budg_seq_yr]]),"FY"&amp;fiscalyear,"FY"&amp;fiscalyear-1+BudgetsTable[[#This Row],[budg_seq_yr]])</f>
        <v>FY19</v>
      </c>
      <c r="Z500" s="81">
        <v>86009</v>
      </c>
      <c r="AA500" s="80" t="s">
        <v>222</v>
      </c>
      <c r="AB500" s="80" t="s">
        <v>550</v>
      </c>
      <c r="AC500" s="80" t="s">
        <v>554</v>
      </c>
    </row>
    <row r="501" spans="1:29" x14ac:dyDescent="0.4">
      <c r="A501" s="10" t="s">
        <v>379</v>
      </c>
      <c r="B501" s="78" t="s">
        <v>96</v>
      </c>
      <c r="C501" s="78">
        <f>C500+(BudgetsTable[[#This Row],[lead]]&lt;&gt;K500)</f>
        <v>95</v>
      </c>
      <c r="D501" s="78">
        <f>D500*(BudgetsTable[[#This Row],[lead]]=K500)+(BudgetsTable[[#This Row],[prop_id]]&lt;&gt;A500)</f>
        <v>1</v>
      </c>
      <c r="E501" s="79">
        <v>42956.581944444442</v>
      </c>
      <c r="F501" s="80" t="s">
        <v>549</v>
      </c>
      <c r="G501" s="80" t="s">
        <v>222</v>
      </c>
      <c r="H501" s="80" t="s">
        <v>550</v>
      </c>
      <c r="I501" s="78" t="s">
        <v>422</v>
      </c>
      <c r="J501" s="78" t="s">
        <v>567</v>
      </c>
      <c r="K501" s="80" t="s">
        <v>379</v>
      </c>
      <c r="L501" s="7" t="str">
        <f>IF(BudgetsTable[[#This Row],[pi_last_name]]=" ","",HYPERLINK("https://www.ejacket.nsf.gov/ej/showProposal.do?Continue=Y&amp;ID="&amp;BudgetsTable[[#This Row],[prop_id]],BudgetsTable[[#This Row],[prop_id]]))</f>
        <v>1755791</v>
      </c>
      <c r="M501" s="15" t="str">
        <f>IF(BudgetsTable[[#This Row],[pi_last_name]]=" ","",HYPERLINK("https://www.ejacket.nsf.gov/ej/processReviewAnalysis.do?dispatch=add&amp;uniqId="&amp;BudgetsTable[[#This Row],[prop_id]]&amp;PO_id,"&gt;ra"))</f>
        <v>&gt;ra</v>
      </c>
      <c r="N501" s="80" t="s">
        <v>564</v>
      </c>
      <c r="O501" s="7" t="str">
        <f>IF(BudgetsTable[[#This Row],[pi_last_name]]=" ","",HYPERLINK("mailto:"&amp;BudgetsTable[[#This Row],[pi_email]]&amp;"&amp;subject=Your NSF Proposal:  "&amp;BudgetsTable[[#This Row],[prop_id]],BudgetsTable[[#This Row],[pi_email]]))</f>
        <v>Mayank.Goswami@qc.cuny.edu</v>
      </c>
      <c r="P501" s="80" t="s">
        <v>566</v>
      </c>
      <c r="Q501" s="80"/>
      <c r="R501" s="80"/>
      <c r="S501" s="81"/>
      <c r="T501" s="81"/>
      <c r="U501" s="81"/>
      <c r="V501" s="82"/>
      <c r="W501" s="80">
        <v>0</v>
      </c>
      <c r="X501" s="80"/>
      <c r="Y501" s="11" t="str">
        <f ca="1">IF(ISBLANK(BudgetsTable[[#This Row],[budg_seq_yr]]),"FY"&amp;fiscalyear,"FY"&amp;fiscalyear-1+BudgetsTable[[#This Row],[budg_seq_yr]])</f>
        <v>FY18</v>
      </c>
      <c r="Z501" s="81">
        <v>175000</v>
      </c>
      <c r="AA501" s="80" t="s">
        <v>222</v>
      </c>
      <c r="AB501" s="80" t="s">
        <v>550</v>
      </c>
      <c r="AC501" s="80" t="s">
        <v>554</v>
      </c>
    </row>
    <row r="502" spans="1:29" x14ac:dyDescent="0.4">
      <c r="A502" s="10" t="s">
        <v>379</v>
      </c>
      <c r="B502" s="78" t="s">
        <v>96</v>
      </c>
      <c r="C502" s="78">
        <f>C501+(BudgetsTable[[#This Row],[lead]]&lt;&gt;K501)</f>
        <v>95</v>
      </c>
      <c r="D502" s="78">
        <f>D501*(BudgetsTable[[#This Row],[lead]]=K501)+(BudgetsTable[[#This Row],[prop_id]]&lt;&gt;A501)</f>
        <v>1</v>
      </c>
      <c r="E502" s="79">
        <v>42956.581944444442</v>
      </c>
      <c r="F502" s="80" t="s">
        <v>549</v>
      </c>
      <c r="G502" s="80" t="s">
        <v>222</v>
      </c>
      <c r="H502" s="80" t="s">
        <v>550</v>
      </c>
      <c r="I502" s="78" t="s">
        <v>422</v>
      </c>
      <c r="J502" s="78" t="s">
        <v>13</v>
      </c>
      <c r="K502" s="80" t="s">
        <v>379</v>
      </c>
      <c r="L502" s="7" t="str">
        <f>IF(BudgetsTable[[#This Row],[pi_last_name]]=" ","",HYPERLINK("https://www.ejacket.nsf.gov/ej/showProposal.do?Continue=Y&amp;ID="&amp;BudgetsTable[[#This Row],[prop_id]],BudgetsTable[[#This Row],[prop_id]]))</f>
        <v/>
      </c>
      <c r="M502" s="15" t="str">
        <f>IF(BudgetsTable[[#This Row],[pi_last_name]]=" ","",HYPERLINK("https://www.ejacket.nsf.gov/ej/processReviewAnalysis.do?dispatch=add&amp;uniqId="&amp;BudgetsTable[[#This Row],[prop_id]]&amp;PO_id,"&gt;ra"))</f>
        <v/>
      </c>
      <c r="N502" s="80" t="s">
        <v>13</v>
      </c>
      <c r="O502" s="7" t="str">
        <f>IF(BudgetsTable[[#This Row],[pi_last_name]]=" ","",HYPERLINK("mailto:"&amp;BudgetsTable[[#This Row],[pi_email]]&amp;"&amp;subject=Your NSF Proposal:  "&amp;BudgetsTable[[#This Row],[prop_id]],BudgetsTable[[#This Row],[pi_email]]))</f>
        <v/>
      </c>
      <c r="P502" s="80" t="s">
        <v>13</v>
      </c>
      <c r="Q502" s="80">
        <v>0</v>
      </c>
      <c r="R502" s="80">
        <v>0</v>
      </c>
      <c r="S502" s="81">
        <v>0</v>
      </c>
      <c r="T502" s="81">
        <v>6000</v>
      </c>
      <c r="U502" s="81">
        <v>0</v>
      </c>
      <c r="V502" s="82">
        <v>73951</v>
      </c>
      <c r="W502" s="80">
        <v>0</v>
      </c>
      <c r="X502" s="80">
        <v>1</v>
      </c>
      <c r="Y502" s="11" t="str">
        <f ca="1">IF(ISBLANK(BudgetsTable[[#This Row],[budg_seq_yr]]),"FY"&amp;fiscalyear,"FY"&amp;fiscalyear-1+BudgetsTable[[#This Row],[budg_seq_yr]])</f>
        <v>FY18</v>
      </c>
      <c r="Z502" s="81">
        <v>73951</v>
      </c>
      <c r="AA502" s="80" t="s">
        <v>222</v>
      </c>
      <c r="AB502" s="80" t="s">
        <v>550</v>
      </c>
      <c r="AC502" s="80" t="s">
        <v>554</v>
      </c>
    </row>
    <row r="503" spans="1:29" x14ac:dyDescent="0.4">
      <c r="A503" s="10" t="s">
        <v>379</v>
      </c>
      <c r="B503" s="78" t="s">
        <v>96</v>
      </c>
      <c r="C503" s="78">
        <f>C502+(BudgetsTable[[#This Row],[lead]]&lt;&gt;K502)</f>
        <v>95</v>
      </c>
      <c r="D503" s="78">
        <f>D502*(BudgetsTable[[#This Row],[lead]]=K502)+(BudgetsTable[[#This Row],[prop_id]]&lt;&gt;A502)</f>
        <v>1</v>
      </c>
      <c r="E503" s="79">
        <v>42956.581944444442</v>
      </c>
      <c r="F503" s="80" t="s">
        <v>549</v>
      </c>
      <c r="G503" s="80" t="s">
        <v>222</v>
      </c>
      <c r="H503" s="80" t="s">
        <v>550</v>
      </c>
      <c r="I503" s="78" t="s">
        <v>422</v>
      </c>
      <c r="J503" s="78" t="s">
        <v>13</v>
      </c>
      <c r="K503" s="80" t="s">
        <v>379</v>
      </c>
      <c r="L503" s="7" t="str">
        <f>IF(BudgetsTable[[#This Row],[pi_last_name]]=" ","",HYPERLINK("https://www.ejacket.nsf.gov/ej/showProposal.do?Continue=Y&amp;ID="&amp;BudgetsTable[[#This Row],[prop_id]],BudgetsTable[[#This Row],[prop_id]]))</f>
        <v/>
      </c>
      <c r="M503" s="15" t="str">
        <f>IF(BudgetsTable[[#This Row],[pi_last_name]]=" ","",HYPERLINK("https://www.ejacket.nsf.gov/ej/processReviewAnalysis.do?dispatch=add&amp;uniqId="&amp;BudgetsTable[[#This Row],[prop_id]]&amp;PO_id,"&gt;ra"))</f>
        <v/>
      </c>
      <c r="N503" s="80" t="s">
        <v>13</v>
      </c>
      <c r="O503" s="7" t="str">
        <f>IF(BudgetsTable[[#This Row],[pi_last_name]]=" ","",HYPERLINK("mailto:"&amp;BudgetsTable[[#This Row],[pi_email]]&amp;"&amp;subject=Your NSF Proposal:  "&amp;BudgetsTable[[#This Row],[prop_id]],BudgetsTable[[#This Row],[pi_email]]))</f>
        <v/>
      </c>
      <c r="P503" s="80" t="s">
        <v>13</v>
      </c>
      <c r="Q503" s="80">
        <v>0</v>
      </c>
      <c r="R503" s="80">
        <v>0</v>
      </c>
      <c r="S503" s="81">
        <v>0</v>
      </c>
      <c r="T503" s="81">
        <v>4000</v>
      </c>
      <c r="U503" s="81">
        <v>0</v>
      </c>
      <c r="V503" s="82">
        <v>101049</v>
      </c>
      <c r="W503" s="80">
        <v>0</v>
      </c>
      <c r="X503" s="80">
        <v>2</v>
      </c>
      <c r="Y503" s="11" t="str">
        <f ca="1">IF(ISBLANK(BudgetsTable[[#This Row],[budg_seq_yr]]),"FY"&amp;fiscalyear,"FY"&amp;fiscalyear-1+BudgetsTable[[#This Row],[budg_seq_yr]])</f>
        <v>FY19</v>
      </c>
      <c r="Z503" s="81">
        <v>101049</v>
      </c>
      <c r="AA503" s="80" t="s">
        <v>222</v>
      </c>
      <c r="AB503" s="80" t="s">
        <v>550</v>
      </c>
      <c r="AC503" s="80" t="s">
        <v>554</v>
      </c>
    </row>
    <row r="504" spans="1:29" x14ac:dyDescent="0.4">
      <c r="A504" s="10" t="s">
        <v>380</v>
      </c>
      <c r="B504" s="78" t="s">
        <v>96</v>
      </c>
      <c r="C504" s="78">
        <f>C503+(BudgetsTable[[#This Row],[lead]]&lt;&gt;K503)</f>
        <v>96</v>
      </c>
      <c r="D504" s="78">
        <f>D503*(BudgetsTable[[#This Row],[lead]]=K503)+(BudgetsTable[[#This Row],[prop_id]]&lt;&gt;A503)</f>
        <v>1</v>
      </c>
      <c r="E504" s="79">
        <v>42956.621527777781</v>
      </c>
      <c r="F504" s="80" t="s">
        <v>549</v>
      </c>
      <c r="G504" s="80" t="s">
        <v>222</v>
      </c>
      <c r="H504" s="80" t="s">
        <v>550</v>
      </c>
      <c r="I504" s="78" t="s">
        <v>451</v>
      </c>
      <c r="J504" s="78" t="s">
        <v>572</v>
      </c>
      <c r="K504" s="80" t="s">
        <v>380</v>
      </c>
      <c r="L504" s="7" t="str">
        <f>IF(BudgetsTable[[#This Row],[pi_last_name]]=" ","",HYPERLINK("https://www.ejacket.nsf.gov/ej/showProposal.do?Continue=Y&amp;ID="&amp;BudgetsTable[[#This Row],[prop_id]],BudgetsTable[[#This Row],[prop_id]]))</f>
        <v>1755847</v>
      </c>
      <c r="M504" s="15" t="str">
        <f>IF(BudgetsTable[[#This Row],[pi_last_name]]=" ","",HYPERLINK("https://www.ejacket.nsf.gov/ej/processReviewAnalysis.do?dispatch=add&amp;uniqId="&amp;BudgetsTable[[#This Row],[prop_id]]&amp;PO_id,"&gt;ra"))</f>
        <v>&gt;ra</v>
      </c>
      <c r="N504" s="80" t="s">
        <v>570</v>
      </c>
      <c r="O504" s="7" t="str">
        <f>IF(BudgetsTable[[#This Row],[pi_last_name]]=" ","",HYPERLINK("mailto:"&amp;BudgetsTable[[#This Row],[pi_email]]&amp;"&amp;subject=Your NSF Proposal:  "&amp;BudgetsTable[[#This Row],[prop_id]],BudgetsTable[[#This Row],[pi_email]]))</f>
        <v>ruoyus@illinois.edu</v>
      </c>
      <c r="P504" s="80" t="s">
        <v>454</v>
      </c>
      <c r="Q504" s="80"/>
      <c r="R504" s="80"/>
      <c r="S504" s="81"/>
      <c r="T504" s="81"/>
      <c r="U504" s="81"/>
      <c r="V504" s="82"/>
      <c r="W504" s="80">
        <v>0</v>
      </c>
      <c r="X504" s="80"/>
      <c r="Y504" s="11" t="str">
        <f ca="1">IF(ISBLANK(BudgetsTable[[#This Row],[budg_seq_yr]]),"FY"&amp;fiscalyear,"FY"&amp;fiscalyear-1+BudgetsTable[[#This Row],[budg_seq_yr]])</f>
        <v>FY18</v>
      </c>
      <c r="Z504" s="81">
        <v>175000</v>
      </c>
      <c r="AA504" s="80" t="s">
        <v>222</v>
      </c>
      <c r="AB504" s="80" t="s">
        <v>550</v>
      </c>
      <c r="AC504" s="80" t="s">
        <v>573</v>
      </c>
    </row>
    <row r="505" spans="1:29" x14ac:dyDescent="0.4">
      <c r="A505" s="10" t="s">
        <v>380</v>
      </c>
      <c r="B505" s="78" t="s">
        <v>96</v>
      </c>
      <c r="C505" s="78">
        <f>C504+(BudgetsTable[[#This Row],[lead]]&lt;&gt;K504)</f>
        <v>96</v>
      </c>
      <c r="D505" s="78">
        <f>D504*(BudgetsTable[[#This Row],[lead]]=K504)+(BudgetsTable[[#This Row],[prop_id]]&lt;&gt;A504)</f>
        <v>1</v>
      </c>
      <c r="E505" s="79">
        <v>42956.621527777781</v>
      </c>
      <c r="F505" s="80" t="s">
        <v>549</v>
      </c>
      <c r="G505" s="80" t="s">
        <v>222</v>
      </c>
      <c r="H505" s="80" t="s">
        <v>550</v>
      </c>
      <c r="I505" s="78" t="s">
        <v>451</v>
      </c>
      <c r="J505" s="78" t="s">
        <v>13</v>
      </c>
      <c r="K505" s="80" t="s">
        <v>380</v>
      </c>
      <c r="L505" s="7" t="str">
        <f>IF(BudgetsTable[[#This Row],[pi_last_name]]=" ","",HYPERLINK("https://www.ejacket.nsf.gov/ej/showProposal.do?Continue=Y&amp;ID="&amp;BudgetsTable[[#This Row],[prop_id]],BudgetsTable[[#This Row],[prop_id]]))</f>
        <v/>
      </c>
      <c r="M505" s="15" t="str">
        <f>IF(BudgetsTable[[#This Row],[pi_last_name]]=" ","",HYPERLINK("https://www.ejacket.nsf.gov/ej/processReviewAnalysis.do?dispatch=add&amp;uniqId="&amp;BudgetsTable[[#This Row],[prop_id]]&amp;PO_id,"&gt;ra"))</f>
        <v/>
      </c>
      <c r="N505" s="80" t="s">
        <v>13</v>
      </c>
      <c r="O505" s="7" t="str">
        <f>IF(BudgetsTable[[#This Row],[pi_last_name]]=" ","",HYPERLINK("mailto:"&amp;BudgetsTable[[#This Row],[pi_email]]&amp;"&amp;subject=Your NSF Proposal:  "&amp;BudgetsTable[[#This Row],[prop_id]],BudgetsTable[[#This Row],[pi_email]]))</f>
        <v/>
      </c>
      <c r="P505" s="80" t="s">
        <v>13</v>
      </c>
      <c r="Q505" s="80">
        <v>0</v>
      </c>
      <c r="R505" s="80">
        <v>0</v>
      </c>
      <c r="S505" s="81">
        <v>0</v>
      </c>
      <c r="T505" s="81">
        <v>2000</v>
      </c>
      <c r="U505" s="81">
        <v>0</v>
      </c>
      <c r="V505" s="82">
        <v>86350</v>
      </c>
      <c r="W505" s="80">
        <v>0</v>
      </c>
      <c r="X505" s="80">
        <v>1</v>
      </c>
      <c r="Y505" s="11" t="str">
        <f ca="1">IF(ISBLANK(BudgetsTable[[#This Row],[budg_seq_yr]]),"FY"&amp;fiscalyear,"FY"&amp;fiscalyear-1+BudgetsTable[[#This Row],[budg_seq_yr]])</f>
        <v>FY18</v>
      </c>
      <c r="Z505" s="81">
        <v>86350</v>
      </c>
      <c r="AA505" s="80" t="s">
        <v>222</v>
      </c>
      <c r="AB505" s="80" t="s">
        <v>550</v>
      </c>
      <c r="AC505" s="80" t="s">
        <v>573</v>
      </c>
    </row>
    <row r="506" spans="1:29" x14ac:dyDescent="0.4">
      <c r="A506" s="10" t="s">
        <v>380</v>
      </c>
      <c r="B506" s="78" t="s">
        <v>96</v>
      </c>
      <c r="C506" s="78">
        <f>C505+(BudgetsTable[[#This Row],[lead]]&lt;&gt;K505)</f>
        <v>96</v>
      </c>
      <c r="D506" s="78">
        <f>D505*(BudgetsTable[[#This Row],[lead]]=K505)+(BudgetsTable[[#This Row],[prop_id]]&lt;&gt;A505)</f>
        <v>1</v>
      </c>
      <c r="E506" s="79">
        <v>42956.621527777781</v>
      </c>
      <c r="F506" s="80" t="s">
        <v>549</v>
      </c>
      <c r="G506" s="80" t="s">
        <v>222</v>
      </c>
      <c r="H506" s="80" t="s">
        <v>550</v>
      </c>
      <c r="I506" s="78" t="s">
        <v>451</v>
      </c>
      <c r="J506" s="78" t="s">
        <v>13</v>
      </c>
      <c r="K506" s="80" t="s">
        <v>380</v>
      </c>
      <c r="L506" s="7" t="str">
        <f>IF(BudgetsTable[[#This Row],[pi_last_name]]=" ","",HYPERLINK("https://www.ejacket.nsf.gov/ej/showProposal.do?Continue=Y&amp;ID="&amp;BudgetsTable[[#This Row],[prop_id]],BudgetsTable[[#This Row],[prop_id]]))</f>
        <v/>
      </c>
      <c r="M506" s="15" t="str">
        <f>IF(BudgetsTable[[#This Row],[pi_last_name]]=" ","",HYPERLINK("https://www.ejacket.nsf.gov/ej/processReviewAnalysis.do?dispatch=add&amp;uniqId="&amp;BudgetsTable[[#This Row],[prop_id]]&amp;PO_id,"&gt;ra"))</f>
        <v/>
      </c>
      <c r="N506" s="80" t="s">
        <v>13</v>
      </c>
      <c r="O506" s="7" t="str">
        <f>IF(BudgetsTable[[#This Row],[pi_last_name]]=" ","",HYPERLINK("mailto:"&amp;BudgetsTable[[#This Row],[pi_email]]&amp;"&amp;subject=Your NSF Proposal:  "&amp;BudgetsTable[[#This Row],[prop_id]],BudgetsTable[[#This Row],[pi_email]]))</f>
        <v/>
      </c>
      <c r="P506" s="80" t="s">
        <v>13</v>
      </c>
      <c r="Q506" s="80">
        <v>0</v>
      </c>
      <c r="R506" s="80">
        <v>0</v>
      </c>
      <c r="S506" s="81">
        <v>0</v>
      </c>
      <c r="T506" s="81">
        <v>2000</v>
      </c>
      <c r="U506" s="81">
        <v>0</v>
      </c>
      <c r="V506" s="82">
        <v>88650</v>
      </c>
      <c r="W506" s="80">
        <v>0</v>
      </c>
      <c r="X506" s="80">
        <v>2</v>
      </c>
      <c r="Y506" s="11" t="str">
        <f ca="1">IF(ISBLANK(BudgetsTable[[#This Row],[budg_seq_yr]]),"FY"&amp;fiscalyear,"FY"&amp;fiscalyear-1+BudgetsTable[[#This Row],[budg_seq_yr]])</f>
        <v>FY19</v>
      </c>
      <c r="Z506" s="81">
        <v>88650</v>
      </c>
      <c r="AA506" s="80" t="s">
        <v>222</v>
      </c>
      <c r="AB506" s="80" t="s">
        <v>550</v>
      </c>
      <c r="AC506" s="80" t="s">
        <v>573</v>
      </c>
    </row>
    <row r="507" spans="1:29" x14ac:dyDescent="0.4">
      <c r="A507" s="10" t="s">
        <v>381</v>
      </c>
      <c r="B507" s="78" t="s">
        <v>96</v>
      </c>
      <c r="C507" s="78">
        <f>C506+(BudgetsTable[[#This Row],[lead]]&lt;&gt;K506)</f>
        <v>97</v>
      </c>
      <c r="D507" s="78">
        <f>D506*(BudgetsTable[[#This Row],[lead]]=K506)+(BudgetsTable[[#This Row],[prop_id]]&lt;&gt;A506)</f>
        <v>1</v>
      </c>
      <c r="E507" s="79">
        <v>42956.647916666669</v>
      </c>
      <c r="F507" s="80" t="s">
        <v>549</v>
      </c>
      <c r="G507" s="80" t="s">
        <v>222</v>
      </c>
      <c r="H507" s="80" t="s">
        <v>550</v>
      </c>
      <c r="I507" s="78" t="s">
        <v>406</v>
      </c>
      <c r="J507" s="78" t="s">
        <v>579</v>
      </c>
      <c r="K507" s="80" t="s">
        <v>381</v>
      </c>
      <c r="L507" s="7" t="str">
        <f>IF(BudgetsTable[[#This Row],[pi_last_name]]=" ","",HYPERLINK("https://www.ejacket.nsf.gov/ej/showProposal.do?Continue=Y&amp;ID="&amp;BudgetsTable[[#This Row],[prop_id]],BudgetsTable[[#This Row],[prop_id]]))</f>
        <v>1755881</v>
      </c>
      <c r="M507" s="15" t="str">
        <f>IF(BudgetsTable[[#This Row],[pi_last_name]]=" ","",HYPERLINK("https://www.ejacket.nsf.gov/ej/processReviewAnalysis.do?dispatch=add&amp;uniqId="&amp;BudgetsTable[[#This Row],[prop_id]]&amp;PO_id,"&gt;ra"))</f>
        <v>&gt;ra</v>
      </c>
      <c r="N507" s="80" t="s">
        <v>576</v>
      </c>
      <c r="O507" s="7" t="str">
        <f>IF(BudgetsTable[[#This Row],[pi_last_name]]=" ","",HYPERLINK("mailto:"&amp;BudgetsTable[[#This Row],[pi_email]]&amp;"&amp;subject=Your NSF Proposal:  "&amp;BudgetsTable[[#This Row],[prop_id]],BudgetsTable[[#This Row],[pi_email]]))</f>
        <v>osan@okstate.edu</v>
      </c>
      <c r="P507" s="80" t="s">
        <v>578</v>
      </c>
      <c r="Q507" s="80"/>
      <c r="R507" s="80"/>
      <c r="S507" s="81"/>
      <c r="T507" s="81"/>
      <c r="U507" s="81"/>
      <c r="V507" s="82"/>
      <c r="W507" s="80">
        <v>0</v>
      </c>
      <c r="X507" s="80"/>
      <c r="Y507" s="11" t="str">
        <f ca="1">IF(ISBLANK(BudgetsTable[[#This Row],[budg_seq_yr]]),"FY"&amp;fiscalyear,"FY"&amp;fiscalyear-1+BudgetsTable[[#This Row],[budg_seq_yr]])</f>
        <v>FY18</v>
      </c>
      <c r="Z507" s="81">
        <v>170144</v>
      </c>
      <c r="AA507" s="80" t="s">
        <v>222</v>
      </c>
      <c r="AB507" s="80" t="s">
        <v>550</v>
      </c>
      <c r="AC507" s="80" t="s">
        <v>580</v>
      </c>
    </row>
    <row r="508" spans="1:29" x14ac:dyDescent="0.4">
      <c r="A508" s="10" t="s">
        <v>381</v>
      </c>
      <c r="B508" s="78" t="s">
        <v>96</v>
      </c>
      <c r="C508" s="78">
        <f>C507+(BudgetsTable[[#This Row],[lead]]&lt;&gt;K507)</f>
        <v>97</v>
      </c>
      <c r="D508" s="78">
        <f>D507*(BudgetsTable[[#This Row],[lead]]=K507)+(BudgetsTable[[#This Row],[prop_id]]&lt;&gt;A507)</f>
        <v>1</v>
      </c>
      <c r="E508" s="79">
        <v>42956.647916666669</v>
      </c>
      <c r="F508" s="80" t="s">
        <v>549</v>
      </c>
      <c r="G508" s="80" t="s">
        <v>222</v>
      </c>
      <c r="H508" s="80" t="s">
        <v>550</v>
      </c>
      <c r="I508" s="78" t="s">
        <v>406</v>
      </c>
      <c r="J508" s="78" t="s">
        <v>13</v>
      </c>
      <c r="K508" s="80" t="s">
        <v>381</v>
      </c>
      <c r="L508" s="7" t="str">
        <f>IF(BudgetsTable[[#This Row],[pi_last_name]]=" ","",HYPERLINK("https://www.ejacket.nsf.gov/ej/showProposal.do?Continue=Y&amp;ID="&amp;BudgetsTable[[#This Row],[prop_id]],BudgetsTable[[#This Row],[prop_id]]))</f>
        <v/>
      </c>
      <c r="M508" s="15" t="str">
        <f>IF(BudgetsTable[[#This Row],[pi_last_name]]=" ","",HYPERLINK("https://www.ejacket.nsf.gov/ej/processReviewAnalysis.do?dispatch=add&amp;uniqId="&amp;BudgetsTable[[#This Row],[prop_id]]&amp;PO_id,"&gt;ra"))</f>
        <v/>
      </c>
      <c r="N508" s="80" t="s">
        <v>13</v>
      </c>
      <c r="O508" s="7" t="str">
        <f>IF(BudgetsTable[[#This Row],[pi_last_name]]=" ","",HYPERLINK("mailto:"&amp;BudgetsTable[[#This Row],[pi_email]]&amp;"&amp;subject=Your NSF Proposal:  "&amp;BudgetsTable[[#This Row],[prop_id]],BudgetsTable[[#This Row],[pi_email]]))</f>
        <v/>
      </c>
      <c r="P508" s="80" t="s">
        <v>13</v>
      </c>
      <c r="Q508" s="80">
        <v>0</v>
      </c>
      <c r="R508" s="80">
        <v>0</v>
      </c>
      <c r="S508" s="81">
        <v>0</v>
      </c>
      <c r="T508" s="81">
        <v>0</v>
      </c>
      <c r="U508" s="81">
        <v>0</v>
      </c>
      <c r="V508" s="82">
        <v>83724</v>
      </c>
      <c r="W508" s="80">
        <v>0</v>
      </c>
      <c r="X508" s="80">
        <v>1</v>
      </c>
      <c r="Y508" s="11" t="str">
        <f ca="1">IF(ISBLANK(BudgetsTable[[#This Row],[budg_seq_yr]]),"FY"&amp;fiscalyear,"FY"&amp;fiscalyear-1+BudgetsTable[[#This Row],[budg_seq_yr]])</f>
        <v>FY18</v>
      </c>
      <c r="Z508" s="81">
        <v>83724</v>
      </c>
      <c r="AA508" s="80" t="s">
        <v>222</v>
      </c>
      <c r="AB508" s="80" t="s">
        <v>550</v>
      </c>
      <c r="AC508" s="80" t="s">
        <v>580</v>
      </c>
    </row>
    <row r="509" spans="1:29" x14ac:dyDescent="0.4">
      <c r="A509" s="10" t="s">
        <v>381</v>
      </c>
      <c r="B509" s="78" t="s">
        <v>96</v>
      </c>
      <c r="C509" s="78">
        <f>C508+(BudgetsTable[[#This Row],[lead]]&lt;&gt;K508)</f>
        <v>97</v>
      </c>
      <c r="D509" s="78">
        <f>D508*(BudgetsTable[[#This Row],[lead]]=K508)+(BudgetsTable[[#This Row],[prop_id]]&lt;&gt;A508)</f>
        <v>1</v>
      </c>
      <c r="E509" s="79">
        <v>42956.647916666669</v>
      </c>
      <c r="F509" s="80" t="s">
        <v>549</v>
      </c>
      <c r="G509" s="80" t="s">
        <v>222</v>
      </c>
      <c r="H509" s="80" t="s">
        <v>550</v>
      </c>
      <c r="I509" s="78" t="s">
        <v>406</v>
      </c>
      <c r="J509" s="78" t="s">
        <v>13</v>
      </c>
      <c r="K509" s="80" t="s">
        <v>381</v>
      </c>
      <c r="L509" s="7" t="str">
        <f>IF(BudgetsTable[[#This Row],[pi_last_name]]=" ","",HYPERLINK("https://www.ejacket.nsf.gov/ej/showProposal.do?Continue=Y&amp;ID="&amp;BudgetsTable[[#This Row],[prop_id]],BudgetsTable[[#This Row],[prop_id]]))</f>
        <v/>
      </c>
      <c r="M509" s="15" t="str">
        <f>IF(BudgetsTable[[#This Row],[pi_last_name]]=" ","",HYPERLINK("https://www.ejacket.nsf.gov/ej/processReviewAnalysis.do?dispatch=add&amp;uniqId="&amp;BudgetsTable[[#This Row],[prop_id]]&amp;PO_id,"&gt;ra"))</f>
        <v/>
      </c>
      <c r="N509" s="80" t="s">
        <v>13</v>
      </c>
      <c r="O509" s="7" t="str">
        <f>IF(BudgetsTable[[#This Row],[pi_last_name]]=" ","",HYPERLINK("mailto:"&amp;BudgetsTable[[#This Row],[pi_email]]&amp;"&amp;subject=Your NSF Proposal:  "&amp;BudgetsTable[[#This Row],[prop_id]],BudgetsTable[[#This Row],[pi_email]]))</f>
        <v/>
      </c>
      <c r="P509" s="80" t="s">
        <v>13</v>
      </c>
      <c r="Q509" s="80">
        <v>0</v>
      </c>
      <c r="R509" s="80">
        <v>0</v>
      </c>
      <c r="S509" s="81">
        <v>0</v>
      </c>
      <c r="T509" s="81">
        <v>0</v>
      </c>
      <c r="U509" s="81">
        <v>0</v>
      </c>
      <c r="V509" s="82">
        <v>86420</v>
      </c>
      <c r="W509" s="80">
        <v>0</v>
      </c>
      <c r="X509" s="80">
        <v>2</v>
      </c>
      <c r="Y509" s="11" t="str">
        <f ca="1">IF(ISBLANK(BudgetsTable[[#This Row],[budg_seq_yr]]),"FY"&amp;fiscalyear,"FY"&amp;fiscalyear-1+BudgetsTable[[#This Row],[budg_seq_yr]])</f>
        <v>FY19</v>
      </c>
      <c r="Z509" s="81">
        <v>86420</v>
      </c>
      <c r="AA509" s="80" t="s">
        <v>222</v>
      </c>
      <c r="AB509" s="80" t="s">
        <v>550</v>
      </c>
      <c r="AC509" s="80" t="s">
        <v>580</v>
      </c>
    </row>
    <row r="510" spans="1:29" x14ac:dyDescent="0.4">
      <c r="A510" s="10" t="s">
        <v>382</v>
      </c>
      <c r="B510" s="78" t="s">
        <v>96</v>
      </c>
      <c r="C510" s="78">
        <f>C509+(BudgetsTable[[#This Row],[lead]]&lt;&gt;K509)</f>
        <v>98</v>
      </c>
      <c r="D510" s="78">
        <f>D509*(BudgetsTable[[#This Row],[lead]]=K509)+(BudgetsTable[[#This Row],[prop_id]]&lt;&gt;A509)</f>
        <v>1</v>
      </c>
      <c r="E510" s="79">
        <v>42956.697222222225</v>
      </c>
      <c r="F510" s="80" t="s">
        <v>549</v>
      </c>
      <c r="G510" s="80" t="s">
        <v>222</v>
      </c>
      <c r="H510" s="80" t="s">
        <v>550</v>
      </c>
      <c r="I510" s="78" t="s">
        <v>406</v>
      </c>
      <c r="J510" s="78" t="s">
        <v>586</v>
      </c>
      <c r="K510" s="80" t="s">
        <v>382</v>
      </c>
      <c r="L510" s="7" t="str">
        <f>IF(BudgetsTable[[#This Row],[pi_last_name]]=" ","",HYPERLINK("https://www.ejacket.nsf.gov/ej/showProposal.do?Continue=Y&amp;ID="&amp;BudgetsTable[[#This Row],[prop_id]],BudgetsTable[[#This Row],[prop_id]]))</f>
        <v>1755954</v>
      </c>
      <c r="M510" s="15" t="str">
        <f>IF(BudgetsTable[[#This Row],[pi_last_name]]=" ","",HYPERLINK("https://www.ejacket.nsf.gov/ej/processReviewAnalysis.do?dispatch=add&amp;uniqId="&amp;BudgetsTable[[#This Row],[prop_id]]&amp;PO_id,"&gt;ra"))</f>
        <v>&gt;ra</v>
      </c>
      <c r="N510" s="80" t="s">
        <v>583</v>
      </c>
      <c r="O510" s="7" t="str">
        <f>IF(BudgetsTable[[#This Row],[pi_last_name]]=" ","",HYPERLINK("mailto:"&amp;BudgetsTable[[#This Row],[pi_email]]&amp;"&amp;subject=Your NSF Proposal:  "&amp;BudgetsTable[[#This Row],[prop_id]],BudgetsTable[[#This Row],[pi_email]]))</f>
        <v>shima.hm@tamu.edu</v>
      </c>
      <c r="P510" s="80" t="s">
        <v>585</v>
      </c>
      <c r="Q510" s="80"/>
      <c r="R510" s="80"/>
      <c r="S510" s="81"/>
      <c r="T510" s="81"/>
      <c r="U510" s="81"/>
      <c r="V510" s="82"/>
      <c r="W510" s="80">
        <v>0</v>
      </c>
      <c r="X510" s="80"/>
      <c r="Y510" s="11" t="str">
        <f ca="1">IF(ISBLANK(BudgetsTable[[#This Row],[budg_seq_yr]]),"FY"&amp;fiscalyear,"FY"&amp;fiscalyear-1+BudgetsTable[[#This Row],[budg_seq_yr]])</f>
        <v>FY18</v>
      </c>
      <c r="Z510" s="81">
        <v>175000</v>
      </c>
      <c r="AA510" s="80" t="s">
        <v>222</v>
      </c>
      <c r="AB510" s="80" t="s">
        <v>550</v>
      </c>
      <c r="AC510" s="80" t="s">
        <v>573</v>
      </c>
    </row>
    <row r="511" spans="1:29" x14ac:dyDescent="0.4">
      <c r="A511" s="10" t="s">
        <v>382</v>
      </c>
      <c r="B511" s="78" t="s">
        <v>96</v>
      </c>
      <c r="C511" s="78">
        <f>C510+(BudgetsTable[[#This Row],[lead]]&lt;&gt;K510)</f>
        <v>98</v>
      </c>
      <c r="D511" s="78">
        <f>D510*(BudgetsTable[[#This Row],[lead]]=K510)+(BudgetsTable[[#This Row],[prop_id]]&lt;&gt;A510)</f>
        <v>1</v>
      </c>
      <c r="E511" s="79">
        <v>42956.697222222225</v>
      </c>
      <c r="F511" s="80" t="s">
        <v>549</v>
      </c>
      <c r="G511" s="80" t="s">
        <v>222</v>
      </c>
      <c r="H511" s="80" t="s">
        <v>550</v>
      </c>
      <c r="I511" s="78" t="s">
        <v>406</v>
      </c>
      <c r="J511" s="78" t="s">
        <v>13</v>
      </c>
      <c r="K511" s="80" t="s">
        <v>382</v>
      </c>
      <c r="L511" s="7" t="str">
        <f>IF(BudgetsTable[[#This Row],[pi_last_name]]=" ","",HYPERLINK("https://www.ejacket.nsf.gov/ej/showProposal.do?Continue=Y&amp;ID="&amp;BudgetsTable[[#This Row],[prop_id]],BudgetsTable[[#This Row],[prop_id]]))</f>
        <v/>
      </c>
      <c r="M511" s="15" t="str">
        <f>IF(BudgetsTable[[#This Row],[pi_last_name]]=" ","",HYPERLINK("https://www.ejacket.nsf.gov/ej/processReviewAnalysis.do?dispatch=add&amp;uniqId="&amp;BudgetsTable[[#This Row],[prop_id]]&amp;PO_id,"&gt;ra"))</f>
        <v/>
      </c>
      <c r="N511" s="80" t="s">
        <v>13</v>
      </c>
      <c r="O511" s="7" t="str">
        <f>IF(BudgetsTable[[#This Row],[pi_last_name]]=" ","",HYPERLINK("mailto:"&amp;BudgetsTable[[#This Row],[pi_email]]&amp;"&amp;subject=Your NSF Proposal:  "&amp;BudgetsTable[[#This Row],[prop_id]],BudgetsTable[[#This Row],[pi_email]]))</f>
        <v/>
      </c>
      <c r="P511" s="80" t="s">
        <v>13</v>
      </c>
      <c r="Q511" s="80">
        <v>0</v>
      </c>
      <c r="R511" s="80">
        <v>0</v>
      </c>
      <c r="S511" s="81">
        <v>0</v>
      </c>
      <c r="T511" s="81">
        <v>0</v>
      </c>
      <c r="U511" s="81">
        <v>0</v>
      </c>
      <c r="V511" s="82">
        <v>86245</v>
      </c>
      <c r="W511" s="80">
        <v>0</v>
      </c>
      <c r="X511" s="80">
        <v>1</v>
      </c>
      <c r="Y511" s="11" t="str">
        <f ca="1">IF(ISBLANK(BudgetsTable[[#This Row],[budg_seq_yr]]),"FY"&amp;fiscalyear,"FY"&amp;fiscalyear-1+BudgetsTable[[#This Row],[budg_seq_yr]])</f>
        <v>FY18</v>
      </c>
      <c r="Z511" s="81">
        <v>86245</v>
      </c>
      <c r="AA511" s="80" t="s">
        <v>222</v>
      </c>
      <c r="AB511" s="80" t="s">
        <v>550</v>
      </c>
      <c r="AC511" s="80" t="s">
        <v>573</v>
      </c>
    </row>
    <row r="512" spans="1:29" x14ac:dyDescent="0.4">
      <c r="A512" s="10" t="s">
        <v>382</v>
      </c>
      <c r="B512" s="78" t="s">
        <v>96</v>
      </c>
      <c r="C512" s="78">
        <f>C511+(BudgetsTable[[#This Row],[lead]]&lt;&gt;K511)</f>
        <v>98</v>
      </c>
      <c r="D512" s="78">
        <f>D511*(BudgetsTable[[#This Row],[lead]]=K511)+(BudgetsTable[[#This Row],[prop_id]]&lt;&gt;A511)</f>
        <v>1</v>
      </c>
      <c r="E512" s="79">
        <v>42956.697222222225</v>
      </c>
      <c r="F512" s="80" t="s">
        <v>549</v>
      </c>
      <c r="G512" s="80" t="s">
        <v>222</v>
      </c>
      <c r="H512" s="80" t="s">
        <v>550</v>
      </c>
      <c r="I512" s="78" t="s">
        <v>406</v>
      </c>
      <c r="J512" s="78" t="s">
        <v>13</v>
      </c>
      <c r="K512" s="80" t="s">
        <v>382</v>
      </c>
      <c r="L512" s="7" t="str">
        <f>IF(BudgetsTable[[#This Row],[pi_last_name]]=" ","",HYPERLINK("https://www.ejacket.nsf.gov/ej/showProposal.do?Continue=Y&amp;ID="&amp;BudgetsTable[[#This Row],[prop_id]],BudgetsTable[[#This Row],[prop_id]]))</f>
        <v/>
      </c>
      <c r="M512" s="15" t="str">
        <f>IF(BudgetsTable[[#This Row],[pi_last_name]]=" ","",HYPERLINK("https://www.ejacket.nsf.gov/ej/processReviewAnalysis.do?dispatch=add&amp;uniqId="&amp;BudgetsTable[[#This Row],[prop_id]]&amp;PO_id,"&gt;ra"))</f>
        <v/>
      </c>
      <c r="N512" s="80" t="s">
        <v>13</v>
      </c>
      <c r="O512" s="7" t="str">
        <f>IF(BudgetsTable[[#This Row],[pi_last_name]]=" ","",HYPERLINK("mailto:"&amp;BudgetsTable[[#This Row],[pi_email]]&amp;"&amp;subject=Your NSF Proposal:  "&amp;BudgetsTable[[#This Row],[prop_id]],BudgetsTable[[#This Row],[pi_email]]))</f>
        <v/>
      </c>
      <c r="P512" s="80" t="s">
        <v>13</v>
      </c>
      <c r="Q512" s="80">
        <v>0</v>
      </c>
      <c r="R512" s="80">
        <v>0</v>
      </c>
      <c r="S512" s="81">
        <v>0</v>
      </c>
      <c r="T512" s="81">
        <v>0</v>
      </c>
      <c r="U512" s="81">
        <v>0</v>
      </c>
      <c r="V512" s="82">
        <v>88755</v>
      </c>
      <c r="W512" s="80">
        <v>0</v>
      </c>
      <c r="X512" s="80">
        <v>2</v>
      </c>
      <c r="Y512" s="11" t="str">
        <f ca="1">IF(ISBLANK(BudgetsTable[[#This Row],[budg_seq_yr]]),"FY"&amp;fiscalyear,"FY"&amp;fiscalyear-1+BudgetsTable[[#This Row],[budg_seq_yr]])</f>
        <v>FY19</v>
      </c>
      <c r="Z512" s="81">
        <v>88755</v>
      </c>
      <c r="AA512" s="80" t="s">
        <v>222</v>
      </c>
      <c r="AB512" s="80" t="s">
        <v>550</v>
      </c>
      <c r="AC512" s="80" t="s">
        <v>573</v>
      </c>
    </row>
    <row r="513" spans="1:29" x14ac:dyDescent="0.4">
      <c r="A513" s="10" t="s">
        <v>383</v>
      </c>
      <c r="B513" s="78" t="s">
        <v>96</v>
      </c>
      <c r="C513" s="78">
        <f>C512+(BudgetsTable[[#This Row],[lead]]&lt;&gt;K512)</f>
        <v>99</v>
      </c>
      <c r="D513" s="78">
        <f>D512*(BudgetsTable[[#This Row],[lead]]=K512)+(BudgetsTable[[#This Row],[prop_id]]&lt;&gt;A512)</f>
        <v>1</v>
      </c>
      <c r="E513" s="79">
        <v>42956.717361111114</v>
      </c>
      <c r="F513" s="80" t="s">
        <v>549</v>
      </c>
      <c r="G513" s="80" t="s">
        <v>222</v>
      </c>
      <c r="H513" s="80" t="s">
        <v>550</v>
      </c>
      <c r="I513" s="78" t="s">
        <v>406</v>
      </c>
      <c r="J513" s="78" t="s">
        <v>592</v>
      </c>
      <c r="K513" s="80" t="s">
        <v>383</v>
      </c>
      <c r="L513" s="7" t="str">
        <f>IF(BudgetsTable[[#This Row],[pi_last_name]]=" ","",HYPERLINK("https://www.ejacket.nsf.gov/ej/showProposal.do?Continue=Y&amp;ID="&amp;BudgetsTable[[#This Row],[prop_id]],BudgetsTable[[#This Row],[prop_id]]))</f>
        <v>1755978</v>
      </c>
      <c r="M513" s="15" t="str">
        <f>IF(BudgetsTable[[#This Row],[pi_last_name]]=" ","",HYPERLINK("https://www.ejacket.nsf.gov/ej/processReviewAnalysis.do?dispatch=add&amp;uniqId="&amp;BudgetsTable[[#This Row],[prop_id]]&amp;PO_id,"&gt;ra"))</f>
        <v>&gt;ra</v>
      </c>
      <c r="N513" s="80" t="s">
        <v>589</v>
      </c>
      <c r="O513" s="7" t="str">
        <f>IF(BudgetsTable[[#This Row],[pi_last_name]]=" ","",HYPERLINK("mailto:"&amp;BudgetsTable[[#This Row],[pi_email]]&amp;"&amp;subject=Your NSF Proposal:  "&amp;BudgetsTable[[#This Row],[prop_id]],BudgetsTable[[#This Row],[pi_email]]))</f>
        <v>harsha@smu.edu</v>
      </c>
      <c r="P513" s="80" t="s">
        <v>591</v>
      </c>
      <c r="Q513" s="80"/>
      <c r="R513" s="80"/>
      <c r="S513" s="81"/>
      <c r="T513" s="81"/>
      <c r="U513" s="81"/>
      <c r="V513" s="82"/>
      <c r="W513" s="80">
        <v>0</v>
      </c>
      <c r="X513" s="80"/>
      <c r="Y513" s="11" t="str">
        <f ca="1">IF(ISBLANK(BudgetsTable[[#This Row],[budg_seq_yr]]),"FY"&amp;fiscalyear,"FY"&amp;fiscalyear-1+BudgetsTable[[#This Row],[budg_seq_yr]])</f>
        <v>FY18</v>
      </c>
      <c r="Z513" s="81">
        <v>175000</v>
      </c>
      <c r="AA513" s="80" t="s">
        <v>222</v>
      </c>
      <c r="AB513" s="80" t="s">
        <v>550</v>
      </c>
      <c r="AC513" s="80" t="s">
        <v>350</v>
      </c>
    </row>
    <row r="514" spans="1:29" x14ac:dyDescent="0.4">
      <c r="A514" s="10" t="s">
        <v>383</v>
      </c>
      <c r="B514" s="78" t="s">
        <v>96</v>
      </c>
      <c r="C514" s="78">
        <f>C513+(BudgetsTable[[#This Row],[lead]]&lt;&gt;K513)</f>
        <v>99</v>
      </c>
      <c r="D514" s="78">
        <f>D513*(BudgetsTable[[#This Row],[lead]]=K513)+(BudgetsTable[[#This Row],[prop_id]]&lt;&gt;A513)</f>
        <v>1</v>
      </c>
      <c r="E514" s="79">
        <v>42956.717361111114</v>
      </c>
      <c r="F514" s="80" t="s">
        <v>549</v>
      </c>
      <c r="G514" s="80" t="s">
        <v>222</v>
      </c>
      <c r="H514" s="80" t="s">
        <v>550</v>
      </c>
      <c r="I514" s="78" t="s">
        <v>406</v>
      </c>
      <c r="J514" s="78" t="s">
        <v>13</v>
      </c>
      <c r="K514" s="80" t="s">
        <v>383</v>
      </c>
      <c r="L514" s="7" t="str">
        <f>IF(BudgetsTable[[#This Row],[pi_last_name]]=" ","",HYPERLINK("https://www.ejacket.nsf.gov/ej/showProposal.do?Continue=Y&amp;ID="&amp;BudgetsTable[[#This Row],[prop_id]],BudgetsTable[[#This Row],[prop_id]]))</f>
        <v/>
      </c>
      <c r="M514" s="15" t="str">
        <f>IF(BudgetsTable[[#This Row],[pi_last_name]]=" ","",HYPERLINK("https://www.ejacket.nsf.gov/ej/processReviewAnalysis.do?dispatch=add&amp;uniqId="&amp;BudgetsTable[[#This Row],[prop_id]]&amp;PO_id,"&gt;ra"))</f>
        <v/>
      </c>
      <c r="N514" s="80" t="s">
        <v>13</v>
      </c>
      <c r="O514" s="7" t="str">
        <f>IF(BudgetsTable[[#This Row],[pi_last_name]]=" ","",HYPERLINK("mailto:"&amp;BudgetsTable[[#This Row],[pi_email]]&amp;"&amp;subject=Your NSF Proposal:  "&amp;BudgetsTable[[#This Row],[prop_id]],BudgetsTable[[#This Row],[pi_email]]))</f>
        <v/>
      </c>
      <c r="P514" s="80" t="s">
        <v>13</v>
      </c>
      <c r="Q514" s="80">
        <v>0</v>
      </c>
      <c r="R514" s="80">
        <v>0</v>
      </c>
      <c r="S514" s="81">
        <v>0</v>
      </c>
      <c r="T514" s="81">
        <v>0</v>
      </c>
      <c r="U514" s="81">
        <v>0</v>
      </c>
      <c r="V514" s="82">
        <v>85200</v>
      </c>
      <c r="W514" s="80">
        <v>0</v>
      </c>
      <c r="X514" s="80">
        <v>1</v>
      </c>
      <c r="Y514" s="11" t="str">
        <f ca="1">IF(ISBLANK(BudgetsTable[[#This Row],[budg_seq_yr]]),"FY"&amp;fiscalyear,"FY"&amp;fiscalyear-1+BudgetsTable[[#This Row],[budg_seq_yr]])</f>
        <v>FY18</v>
      </c>
      <c r="Z514" s="81">
        <v>85200</v>
      </c>
      <c r="AA514" s="80" t="s">
        <v>222</v>
      </c>
      <c r="AB514" s="80" t="s">
        <v>550</v>
      </c>
      <c r="AC514" s="80" t="s">
        <v>350</v>
      </c>
    </row>
    <row r="515" spans="1:29" x14ac:dyDescent="0.4">
      <c r="A515" s="10" t="s">
        <v>383</v>
      </c>
      <c r="B515" s="78" t="s">
        <v>96</v>
      </c>
      <c r="C515" s="78">
        <f>C514+(BudgetsTable[[#This Row],[lead]]&lt;&gt;K514)</f>
        <v>99</v>
      </c>
      <c r="D515" s="78">
        <f>D514*(BudgetsTable[[#This Row],[lead]]=K514)+(BudgetsTable[[#This Row],[prop_id]]&lt;&gt;A514)</f>
        <v>1</v>
      </c>
      <c r="E515" s="79">
        <v>42956.717361111114</v>
      </c>
      <c r="F515" s="80" t="s">
        <v>549</v>
      </c>
      <c r="G515" s="80" t="s">
        <v>222</v>
      </c>
      <c r="H515" s="80" t="s">
        <v>550</v>
      </c>
      <c r="I515" s="78" t="s">
        <v>406</v>
      </c>
      <c r="J515" s="78" t="s">
        <v>13</v>
      </c>
      <c r="K515" s="80" t="s">
        <v>383</v>
      </c>
      <c r="L515" s="7" t="str">
        <f>IF(BudgetsTable[[#This Row],[pi_last_name]]=" ","",HYPERLINK("https://www.ejacket.nsf.gov/ej/showProposal.do?Continue=Y&amp;ID="&amp;BudgetsTable[[#This Row],[prop_id]],BudgetsTable[[#This Row],[prop_id]]))</f>
        <v/>
      </c>
      <c r="M515" s="15" t="str">
        <f>IF(BudgetsTable[[#This Row],[pi_last_name]]=" ","",HYPERLINK("https://www.ejacket.nsf.gov/ej/processReviewAnalysis.do?dispatch=add&amp;uniqId="&amp;BudgetsTable[[#This Row],[prop_id]]&amp;PO_id,"&gt;ra"))</f>
        <v/>
      </c>
      <c r="N515" s="80" t="s">
        <v>13</v>
      </c>
      <c r="O515" s="7" t="str">
        <f>IF(BudgetsTable[[#This Row],[pi_last_name]]=" ","",HYPERLINK("mailto:"&amp;BudgetsTable[[#This Row],[pi_email]]&amp;"&amp;subject=Your NSF Proposal:  "&amp;BudgetsTable[[#This Row],[prop_id]],BudgetsTable[[#This Row],[pi_email]]))</f>
        <v/>
      </c>
      <c r="P515" s="80" t="s">
        <v>13</v>
      </c>
      <c r="Q515" s="80">
        <v>0</v>
      </c>
      <c r="R515" s="80">
        <v>0</v>
      </c>
      <c r="S515" s="81">
        <v>0</v>
      </c>
      <c r="T515" s="81">
        <v>0</v>
      </c>
      <c r="U515" s="81">
        <v>0</v>
      </c>
      <c r="V515" s="82">
        <v>89800</v>
      </c>
      <c r="W515" s="80">
        <v>0</v>
      </c>
      <c r="X515" s="80">
        <v>2</v>
      </c>
      <c r="Y515" s="11" t="str">
        <f ca="1">IF(ISBLANK(BudgetsTable[[#This Row],[budg_seq_yr]]),"FY"&amp;fiscalyear,"FY"&amp;fiscalyear-1+BudgetsTable[[#This Row],[budg_seq_yr]])</f>
        <v>FY19</v>
      </c>
      <c r="Z515" s="81">
        <v>89800</v>
      </c>
      <c r="AA515" s="80" t="s">
        <v>222</v>
      </c>
      <c r="AB515" s="80" t="s">
        <v>550</v>
      </c>
      <c r="AC515" s="80" t="s">
        <v>350</v>
      </c>
    </row>
    <row r="516" spans="1:29" x14ac:dyDescent="0.4">
      <c r="A516" s="10" t="s">
        <v>384</v>
      </c>
      <c r="B516" s="78" t="s">
        <v>96</v>
      </c>
      <c r="C516" s="78">
        <f>C515+(BudgetsTable[[#This Row],[lead]]&lt;&gt;K515)</f>
        <v>100</v>
      </c>
      <c r="D516" s="78">
        <f>D515*(BudgetsTable[[#This Row],[lead]]=K515)+(BudgetsTable[[#This Row],[prop_id]]&lt;&gt;A515)</f>
        <v>1</v>
      </c>
      <c r="E516" s="79">
        <v>42956.746527777781</v>
      </c>
      <c r="F516" s="80" t="s">
        <v>549</v>
      </c>
      <c r="G516" s="80" t="s">
        <v>222</v>
      </c>
      <c r="H516" s="80" t="s">
        <v>550</v>
      </c>
      <c r="I516" s="78" t="s">
        <v>422</v>
      </c>
      <c r="J516" s="78" t="s">
        <v>597</v>
      </c>
      <c r="K516" s="80" t="s">
        <v>384</v>
      </c>
      <c r="L516" s="7" t="str">
        <f>IF(BudgetsTable[[#This Row],[pi_last_name]]=" ","",HYPERLINK("https://www.ejacket.nsf.gov/ej/showProposal.do?Continue=Y&amp;ID="&amp;BudgetsTable[[#This Row],[prop_id]],BudgetsTable[[#This Row],[prop_id]]))</f>
        <v>1756014</v>
      </c>
      <c r="M516" s="15" t="str">
        <f>IF(BudgetsTable[[#This Row],[pi_last_name]]=" ","",HYPERLINK("https://www.ejacket.nsf.gov/ej/processReviewAnalysis.do?dispatch=add&amp;uniqId="&amp;BudgetsTable[[#This Row],[prop_id]]&amp;PO_id,"&gt;ra"))</f>
        <v>&gt;ra</v>
      </c>
      <c r="N516" s="80" t="s">
        <v>266</v>
      </c>
      <c r="O516" s="7" t="str">
        <f>IF(BudgetsTable[[#This Row],[pi_last_name]]=" ","",HYPERLINK("mailto:"&amp;BudgetsTable[[#This Row],[pi_email]]&amp;"&amp;subject=Your NSF Proposal:  "&amp;BudgetsTable[[#This Row],[prop_id]],BudgetsTable[[#This Row],[pi_email]]))</f>
        <v>lchen49@central.uh.edu</v>
      </c>
      <c r="P516" s="80" t="s">
        <v>596</v>
      </c>
      <c r="Q516" s="80"/>
      <c r="R516" s="80"/>
      <c r="S516" s="81"/>
      <c r="T516" s="81"/>
      <c r="U516" s="81"/>
      <c r="V516" s="82"/>
      <c r="W516" s="80">
        <v>0</v>
      </c>
      <c r="X516" s="80"/>
      <c r="Y516" s="11" t="str">
        <f ca="1">IF(ISBLANK(BudgetsTable[[#This Row],[budg_seq_yr]]),"FY"&amp;fiscalyear,"FY"&amp;fiscalyear-1+BudgetsTable[[#This Row],[budg_seq_yr]])</f>
        <v>FY18</v>
      </c>
      <c r="Z516" s="81">
        <v>148477</v>
      </c>
      <c r="AA516" s="80" t="s">
        <v>222</v>
      </c>
      <c r="AB516" s="80" t="s">
        <v>550</v>
      </c>
      <c r="AC516" s="80" t="s">
        <v>554</v>
      </c>
    </row>
    <row r="517" spans="1:29" x14ac:dyDescent="0.4">
      <c r="A517" s="10" t="s">
        <v>384</v>
      </c>
      <c r="B517" s="78" t="s">
        <v>96</v>
      </c>
      <c r="C517" s="78">
        <f>C516+(BudgetsTable[[#This Row],[lead]]&lt;&gt;K516)</f>
        <v>100</v>
      </c>
      <c r="D517" s="78">
        <f>D516*(BudgetsTable[[#This Row],[lead]]=K516)+(BudgetsTable[[#This Row],[prop_id]]&lt;&gt;A516)</f>
        <v>1</v>
      </c>
      <c r="E517" s="79">
        <v>42956.746527777781</v>
      </c>
      <c r="F517" s="80" t="s">
        <v>549</v>
      </c>
      <c r="G517" s="80" t="s">
        <v>222</v>
      </c>
      <c r="H517" s="80" t="s">
        <v>550</v>
      </c>
      <c r="I517" s="78" t="s">
        <v>422</v>
      </c>
      <c r="J517" s="78" t="s">
        <v>13</v>
      </c>
      <c r="K517" s="80" t="s">
        <v>384</v>
      </c>
      <c r="L517" s="7" t="str">
        <f>IF(BudgetsTable[[#This Row],[pi_last_name]]=" ","",HYPERLINK("https://www.ejacket.nsf.gov/ej/showProposal.do?Continue=Y&amp;ID="&amp;BudgetsTable[[#This Row],[prop_id]],BudgetsTable[[#This Row],[prop_id]]))</f>
        <v/>
      </c>
      <c r="M517" s="15" t="str">
        <f>IF(BudgetsTable[[#This Row],[pi_last_name]]=" ","",HYPERLINK("https://www.ejacket.nsf.gov/ej/processReviewAnalysis.do?dispatch=add&amp;uniqId="&amp;BudgetsTable[[#This Row],[prop_id]]&amp;PO_id,"&gt;ra"))</f>
        <v/>
      </c>
      <c r="N517" s="80" t="s">
        <v>13</v>
      </c>
      <c r="O517" s="7" t="str">
        <f>IF(BudgetsTable[[#This Row],[pi_last_name]]=" ","",HYPERLINK("mailto:"&amp;BudgetsTable[[#This Row],[pi_email]]&amp;"&amp;subject=Your NSF Proposal:  "&amp;BudgetsTable[[#This Row],[prop_id]],BudgetsTable[[#This Row],[pi_email]]))</f>
        <v/>
      </c>
      <c r="P517" s="80" t="s">
        <v>13</v>
      </c>
      <c r="Q517" s="80">
        <v>0</v>
      </c>
      <c r="R517" s="80">
        <v>0</v>
      </c>
      <c r="S517" s="81">
        <v>0</v>
      </c>
      <c r="T517" s="81">
        <v>3500</v>
      </c>
      <c r="U517" s="81">
        <v>0</v>
      </c>
      <c r="V517" s="82">
        <v>53317</v>
      </c>
      <c r="W517" s="80">
        <v>0</v>
      </c>
      <c r="X517" s="80">
        <v>1</v>
      </c>
      <c r="Y517" s="11" t="str">
        <f ca="1">IF(ISBLANK(BudgetsTable[[#This Row],[budg_seq_yr]]),"FY"&amp;fiscalyear,"FY"&amp;fiscalyear-1+BudgetsTable[[#This Row],[budg_seq_yr]])</f>
        <v>FY18</v>
      </c>
      <c r="Z517" s="81">
        <v>53317</v>
      </c>
      <c r="AA517" s="80" t="s">
        <v>222</v>
      </c>
      <c r="AB517" s="80" t="s">
        <v>550</v>
      </c>
      <c r="AC517" s="80" t="s">
        <v>554</v>
      </c>
    </row>
    <row r="518" spans="1:29" x14ac:dyDescent="0.4">
      <c r="A518" s="10" t="s">
        <v>384</v>
      </c>
      <c r="B518" s="78" t="s">
        <v>96</v>
      </c>
      <c r="C518" s="78">
        <f>C517+(BudgetsTable[[#This Row],[lead]]&lt;&gt;K517)</f>
        <v>100</v>
      </c>
      <c r="D518" s="78">
        <f>D517*(BudgetsTable[[#This Row],[lead]]=K517)+(BudgetsTable[[#This Row],[prop_id]]&lt;&gt;A517)</f>
        <v>1</v>
      </c>
      <c r="E518" s="79">
        <v>42956.746527777781</v>
      </c>
      <c r="F518" s="80" t="s">
        <v>549</v>
      </c>
      <c r="G518" s="80" t="s">
        <v>222</v>
      </c>
      <c r="H518" s="80" t="s">
        <v>550</v>
      </c>
      <c r="I518" s="78" t="s">
        <v>422</v>
      </c>
      <c r="J518" s="78" t="s">
        <v>13</v>
      </c>
      <c r="K518" s="80" t="s">
        <v>384</v>
      </c>
      <c r="L518" s="7" t="str">
        <f>IF(BudgetsTable[[#This Row],[pi_last_name]]=" ","",HYPERLINK("https://www.ejacket.nsf.gov/ej/showProposal.do?Continue=Y&amp;ID="&amp;BudgetsTable[[#This Row],[prop_id]],BudgetsTable[[#This Row],[prop_id]]))</f>
        <v/>
      </c>
      <c r="M518" s="15" t="str">
        <f>IF(BudgetsTable[[#This Row],[pi_last_name]]=" ","",HYPERLINK("https://www.ejacket.nsf.gov/ej/processReviewAnalysis.do?dispatch=add&amp;uniqId="&amp;BudgetsTable[[#This Row],[prop_id]]&amp;PO_id,"&gt;ra"))</f>
        <v/>
      </c>
      <c r="N518" s="80" t="s">
        <v>13</v>
      </c>
      <c r="O518" s="7" t="str">
        <f>IF(BudgetsTable[[#This Row],[pi_last_name]]=" ","",HYPERLINK("mailto:"&amp;BudgetsTable[[#This Row],[pi_email]]&amp;"&amp;subject=Your NSF Proposal:  "&amp;BudgetsTable[[#This Row],[prop_id]],BudgetsTable[[#This Row],[pi_email]]))</f>
        <v/>
      </c>
      <c r="P518" s="80" t="s">
        <v>13</v>
      </c>
      <c r="Q518" s="80">
        <v>0</v>
      </c>
      <c r="R518" s="80">
        <v>0</v>
      </c>
      <c r="S518" s="81">
        <v>0</v>
      </c>
      <c r="T518" s="81">
        <v>3500</v>
      </c>
      <c r="U518" s="81">
        <v>0</v>
      </c>
      <c r="V518" s="82">
        <v>95160</v>
      </c>
      <c r="W518" s="80">
        <v>0</v>
      </c>
      <c r="X518" s="80">
        <v>2</v>
      </c>
      <c r="Y518" s="11" t="str">
        <f ca="1">IF(ISBLANK(BudgetsTable[[#This Row],[budg_seq_yr]]),"FY"&amp;fiscalyear,"FY"&amp;fiscalyear-1+BudgetsTable[[#This Row],[budg_seq_yr]])</f>
        <v>FY19</v>
      </c>
      <c r="Z518" s="81">
        <v>95160</v>
      </c>
      <c r="AA518" s="80" t="s">
        <v>222</v>
      </c>
      <c r="AB518" s="80" t="s">
        <v>550</v>
      </c>
      <c r="AC518" s="80" t="s">
        <v>554</v>
      </c>
    </row>
  </sheetData>
  <conditionalFormatting sqref="A4:AC518">
    <cfRule type="expression" dxfId="13" priority="1684">
      <formula>MOD($C4,2)</formula>
    </cfRule>
  </conditionalFormatting>
  <conditionalFormatting sqref="L4:AC518">
    <cfRule type="expression" dxfId="12" priority="1579">
      <formula>MOD($D4+1,2)</formula>
    </cfRule>
    <cfRule type="expression" dxfId="11"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106"/>
  <sheetViews>
    <sheetView topLeftCell="AN1" workbookViewId="0">
      <selection activeCell="AV52" sqref="AV52"/>
    </sheetView>
  </sheetViews>
  <sheetFormatPr defaultRowHeight="14.6" x14ac:dyDescent="0.4"/>
  <cols>
    <col min="1" max="1" width="8.69140625" style="30" customWidth="1"/>
    <col min="2" max="2" width="8.61328125" customWidth="1"/>
    <col min="3" max="3" width="10.3828125" customWidth="1"/>
    <col min="4" max="4" width="8.84375" customWidth="1"/>
    <col min="5" max="5" width="5.61328125" customWidth="1"/>
    <col min="6" max="6" width="7.765625" style="30" customWidth="1"/>
    <col min="7" max="9" width="5.84375" style="30" customWidth="1"/>
    <col min="10" max="10" width="5.3046875" style="30" customWidth="1"/>
    <col min="11" max="11" width="8.61328125" customWidth="1"/>
    <col min="12" max="12" width="14.3046875" customWidth="1"/>
    <col min="13" max="13" width="4.3828125" customWidth="1"/>
    <col min="14" max="14" width="1.921875" customWidth="1"/>
    <col min="15" max="15" width="8.3828125" style="22" customWidth="1"/>
    <col min="16" max="16" width="2.921875" style="39" customWidth="1"/>
    <col min="17" max="17" width="3.53515625" style="39" customWidth="1"/>
    <col min="18" max="18" width="8.4609375" style="39" customWidth="1"/>
    <col min="19" max="19" width="10.84375" customWidth="1"/>
    <col min="20" max="20" width="10.3046875" customWidth="1"/>
    <col min="21" max="21" width="13.765625" customWidth="1"/>
    <col min="22" max="22" width="3.765625" style="30" customWidth="1"/>
    <col min="23" max="23" width="9.53515625" customWidth="1"/>
    <col min="24" max="24" width="9.3046875" style="30"/>
    <col min="25" max="25" width="4.3046875" style="30" customWidth="1"/>
    <col min="26" max="26" width="9" customWidth="1"/>
    <col min="27" max="27" width="10" customWidth="1"/>
    <col min="28" max="28" width="8.84375" style="83" customWidth="1"/>
    <col min="29" max="30" width="8.84375" style="21" customWidth="1"/>
    <col min="31" max="31" width="17.4609375" style="21" customWidth="1"/>
    <col min="32" max="32" width="3.53515625" style="21" customWidth="1"/>
    <col min="33" max="33" width="18.53515625" style="21" customWidth="1"/>
    <col min="34" max="34" width="5.23046875" style="21" customWidth="1"/>
    <col min="35" max="35" width="11.69140625" customWidth="1"/>
    <col min="36" max="36" width="3.61328125" customWidth="1"/>
    <col min="37" max="37" width="9.69140625" customWidth="1"/>
    <col min="38" max="38" width="11.4609375" style="13" customWidth="1"/>
    <col min="39" max="39" width="7.53515625" customWidth="1"/>
    <col min="40" max="41" width="10.4609375" style="1" customWidth="1"/>
    <col min="42" max="44" width="4.921875" style="1" customWidth="1"/>
    <col min="45" max="46" width="4.921875" style="83" customWidth="1"/>
    <col min="47" max="47" width="22.15234375" customWidth="1"/>
    <col min="48" max="48" width="68.4609375" customWidth="1"/>
    <col min="49" max="49" width="7.3046875" hidden="1" customWidth="1"/>
    <col min="50" max="50" width="29.3828125" hidden="1" customWidth="1"/>
    <col min="51" max="51" width="10.15234375" style="21" customWidth="1"/>
    <col min="52" max="52" width="58.84375" style="21" customWidth="1"/>
    <col min="53" max="53" width="21.2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29.15" customHeight="1" x14ac:dyDescent="0.4">
      <c r="A1" s="30" t="s">
        <v>87</v>
      </c>
      <c r="B1" s="30" t="s">
        <v>7</v>
      </c>
      <c r="C1" t="s">
        <v>8</v>
      </c>
      <c r="D1" t="s">
        <v>5</v>
      </c>
      <c r="E1" t="s">
        <v>4</v>
      </c>
      <c r="F1" t="s">
        <v>91</v>
      </c>
      <c r="G1" t="s">
        <v>168</v>
      </c>
      <c r="H1" t="s">
        <v>166</v>
      </c>
      <c r="I1" t="s">
        <v>956</v>
      </c>
      <c r="J1" t="s">
        <v>92</v>
      </c>
      <c r="K1" t="s">
        <v>17</v>
      </c>
      <c r="L1" s="22" t="s">
        <v>16</v>
      </c>
      <c r="M1" s="14" t="s">
        <v>102</v>
      </c>
      <c r="N1" t="s">
        <v>88</v>
      </c>
      <c r="O1" t="s">
        <v>9</v>
      </c>
      <c r="P1" t="s">
        <v>1</v>
      </c>
      <c r="Q1" t="s">
        <v>146</v>
      </c>
      <c r="R1" t="s">
        <v>0</v>
      </c>
      <c r="S1" t="s">
        <v>10</v>
      </c>
      <c r="T1" t="s">
        <v>18</v>
      </c>
      <c r="U1" t="s">
        <v>385</v>
      </c>
      <c r="V1" t="s">
        <v>93</v>
      </c>
      <c r="W1" s="14" t="s">
        <v>133</v>
      </c>
      <c r="X1" s="30" t="s">
        <v>19</v>
      </c>
      <c r="Y1" t="s">
        <v>20</v>
      </c>
      <c r="Z1" t="s">
        <v>89</v>
      </c>
      <c r="AA1" s="21" t="s">
        <v>2132</v>
      </c>
      <c r="AB1" s="21" t="s">
        <v>2133</v>
      </c>
      <c r="AC1" t="s">
        <v>90</v>
      </c>
      <c r="AD1" s="21" t="s">
        <v>2134</v>
      </c>
      <c r="AE1" s="21" t="s">
        <v>134</v>
      </c>
      <c r="AF1" s="21" t="s">
        <v>964</v>
      </c>
      <c r="AG1" s="21" t="s">
        <v>2189</v>
      </c>
      <c r="AH1" s="21" t="s">
        <v>135</v>
      </c>
      <c r="AI1" s="13" t="s">
        <v>21</v>
      </c>
      <c r="AJ1" s="21" t="s">
        <v>394</v>
      </c>
      <c r="AK1" s="1" t="s">
        <v>22</v>
      </c>
      <c r="AL1" s="1" t="s">
        <v>395</v>
      </c>
      <c r="AM1" s="1" t="s">
        <v>396</v>
      </c>
      <c r="AN1" s="1" t="s">
        <v>397</v>
      </c>
      <c r="AO1" s="1" t="s">
        <v>398</v>
      </c>
      <c r="AP1" s="21" t="s">
        <v>399</v>
      </c>
      <c r="AQ1" s="21" t="s">
        <v>400</v>
      </c>
      <c r="AR1" s="21" t="s">
        <v>401</v>
      </c>
      <c r="AS1" s="21" t="s">
        <v>402</v>
      </c>
      <c r="AT1" s="21" t="s">
        <v>403</v>
      </c>
      <c r="AU1" t="s">
        <v>169</v>
      </c>
      <c r="AV1" t="s">
        <v>36</v>
      </c>
      <c r="AW1" t="s">
        <v>2172</v>
      </c>
      <c r="AX1" t="s">
        <v>148</v>
      </c>
      <c r="AY1"/>
      <c r="AZ1"/>
      <c r="BA1"/>
      <c r="BB1"/>
      <c r="BC1"/>
      <c r="BD1"/>
      <c r="BL1"/>
      <c r="BP1"/>
    </row>
    <row r="2" spans="1:68" x14ac:dyDescent="0.4">
      <c r="A2" s="30">
        <v>42677.396296296298</v>
      </c>
      <c r="B2" s="30">
        <v>42569.623611111114</v>
      </c>
      <c r="C2" t="s">
        <v>975</v>
      </c>
      <c r="D2" t="s">
        <v>222</v>
      </c>
      <c r="E2" t="s">
        <v>405</v>
      </c>
      <c r="F2" t="s">
        <v>422</v>
      </c>
      <c r="G2" s="8" t="s">
        <v>976</v>
      </c>
      <c r="H2" s="8" t="s">
        <v>172</v>
      </c>
      <c r="I2" s="8" t="s">
        <v>962</v>
      </c>
      <c r="J2" t="s">
        <v>94</v>
      </c>
      <c r="K2" t="s">
        <v>974</v>
      </c>
      <c r="L2" s="22">
        <v>42676.702187499999</v>
      </c>
      <c r="M2">
        <f xml:space="preserve"> M1+(ckAwdTable[ILN]&lt;"M")</f>
        <v>1</v>
      </c>
      <c r="N2" t="s">
        <v>96</v>
      </c>
      <c r="O2" t="s">
        <v>977</v>
      </c>
      <c r="P2" s="15" t="str">
        <f>HYPERLINK("https://www.ejacket.nsf.gov/ej/showProposal.do?ID="&amp;ckAwdTable[[#This Row],[prop_id]],"eJ")</f>
        <v>eJ</v>
      </c>
      <c r="Q2" s="8" t="s">
        <v>224</v>
      </c>
      <c r="R2" t="s">
        <v>977</v>
      </c>
      <c r="S2" t="s">
        <v>978</v>
      </c>
      <c r="T2" t="s">
        <v>979</v>
      </c>
      <c r="U2" s="8" t="s">
        <v>980</v>
      </c>
      <c r="V2" t="s">
        <v>981</v>
      </c>
      <c r="W2" s="15" t="str">
        <f>HYPERLINK("mailto:"&amp; ckAwdTable[[#This Row],[email]]&amp;"&amp;subject=Your NSF Proposal:  "&amp;ckAwdTable[[#This Row],[prop_id]], ckAwdTable[[#This Row],[email]])</f>
        <v>qzhangcs@indiana.edu</v>
      </c>
      <c r="X2" s="30">
        <v>42887</v>
      </c>
      <c r="Y2">
        <v>60</v>
      </c>
      <c r="AA2" s="21" t="s">
        <v>13</v>
      </c>
      <c r="AB2" s="21" t="s">
        <v>972</v>
      </c>
      <c r="AC2"/>
      <c r="AD2" s="21" t="s">
        <v>13</v>
      </c>
      <c r="AF2" s="21" t="s">
        <v>965</v>
      </c>
      <c r="AG2" s="21" t="str">
        <f>IFERROR(IF(FIND("?",ckAwdTable[[#This Row],[abst_narr_txt]]),SummarizeQuestMarks(ckAwdTable[[#This Row],[abst_narr_txt]]),""),"")</f>
        <v/>
      </c>
      <c r="AI2" s="13">
        <v>499038</v>
      </c>
      <c r="AJ2" s="21">
        <v>0</v>
      </c>
      <c r="AK2" s="1">
        <v>499038</v>
      </c>
      <c r="AL2" s="1"/>
      <c r="AM2" s="1">
        <v>15000</v>
      </c>
      <c r="AO2" s="1">
        <v>8000</v>
      </c>
      <c r="AP2" s="21">
        <v>5</v>
      </c>
      <c r="AQ2" s="21">
        <v>5</v>
      </c>
      <c r="AR2" s="21">
        <v>9</v>
      </c>
      <c r="AS2" s="21"/>
      <c r="AT2" s="21"/>
      <c r="AU2" s="8" t="s">
        <v>973</v>
      </c>
      <c r="AV2" t="s">
        <v>985</v>
      </c>
      <c r="AW2" t="b">
        <f>AND(ckAwdTable[[#This Row],[ILN]]&gt;"M", SUBSTITUTE(ckAwdTable[[#This Row],[prop_titl_txt]]," ","")&lt;&gt;SUBSTITUTE(AV1," ",""))</f>
        <v>0</v>
      </c>
      <c r="AX2" s="8" t="s">
        <v>982</v>
      </c>
      <c r="AY2"/>
      <c r="AZ2"/>
      <c r="BA2"/>
      <c r="BB2"/>
      <c r="BC2"/>
      <c r="BD2"/>
      <c r="BL2"/>
      <c r="BP2"/>
    </row>
    <row r="3" spans="1:68" x14ac:dyDescent="0.4">
      <c r="A3" s="30">
        <v>42684.464479166665</v>
      </c>
      <c r="B3" s="30">
        <v>42569.6875</v>
      </c>
      <c r="C3" t="s">
        <v>975</v>
      </c>
      <c r="D3" t="s">
        <v>222</v>
      </c>
      <c r="E3" t="s">
        <v>405</v>
      </c>
      <c r="F3" t="s">
        <v>422</v>
      </c>
      <c r="G3" s="8" t="s">
        <v>976</v>
      </c>
      <c r="H3" s="8" t="s">
        <v>172</v>
      </c>
      <c r="I3" s="8" t="s">
        <v>962</v>
      </c>
      <c r="J3" t="s">
        <v>94</v>
      </c>
      <c r="K3" t="s">
        <v>974</v>
      </c>
      <c r="L3" s="22">
        <v>42683.53429398148</v>
      </c>
      <c r="M3">
        <f xml:space="preserve"> M2+(ckAwdTable[ILN]&lt;"M")</f>
        <v>2</v>
      </c>
      <c r="N3" t="s">
        <v>96</v>
      </c>
      <c r="O3" t="s">
        <v>986</v>
      </c>
      <c r="P3" s="15" t="str">
        <f>HYPERLINK("https://www.ejacket.nsf.gov/ej/showProposal.do?ID="&amp;ckAwdTable[[#This Row],[prop_id]],"eJ")</f>
        <v>eJ</v>
      </c>
      <c r="Q3" s="8" t="s">
        <v>224</v>
      </c>
      <c r="R3" t="s">
        <v>986</v>
      </c>
      <c r="S3" t="s">
        <v>481</v>
      </c>
      <c r="T3" t="s">
        <v>482</v>
      </c>
      <c r="U3" s="8" t="s">
        <v>483</v>
      </c>
      <c r="V3" t="s">
        <v>484</v>
      </c>
      <c r="W3" s="15" t="str">
        <f>HYPERLINK("mailto:"&amp; ckAwdTable[[#This Row],[email]]&amp;"&amp;subject=Your NSF Proposal:  "&amp;ckAwdTable[[#This Row],[prop_id]], ckAwdTable[[#This Row],[email]])</f>
        <v>viswa@umich.edu</v>
      </c>
      <c r="X3" s="30">
        <v>42856</v>
      </c>
      <c r="Y3">
        <v>60</v>
      </c>
      <c r="AA3" s="21" t="s">
        <v>13</v>
      </c>
      <c r="AB3" s="21" t="s">
        <v>972</v>
      </c>
      <c r="AC3"/>
      <c r="AD3" s="21" t="s">
        <v>13</v>
      </c>
      <c r="AF3" s="21" t="s">
        <v>965</v>
      </c>
      <c r="AG3" s="21" t="str">
        <f>IFERROR(IF(FIND("?",ckAwdTable[[#This Row],[abst_narr_txt]]),SummarizeQuestMarks(ckAwdTable[[#This Row],[abst_narr_txt]]),""),"")</f>
        <v/>
      </c>
      <c r="AI3" s="13">
        <v>510836</v>
      </c>
      <c r="AJ3" s="21">
        <v>0</v>
      </c>
      <c r="AK3" s="1">
        <v>510836</v>
      </c>
      <c r="AL3" s="1"/>
      <c r="AM3" s="1"/>
      <c r="AP3" s="21">
        <v>5</v>
      </c>
      <c r="AQ3" s="21">
        <v>5</v>
      </c>
      <c r="AR3" s="21">
        <v>5</v>
      </c>
      <c r="AS3" s="21"/>
      <c r="AT3" s="21"/>
      <c r="AU3" s="8" t="s">
        <v>973</v>
      </c>
      <c r="AV3" t="s">
        <v>987</v>
      </c>
      <c r="AW3" t="b">
        <f>AND(ckAwdTable[[#This Row],[ILN]]&gt;"M", SUBSTITUTE(ckAwdTable[[#This Row],[prop_titl_txt]]," ","")&lt;&gt;SUBSTITUTE(AV2," ",""))</f>
        <v>0</v>
      </c>
      <c r="AX3" s="8" t="s">
        <v>485</v>
      </c>
      <c r="AY3"/>
      <c r="AZ3"/>
      <c r="BA3"/>
      <c r="BB3"/>
      <c r="BC3"/>
      <c r="BD3"/>
      <c r="BL3"/>
      <c r="BP3"/>
    </row>
    <row r="4" spans="1:68" x14ac:dyDescent="0.4">
      <c r="A4" s="30">
        <v>42682.410821759258</v>
      </c>
      <c r="B4" s="30">
        <v>42570.490277777775</v>
      </c>
      <c r="C4" t="s">
        <v>975</v>
      </c>
      <c r="D4" t="s">
        <v>222</v>
      </c>
      <c r="E4" t="s">
        <v>405</v>
      </c>
      <c r="F4" t="s">
        <v>406</v>
      </c>
      <c r="G4" s="8" t="s">
        <v>976</v>
      </c>
      <c r="H4" s="8" t="s">
        <v>172</v>
      </c>
      <c r="I4" s="8" t="s">
        <v>962</v>
      </c>
      <c r="J4" t="s">
        <v>94</v>
      </c>
      <c r="K4" t="s">
        <v>974</v>
      </c>
      <c r="L4" s="22">
        <v>42678.449837962966</v>
      </c>
      <c r="M4">
        <f xml:space="preserve"> M3+(ckAwdTable[ILN]&lt;"M")</f>
        <v>3</v>
      </c>
      <c r="N4" t="s">
        <v>96</v>
      </c>
      <c r="O4" t="s">
        <v>988</v>
      </c>
      <c r="P4" s="15" t="str">
        <f>HYPERLINK("https://www.ejacket.nsf.gov/ej/showProposal.do?ID="&amp;ckAwdTable[[#This Row],[prop_id]],"eJ")</f>
        <v>eJ</v>
      </c>
      <c r="Q4" s="8" t="s">
        <v>224</v>
      </c>
      <c r="R4" t="s">
        <v>988</v>
      </c>
      <c r="S4" t="s">
        <v>414</v>
      </c>
      <c r="T4" t="s">
        <v>415</v>
      </c>
      <c r="U4" s="8" t="s">
        <v>416</v>
      </c>
      <c r="V4" t="s">
        <v>417</v>
      </c>
      <c r="W4" s="15" t="str">
        <f>HYPERLINK("mailto:"&amp; ckAwdTable[[#This Row],[email]]&amp;"&amp;subject=Your NSF Proposal:  "&amp;ckAwdTable[[#This Row],[prop_id]], ckAwdTable[[#This Row],[email]])</f>
        <v>haitao.wang@usu.edu</v>
      </c>
      <c r="X4" s="30">
        <v>42979</v>
      </c>
      <c r="Y4">
        <v>60</v>
      </c>
      <c r="AA4" s="21" t="s">
        <v>13</v>
      </c>
      <c r="AB4" s="21" t="s">
        <v>972</v>
      </c>
      <c r="AC4"/>
      <c r="AD4" s="21" t="s">
        <v>13</v>
      </c>
      <c r="AF4" s="21" t="s">
        <v>965</v>
      </c>
      <c r="AG4" s="21" t="str">
        <f>IFERROR(IF(FIND("?",ckAwdTable[[#This Row],[abst_narr_txt]]),SummarizeQuestMarks(ckAwdTable[[#This Row],[abst_narr_txt]]),""),"")</f>
        <v/>
      </c>
      <c r="AI4" s="13">
        <v>484868</v>
      </c>
      <c r="AJ4" s="21">
        <v>0</v>
      </c>
      <c r="AK4" s="1">
        <v>484868</v>
      </c>
      <c r="AL4" s="1"/>
      <c r="AM4" s="1">
        <v>12500</v>
      </c>
      <c r="AP4" s="21">
        <v>10</v>
      </c>
      <c r="AQ4" s="21">
        <v>5</v>
      </c>
      <c r="AR4" s="21">
        <v>5</v>
      </c>
      <c r="AS4" s="21"/>
      <c r="AT4" s="21"/>
      <c r="AU4" s="8" t="s">
        <v>973</v>
      </c>
      <c r="AV4" t="s">
        <v>421</v>
      </c>
      <c r="AW4" t="b">
        <f>AND(ckAwdTable[[#This Row],[ILN]]&gt;"M", SUBSTITUTE(ckAwdTable[[#This Row],[prop_titl_txt]]," ","")&lt;&gt;SUBSTITUTE(AV3," ",""))</f>
        <v>0</v>
      </c>
      <c r="AX4" s="8" t="s">
        <v>418</v>
      </c>
      <c r="AY4"/>
      <c r="AZ4"/>
      <c r="BA4"/>
      <c r="BB4"/>
      <c r="BC4"/>
      <c r="BD4"/>
      <c r="BL4"/>
      <c r="BP4"/>
    </row>
    <row r="5" spans="1:68" x14ac:dyDescent="0.4">
      <c r="A5" s="30">
        <v>42716.513449074075</v>
      </c>
      <c r="B5" s="30">
        <v>42570.572916666664</v>
      </c>
      <c r="C5" t="s">
        <v>975</v>
      </c>
      <c r="D5" t="s">
        <v>222</v>
      </c>
      <c r="E5" t="s">
        <v>405</v>
      </c>
      <c r="F5" t="s">
        <v>451</v>
      </c>
      <c r="G5" s="8" t="s">
        <v>976</v>
      </c>
      <c r="H5" s="8" t="s">
        <v>172</v>
      </c>
      <c r="I5" s="8" t="s">
        <v>962</v>
      </c>
      <c r="J5" t="s">
        <v>94</v>
      </c>
      <c r="K5" t="s">
        <v>974</v>
      </c>
      <c r="L5" s="22">
        <v>42715.925185185188</v>
      </c>
      <c r="M5">
        <f xml:space="preserve"> M4+(ckAwdTable[ILN]&lt;"M")</f>
        <v>4</v>
      </c>
      <c r="N5" t="s">
        <v>96</v>
      </c>
      <c r="O5" t="s">
        <v>990</v>
      </c>
      <c r="P5" s="15" t="str">
        <f>HYPERLINK("https://www.ejacket.nsf.gov/ej/showProposal.do?ID="&amp;ckAwdTable[[#This Row],[prop_id]],"eJ")</f>
        <v>eJ</v>
      </c>
      <c r="Q5" s="8" t="s">
        <v>224</v>
      </c>
      <c r="R5" t="s">
        <v>990</v>
      </c>
      <c r="S5" t="s">
        <v>499</v>
      </c>
      <c r="T5" t="s">
        <v>500</v>
      </c>
      <c r="U5" s="8" t="s">
        <v>501</v>
      </c>
      <c r="V5" t="s">
        <v>280</v>
      </c>
      <c r="W5" s="15" t="str">
        <f>HYPERLINK("mailto:"&amp; ckAwdTable[[#This Row],[email]]&amp;"&amp;subject=Your NSF Proposal:  "&amp;ckAwdTable[[#This Row],[prop_id]], ckAwdTable[[#This Row],[email]])</f>
        <v>aene@bu.edu</v>
      </c>
      <c r="X5" s="30">
        <v>42736</v>
      </c>
      <c r="Y5">
        <v>60</v>
      </c>
      <c r="AA5" s="21" t="s">
        <v>13</v>
      </c>
      <c r="AB5" s="21" t="s">
        <v>972</v>
      </c>
      <c r="AC5"/>
      <c r="AD5" s="21" t="s">
        <v>13</v>
      </c>
      <c r="AF5" s="21" t="s">
        <v>965</v>
      </c>
      <c r="AG5" s="21" t="str">
        <f>IFERROR(IF(FIND("?",ckAwdTable[[#This Row],[abst_narr_txt]]),SummarizeQuestMarks(ckAwdTable[[#This Row],[abst_narr_txt]]),""),"")</f>
        <v/>
      </c>
      <c r="AI5" s="13">
        <v>504558</v>
      </c>
      <c r="AJ5" s="21">
        <v>0</v>
      </c>
      <c r="AK5" s="1">
        <v>504558</v>
      </c>
      <c r="AL5" s="1"/>
      <c r="AM5" s="1">
        <v>15000</v>
      </c>
      <c r="AP5" s="21">
        <v>5</v>
      </c>
      <c r="AQ5" s="21">
        <v>5</v>
      </c>
      <c r="AR5" s="21">
        <v>5</v>
      </c>
      <c r="AS5" s="21"/>
      <c r="AT5" s="21"/>
      <c r="AU5" s="8" t="s">
        <v>973</v>
      </c>
      <c r="AV5" t="s">
        <v>504</v>
      </c>
      <c r="AW5" t="b">
        <f>AND(ckAwdTable[[#This Row],[ILN]]&gt;"M", SUBSTITUTE(ckAwdTable[[#This Row],[prop_titl_txt]]," ","")&lt;&gt;SUBSTITUTE(AV4," ",""))</f>
        <v>0</v>
      </c>
      <c r="AX5" s="8" t="s">
        <v>502</v>
      </c>
      <c r="AY5"/>
      <c r="AZ5"/>
      <c r="BA5"/>
      <c r="BB5"/>
      <c r="BC5"/>
      <c r="BD5"/>
      <c r="BL5"/>
      <c r="BP5"/>
    </row>
    <row r="6" spans="1:68" x14ac:dyDescent="0.4">
      <c r="A6" s="30">
        <v>42815.626736111109</v>
      </c>
      <c r="B6" s="30">
        <v>42570.777777777781</v>
      </c>
      <c r="C6" t="s">
        <v>975</v>
      </c>
      <c r="D6" t="s">
        <v>222</v>
      </c>
      <c r="E6" t="s">
        <v>405</v>
      </c>
      <c r="F6" t="s">
        <v>451</v>
      </c>
      <c r="G6" s="8" t="s">
        <v>992</v>
      </c>
      <c r="H6" s="8" t="s">
        <v>172</v>
      </c>
      <c r="I6" s="8" t="s">
        <v>2135</v>
      </c>
      <c r="J6" t="s">
        <v>94</v>
      </c>
      <c r="K6" t="s">
        <v>974</v>
      </c>
      <c r="L6" s="22">
        <v>42800.442499999997</v>
      </c>
      <c r="M6">
        <f xml:space="preserve"> M5+(ckAwdTable[ILN]&lt;"M")</f>
        <v>5</v>
      </c>
      <c r="N6" t="s">
        <v>96</v>
      </c>
      <c r="O6" t="s">
        <v>993</v>
      </c>
      <c r="P6" s="15" t="str">
        <f>HYPERLINK("https://www.ejacket.nsf.gov/ej/showProposal.do?ID="&amp;ckAwdTable[[#This Row],[prop_id]],"eJ")</f>
        <v>eJ</v>
      </c>
      <c r="Q6" s="8" t="s">
        <v>224</v>
      </c>
      <c r="R6" t="s">
        <v>993</v>
      </c>
      <c r="S6" t="s">
        <v>994</v>
      </c>
      <c r="T6" t="s">
        <v>995</v>
      </c>
      <c r="U6" s="8" t="s">
        <v>223</v>
      </c>
      <c r="V6" t="s">
        <v>280</v>
      </c>
      <c r="W6" s="15" t="str">
        <f>HYPERLINK("mailto:"&amp; ckAwdTable[[#This Row],[email]]&amp;"&amp;subject=Your NSF Proposal:  "&amp;ckAwdTable[[#This Row],[prop_id]], ckAwdTable[[#This Row],[email]])</f>
        <v>virgi@mit.edu</v>
      </c>
      <c r="X6" s="30">
        <v>42767</v>
      </c>
      <c r="Y6">
        <v>60</v>
      </c>
      <c r="AA6" s="21" t="s">
        <v>13</v>
      </c>
      <c r="AB6" s="21" t="s">
        <v>972</v>
      </c>
      <c r="AC6"/>
      <c r="AD6" s="21" t="s">
        <v>13</v>
      </c>
      <c r="AF6" s="21" t="s">
        <v>965</v>
      </c>
      <c r="AG6" s="21" t="str">
        <f>IFERROR(IF(FIND("?",ckAwdTable[[#This Row],[abst_narr_txt]]),SummarizeQuestMarks(ckAwdTable[[#This Row],[abst_narr_txt]]),""),"")</f>
        <v/>
      </c>
      <c r="AH6" s="21" t="s">
        <v>1498</v>
      </c>
      <c r="AI6" s="13">
        <v>550000</v>
      </c>
      <c r="AJ6" s="21">
        <v>1</v>
      </c>
      <c r="AK6" s="1">
        <v>400000</v>
      </c>
      <c r="AL6" s="1"/>
      <c r="AM6" s="1"/>
      <c r="AP6" s="21">
        <v>4</v>
      </c>
      <c r="AQ6" s="21"/>
      <c r="AR6" s="21"/>
      <c r="AS6" s="21"/>
      <c r="AT6" s="21"/>
      <c r="AU6" s="8" t="s">
        <v>991</v>
      </c>
      <c r="AV6" t="s">
        <v>998</v>
      </c>
      <c r="AW6" t="b">
        <f>AND(ckAwdTable[[#This Row],[ILN]]&gt;"M", SUBSTITUTE(ckAwdTable[[#This Row],[prop_titl_txt]]," ","")&lt;&gt;SUBSTITUTE(AV5," ",""))</f>
        <v>0</v>
      </c>
      <c r="AX6" s="8" t="s">
        <v>996</v>
      </c>
      <c r="AY6"/>
      <c r="AZ6"/>
      <c r="BA6"/>
      <c r="BB6"/>
      <c r="BC6"/>
      <c r="BD6"/>
      <c r="BL6"/>
      <c r="BP6"/>
    </row>
    <row r="7" spans="1:68" x14ac:dyDescent="0.4">
      <c r="A7" s="30">
        <v>42724.509884259256</v>
      </c>
      <c r="B7" s="30">
        <v>42570.840277777781</v>
      </c>
      <c r="C7" t="s">
        <v>975</v>
      </c>
      <c r="D7" t="s">
        <v>222</v>
      </c>
      <c r="E7" t="s">
        <v>405</v>
      </c>
      <c r="F7" t="s">
        <v>422</v>
      </c>
      <c r="G7" s="8" t="s">
        <v>992</v>
      </c>
      <c r="H7" s="8" t="s">
        <v>172</v>
      </c>
      <c r="I7" s="8" t="s">
        <v>2135</v>
      </c>
      <c r="J7" t="s">
        <v>94</v>
      </c>
      <c r="K7" t="s">
        <v>974</v>
      </c>
      <c r="L7" s="22">
        <v>42724.508750000001</v>
      </c>
      <c r="M7">
        <f xml:space="preserve"> M6+(ckAwdTable[ILN]&lt;"M")</f>
        <v>6</v>
      </c>
      <c r="N7" t="s">
        <v>96</v>
      </c>
      <c r="O7" t="s">
        <v>999</v>
      </c>
      <c r="P7" s="15" t="str">
        <f>HYPERLINK("https://www.ejacket.nsf.gov/ej/showProposal.do?ID="&amp;ckAwdTable[[#This Row],[prop_id]],"eJ")</f>
        <v>eJ</v>
      </c>
      <c r="Q7" s="8" t="s">
        <v>224</v>
      </c>
      <c r="R7" t="s">
        <v>999</v>
      </c>
      <c r="S7" t="s">
        <v>1000</v>
      </c>
      <c r="T7" t="s">
        <v>1001</v>
      </c>
      <c r="U7" s="8" t="s">
        <v>258</v>
      </c>
      <c r="V7" t="s">
        <v>278</v>
      </c>
      <c r="W7" s="15" t="str">
        <f>HYPERLINK("mailto:"&amp; ckAwdTable[[#This Row],[email]]&amp;"&amp;subject=Your NSF Proposal:  "&amp;ckAwdTable[[#This Row],[prop_id]], ckAwdTable[[#This Row],[email]])</f>
        <v>rothvoss@uw.edu</v>
      </c>
      <c r="X7" s="30">
        <v>42917</v>
      </c>
      <c r="Y7">
        <v>60</v>
      </c>
      <c r="AA7" s="21" t="s">
        <v>13</v>
      </c>
      <c r="AB7" s="21" t="s">
        <v>972</v>
      </c>
      <c r="AC7"/>
      <c r="AD7" s="21" t="s">
        <v>13</v>
      </c>
      <c r="AF7" s="21" t="s">
        <v>965</v>
      </c>
      <c r="AG7" s="21" t="str">
        <f>IFERROR(IF(FIND("?",ckAwdTable[[#This Row],[abst_narr_txt]]),SummarizeQuestMarks(ckAwdTable[[#This Row],[abst_narr_txt]]),""),"")</f>
        <v/>
      </c>
      <c r="AH7" s="21" t="s">
        <v>1519</v>
      </c>
      <c r="AI7" s="13">
        <v>522239</v>
      </c>
      <c r="AJ7" s="21">
        <v>0</v>
      </c>
      <c r="AK7" s="1">
        <v>522239</v>
      </c>
      <c r="AL7" s="1"/>
      <c r="AM7" s="1">
        <v>30000</v>
      </c>
      <c r="AN7" s="1">
        <v>93033</v>
      </c>
      <c r="AO7" s="1">
        <v>15000</v>
      </c>
      <c r="AP7" s="21"/>
      <c r="AQ7" s="21">
        <v>5</v>
      </c>
      <c r="AR7" s="21">
        <v>10</v>
      </c>
      <c r="AS7" s="21"/>
      <c r="AT7" s="21">
        <v>10</v>
      </c>
      <c r="AU7" s="8" t="s">
        <v>991</v>
      </c>
      <c r="AV7" t="s">
        <v>1004</v>
      </c>
      <c r="AW7" t="b">
        <f>AND(ckAwdTable[[#This Row],[ILN]]&gt;"M", SUBSTITUTE(ckAwdTable[[#This Row],[prop_titl_txt]]," ","")&lt;&gt;SUBSTITUTE(AV6," ",""))</f>
        <v>0</v>
      </c>
      <c r="AX7" s="8" t="s">
        <v>1002</v>
      </c>
      <c r="AY7"/>
      <c r="AZ7"/>
      <c r="BA7"/>
      <c r="BB7"/>
      <c r="BC7"/>
      <c r="BD7"/>
      <c r="BL7"/>
      <c r="BP7"/>
    </row>
    <row r="8" spans="1:68" x14ac:dyDescent="0.4">
      <c r="A8" s="30">
        <v>42676.693391203706</v>
      </c>
      <c r="B8" s="30">
        <v>42571.410416666666</v>
      </c>
      <c r="C8" t="s">
        <v>975</v>
      </c>
      <c r="D8" t="s">
        <v>222</v>
      </c>
      <c r="E8" t="s">
        <v>405</v>
      </c>
      <c r="F8" t="s">
        <v>406</v>
      </c>
      <c r="G8" s="8" t="s">
        <v>976</v>
      </c>
      <c r="H8" s="8" t="s">
        <v>172</v>
      </c>
      <c r="I8" s="8" t="s">
        <v>962</v>
      </c>
      <c r="J8" t="s">
        <v>94</v>
      </c>
      <c r="K8" t="s">
        <v>974</v>
      </c>
      <c r="L8" s="22">
        <v>42674.602546296293</v>
      </c>
      <c r="M8">
        <f xml:space="preserve"> M7+(ckAwdTable[ILN]&lt;"M")</f>
        <v>7</v>
      </c>
      <c r="N8" t="s">
        <v>96</v>
      </c>
      <c r="O8" t="s">
        <v>1005</v>
      </c>
      <c r="P8" s="15" t="str">
        <f>HYPERLINK("https://www.ejacket.nsf.gov/ej/showProposal.do?ID="&amp;ckAwdTable[[#This Row],[prop_id]],"eJ")</f>
        <v>eJ</v>
      </c>
      <c r="Q8" s="8" t="s">
        <v>224</v>
      </c>
      <c r="R8" t="s">
        <v>1005</v>
      </c>
      <c r="S8" t="s">
        <v>505</v>
      </c>
      <c r="T8" t="s">
        <v>506</v>
      </c>
      <c r="U8" s="8" t="s">
        <v>507</v>
      </c>
      <c r="V8" t="s">
        <v>508</v>
      </c>
      <c r="W8" s="15" t="str">
        <f>HYPERLINK("mailto:"&amp; ckAwdTable[[#This Row],[email]]&amp;"&amp;subject=Your NSF Proposal:  "&amp;ckAwdTable[[#This Row],[prop_id]], ckAwdTable[[#This Row],[email]])</f>
        <v>sharathr@vt.edu</v>
      </c>
      <c r="X8" s="30">
        <v>42736</v>
      </c>
      <c r="Y8">
        <v>60</v>
      </c>
      <c r="AA8" s="21" t="s">
        <v>13</v>
      </c>
      <c r="AB8" s="21" t="s">
        <v>972</v>
      </c>
      <c r="AC8"/>
      <c r="AD8" s="21" t="s">
        <v>13</v>
      </c>
      <c r="AF8" s="21" t="s">
        <v>965</v>
      </c>
      <c r="AG8" s="21" t="str">
        <f>IFERROR(IF(FIND("?",ckAwdTable[[#This Row],[abst_narr_txt]]),SummarizeQuestMarks(ckAwdTable[[#This Row],[abst_narr_txt]]),""),"")</f>
        <v/>
      </c>
      <c r="AI8" s="13">
        <v>518410</v>
      </c>
      <c r="AJ8" s="21">
        <v>0</v>
      </c>
      <c r="AK8" s="1">
        <v>518410</v>
      </c>
      <c r="AL8" s="1"/>
      <c r="AM8" s="1">
        <v>7500</v>
      </c>
      <c r="AP8" s="21">
        <v>5</v>
      </c>
      <c r="AQ8" s="21">
        <v>5</v>
      </c>
      <c r="AR8" s="21">
        <v>6.5</v>
      </c>
      <c r="AS8" s="21"/>
      <c r="AT8" s="21"/>
      <c r="AU8" s="8" t="s">
        <v>973</v>
      </c>
      <c r="AV8" t="s">
        <v>1007</v>
      </c>
      <c r="AW8" t="b">
        <f>AND(ckAwdTable[[#This Row],[ILN]]&gt;"M", SUBSTITUTE(ckAwdTable[[#This Row],[prop_titl_txt]]," ","")&lt;&gt;SUBSTITUTE(AV7," ",""))</f>
        <v>0</v>
      </c>
      <c r="AX8" s="8" t="s">
        <v>509</v>
      </c>
      <c r="AY8"/>
      <c r="AZ8"/>
      <c r="BA8"/>
      <c r="BB8"/>
      <c r="BC8"/>
      <c r="BD8"/>
      <c r="BL8"/>
      <c r="BP8"/>
    </row>
    <row r="9" spans="1:68" x14ac:dyDescent="0.4">
      <c r="A9" s="30">
        <v>42706.641759259262</v>
      </c>
      <c r="B9" s="30">
        <v>42571.42291666667</v>
      </c>
      <c r="C9" t="s">
        <v>975</v>
      </c>
      <c r="D9" t="s">
        <v>222</v>
      </c>
      <c r="E9" t="s">
        <v>405</v>
      </c>
      <c r="F9" t="s">
        <v>422</v>
      </c>
      <c r="G9" s="8" t="s">
        <v>976</v>
      </c>
      <c r="H9" s="8" t="s">
        <v>172</v>
      </c>
      <c r="I9" s="8" t="s">
        <v>962</v>
      </c>
      <c r="J9" t="s">
        <v>94</v>
      </c>
      <c r="K9" t="s">
        <v>974</v>
      </c>
      <c r="L9" s="22">
        <v>42705.544803240744</v>
      </c>
      <c r="M9">
        <f xml:space="preserve"> M8+(ckAwdTable[ILN]&lt;"M")</f>
        <v>8</v>
      </c>
      <c r="N9" t="s">
        <v>96</v>
      </c>
      <c r="O9" t="s">
        <v>1008</v>
      </c>
      <c r="P9" s="15" t="str">
        <f>HYPERLINK("https://www.ejacket.nsf.gov/ej/showProposal.do?ID="&amp;ckAwdTable[[#This Row],[prop_id]],"eJ")</f>
        <v>eJ</v>
      </c>
      <c r="Q9" s="8" t="s">
        <v>224</v>
      </c>
      <c r="R9" t="s">
        <v>1008</v>
      </c>
      <c r="S9" t="s">
        <v>1009</v>
      </c>
      <c r="T9" t="s">
        <v>1010</v>
      </c>
      <c r="U9" s="8" t="s">
        <v>424</v>
      </c>
      <c r="V9" t="s">
        <v>276</v>
      </c>
      <c r="W9" s="15" t="str">
        <f>HYPERLINK("mailto:"&amp; ckAwdTable[[#This Row],[email]]&amp;"&amp;subject=Your NSF Proposal:  "&amp;ckAwdTable[[#This Row],[prop_id]], ckAwdTable[[#This Row],[email]])</f>
        <v>haeupler@cs.cmu.edu</v>
      </c>
      <c r="X9" s="30">
        <v>42736</v>
      </c>
      <c r="Y9">
        <v>60</v>
      </c>
      <c r="AA9" s="21" t="s">
        <v>13</v>
      </c>
      <c r="AB9" s="21" t="s">
        <v>972</v>
      </c>
      <c r="AC9"/>
      <c r="AD9" s="21" t="s">
        <v>13</v>
      </c>
      <c r="AF9" s="21" t="s">
        <v>965</v>
      </c>
      <c r="AG9" s="21" t="str">
        <f>IFERROR(IF(FIND("?",ckAwdTable[[#This Row],[abst_narr_txt]]),SummarizeQuestMarks(ckAwdTable[[#This Row],[abst_narr_txt]]),""),"")</f>
        <v/>
      </c>
      <c r="AI9" s="13">
        <v>485739</v>
      </c>
      <c r="AJ9" s="21">
        <v>0</v>
      </c>
      <c r="AK9" s="1">
        <v>485739</v>
      </c>
      <c r="AL9" s="1"/>
      <c r="AM9" s="1"/>
      <c r="AP9" s="21">
        <v>5</v>
      </c>
      <c r="AQ9" s="21">
        <v>5</v>
      </c>
      <c r="AR9" s="21">
        <v>1.25</v>
      </c>
      <c r="AS9" s="21"/>
      <c r="AT9" s="21"/>
      <c r="AU9" s="8" t="s">
        <v>973</v>
      </c>
      <c r="AV9" t="s">
        <v>1014</v>
      </c>
      <c r="AW9" t="b">
        <f>AND(ckAwdTable[[#This Row],[ILN]]&gt;"M", SUBSTITUTE(ckAwdTable[[#This Row],[prop_titl_txt]]," ","")&lt;&gt;SUBSTITUTE(AV8," ",""))</f>
        <v>0</v>
      </c>
      <c r="AX9" s="8" t="s">
        <v>1011</v>
      </c>
      <c r="AY9"/>
      <c r="AZ9"/>
      <c r="BA9"/>
      <c r="BB9"/>
      <c r="BC9"/>
      <c r="BD9"/>
      <c r="BL9"/>
      <c r="BP9"/>
    </row>
    <row r="10" spans="1:68" x14ac:dyDescent="0.4">
      <c r="A10" s="30">
        <v>42677.397835648146</v>
      </c>
      <c r="B10" s="30">
        <v>42571.425000000003</v>
      </c>
      <c r="C10" t="s">
        <v>975</v>
      </c>
      <c r="D10" t="s">
        <v>222</v>
      </c>
      <c r="E10" t="s">
        <v>405</v>
      </c>
      <c r="F10" t="s">
        <v>422</v>
      </c>
      <c r="G10" s="8" t="s">
        <v>976</v>
      </c>
      <c r="H10" s="8" t="s">
        <v>172</v>
      </c>
      <c r="I10" s="8" t="s">
        <v>962</v>
      </c>
      <c r="J10" t="s">
        <v>94</v>
      </c>
      <c r="K10" t="s">
        <v>974</v>
      </c>
      <c r="L10" s="22">
        <v>42676.671111111114</v>
      </c>
      <c r="M10">
        <f xml:space="preserve"> M9+(ckAwdTable[ILN]&lt;"M")</f>
        <v>9</v>
      </c>
      <c r="N10" t="s">
        <v>96</v>
      </c>
      <c r="O10" t="s">
        <v>1015</v>
      </c>
      <c r="P10" s="15" t="str">
        <f>HYPERLINK("https://www.ejacket.nsf.gov/ej/showProposal.do?ID="&amp;ckAwdTable[[#This Row],[prop_id]],"eJ")</f>
        <v>eJ</v>
      </c>
      <c r="Q10" s="8" t="s">
        <v>224</v>
      </c>
      <c r="R10" t="s">
        <v>1015</v>
      </c>
      <c r="S10" t="s">
        <v>1016</v>
      </c>
      <c r="T10" t="s">
        <v>1017</v>
      </c>
      <c r="U10" s="8" t="s">
        <v>1018</v>
      </c>
      <c r="V10" t="s">
        <v>113</v>
      </c>
      <c r="W10" s="15" t="str">
        <f>HYPERLINK("mailto:"&amp; ckAwdTable[[#This Row],[email]]&amp;"&amp;subject=Your NSF Proposal:  "&amp;ckAwdTable[[#This Row],[prop_id]], ckAwdTable[[#This Row],[email]])</f>
        <v>bjuba@wustl.edu</v>
      </c>
      <c r="X10" s="30">
        <v>42917</v>
      </c>
      <c r="Y10">
        <v>60</v>
      </c>
      <c r="AA10" s="21" t="s">
        <v>13</v>
      </c>
      <c r="AB10" s="21" t="s">
        <v>972</v>
      </c>
      <c r="AC10"/>
      <c r="AD10" s="21" t="s">
        <v>13</v>
      </c>
      <c r="AF10" s="21" t="s">
        <v>965</v>
      </c>
      <c r="AG10" s="21" t="str">
        <f>IFERROR(IF(FIND("?",ckAwdTable[[#This Row],[abst_narr_txt]]),SummarizeQuestMarks(ckAwdTable[[#This Row],[abst_narr_txt]]),""),"")</f>
        <v/>
      </c>
      <c r="AI10" s="13">
        <v>681281</v>
      </c>
      <c r="AJ10" s="21">
        <v>0</v>
      </c>
      <c r="AK10" s="1">
        <v>681281</v>
      </c>
      <c r="AL10" s="1"/>
      <c r="AM10" s="1">
        <v>15000</v>
      </c>
      <c r="AO10" s="1">
        <v>8550</v>
      </c>
      <c r="AP10" s="21">
        <v>10</v>
      </c>
      <c r="AQ10" s="21">
        <v>5</v>
      </c>
      <c r="AR10" s="21">
        <v>5</v>
      </c>
      <c r="AS10" s="21"/>
      <c r="AT10" s="21"/>
      <c r="AU10" s="8" t="s">
        <v>973</v>
      </c>
      <c r="AV10" t="s">
        <v>1022</v>
      </c>
      <c r="AW10" t="b">
        <f>AND(ckAwdTable[[#This Row],[ILN]]&gt;"M", SUBSTITUTE(ckAwdTable[[#This Row],[prop_titl_txt]]," ","")&lt;&gt;SUBSTITUTE(AV9," ",""))</f>
        <v>0</v>
      </c>
      <c r="AX10" s="8" t="s">
        <v>1019</v>
      </c>
      <c r="AY10"/>
      <c r="AZ10"/>
      <c r="BA10"/>
      <c r="BB10"/>
      <c r="BC10"/>
      <c r="BD10"/>
      <c r="BL10"/>
      <c r="BP10"/>
    </row>
    <row r="11" spans="1:68" x14ac:dyDescent="0.4">
      <c r="A11" s="30">
        <v>42674.447048611109</v>
      </c>
      <c r="B11" s="30">
        <v>42571.428472222222</v>
      </c>
      <c r="C11" t="s">
        <v>975</v>
      </c>
      <c r="D11" t="s">
        <v>222</v>
      </c>
      <c r="E11" t="s">
        <v>405</v>
      </c>
      <c r="F11" t="s">
        <v>451</v>
      </c>
      <c r="G11" s="8" t="s">
        <v>976</v>
      </c>
      <c r="H11" s="8" t="s">
        <v>172</v>
      </c>
      <c r="I11" s="8" t="s">
        <v>962</v>
      </c>
      <c r="J11" t="s">
        <v>94</v>
      </c>
      <c r="K11" t="s">
        <v>974</v>
      </c>
      <c r="L11" s="22">
        <v>42667.539583333331</v>
      </c>
      <c r="M11">
        <f xml:space="preserve"> M10+(ckAwdTable[ILN]&lt;"M")</f>
        <v>10</v>
      </c>
      <c r="N11" t="s">
        <v>96</v>
      </c>
      <c r="O11" t="s">
        <v>1023</v>
      </c>
      <c r="P11" s="15" t="str">
        <f>HYPERLINK("https://www.ejacket.nsf.gov/ej/showProposal.do?ID="&amp;ckAwdTable[[#This Row],[prop_id]],"eJ")</f>
        <v>eJ</v>
      </c>
      <c r="Q11" s="8" t="s">
        <v>224</v>
      </c>
      <c r="R11" t="s">
        <v>1023</v>
      </c>
      <c r="S11" t="s">
        <v>423</v>
      </c>
      <c r="T11" t="s">
        <v>262</v>
      </c>
      <c r="U11" s="8" t="s">
        <v>1018</v>
      </c>
      <c r="V11" t="s">
        <v>113</v>
      </c>
      <c r="W11" s="15" t="str">
        <f>HYPERLINK("mailto:"&amp; ckAwdTable[[#This Row],[email]]&amp;"&amp;subject=Your NSF Proposal:  "&amp;ckAwdTable[[#This Row],[prop_id]], ckAwdTable[[#This Row],[email]])</f>
        <v>bmoseley@seas.wustl.edu</v>
      </c>
      <c r="X11" s="30">
        <v>42917</v>
      </c>
      <c r="Y11">
        <v>60</v>
      </c>
      <c r="AA11" s="21" t="s">
        <v>13</v>
      </c>
      <c r="AB11" s="21" t="s">
        <v>972</v>
      </c>
      <c r="AC11"/>
      <c r="AD11" s="21" t="s">
        <v>13</v>
      </c>
      <c r="AF11" s="21" t="s">
        <v>965</v>
      </c>
      <c r="AG11" s="21" t="str">
        <f>IFERROR(IF(FIND("?",ckAwdTable[[#This Row],[abst_narr_txt]]),SummarizeQuestMarks(ckAwdTable[[#This Row],[abst_narr_txt]]),""),"")</f>
        <v/>
      </c>
      <c r="AI11" s="13">
        <v>517179</v>
      </c>
      <c r="AJ11" s="21">
        <v>0</v>
      </c>
      <c r="AK11" s="1">
        <v>517179</v>
      </c>
      <c r="AL11" s="1"/>
      <c r="AM11" s="1"/>
      <c r="AP11" s="21">
        <v>5</v>
      </c>
      <c r="AQ11" s="21">
        <v>5</v>
      </c>
      <c r="AR11" s="21">
        <v>6</v>
      </c>
      <c r="AS11" s="21"/>
      <c r="AT11" s="21"/>
      <c r="AU11" s="8" t="s">
        <v>973</v>
      </c>
      <c r="AV11" t="s">
        <v>1024</v>
      </c>
      <c r="AW11" t="b">
        <f>AND(ckAwdTable[[#This Row],[ILN]]&gt;"M", SUBSTITUTE(ckAwdTable[[#This Row],[prop_titl_txt]]," ","")&lt;&gt;SUBSTITUTE(AV10," ",""))</f>
        <v>0</v>
      </c>
      <c r="AX11" s="8" t="s">
        <v>425</v>
      </c>
      <c r="AY11"/>
      <c r="AZ11"/>
      <c r="BA11"/>
      <c r="BB11"/>
      <c r="BC11"/>
      <c r="BD11"/>
      <c r="BL11"/>
      <c r="BP11"/>
    </row>
    <row r="12" spans="1:68" x14ac:dyDescent="0.4">
      <c r="A12" s="30">
        <v>42674.448333333334</v>
      </c>
      <c r="B12" s="30">
        <v>42571.431250000001</v>
      </c>
      <c r="C12" t="s">
        <v>975</v>
      </c>
      <c r="D12" t="s">
        <v>222</v>
      </c>
      <c r="E12" t="s">
        <v>405</v>
      </c>
      <c r="F12" t="s">
        <v>451</v>
      </c>
      <c r="G12" s="8" t="s">
        <v>976</v>
      </c>
      <c r="H12" s="8" t="s">
        <v>172</v>
      </c>
      <c r="I12" s="8" t="s">
        <v>962</v>
      </c>
      <c r="J12" t="s">
        <v>94</v>
      </c>
      <c r="K12" t="s">
        <v>974</v>
      </c>
      <c r="L12" s="22">
        <v>42667.540162037039</v>
      </c>
      <c r="M12">
        <f xml:space="preserve"> M11+(ckAwdTable[ILN]&lt;"M")</f>
        <v>11</v>
      </c>
      <c r="N12" t="s">
        <v>96</v>
      </c>
      <c r="O12" t="s">
        <v>1025</v>
      </c>
      <c r="P12" s="15" t="str">
        <f>HYPERLINK("https://www.ejacket.nsf.gov/ej/showProposal.do?ID="&amp;ckAwdTable[[#This Row],[prop_id]],"eJ")</f>
        <v>eJ</v>
      </c>
      <c r="Q12" s="8" t="s">
        <v>224</v>
      </c>
      <c r="R12" t="s">
        <v>1025</v>
      </c>
      <c r="S12" t="s">
        <v>1026</v>
      </c>
      <c r="T12" t="s">
        <v>1027</v>
      </c>
      <c r="U12" s="8" t="s">
        <v>1028</v>
      </c>
      <c r="V12" t="s">
        <v>280</v>
      </c>
      <c r="W12" s="15" t="str">
        <f>HYPERLINK("mailto:"&amp; ckAwdTable[[#This Row],[email]]&amp;"&amp;subject=Your NSF Proposal:  "&amp;ckAwdTable[[#This Row],[prop_id]], ckAwdTable[[#This Row],[email]])</f>
        <v>jullman@ccs.neu.edu</v>
      </c>
      <c r="X12" s="30">
        <v>42948</v>
      </c>
      <c r="Y12">
        <v>60</v>
      </c>
      <c r="AA12" s="21" t="s">
        <v>13</v>
      </c>
      <c r="AB12" s="21" t="s">
        <v>972</v>
      </c>
      <c r="AC12"/>
      <c r="AD12" s="21" t="s">
        <v>13</v>
      </c>
      <c r="AE12" s="21" t="s">
        <v>274</v>
      </c>
      <c r="AF12" s="21" t="s">
        <v>965</v>
      </c>
      <c r="AG12" s="21" t="str">
        <f>IFERROR(IF(FIND("?",ckAwdTable[[#This Row],[abst_narr_txt]]),SummarizeQuestMarks(ckAwdTable[[#This Row],[abst_narr_txt]]),""),"")</f>
        <v/>
      </c>
      <c r="AI12" s="13">
        <v>535891</v>
      </c>
      <c r="AJ12" s="21">
        <v>0</v>
      </c>
      <c r="AK12" s="1">
        <v>535891</v>
      </c>
      <c r="AL12" s="1"/>
      <c r="AM12" s="1">
        <v>15928</v>
      </c>
      <c r="AP12" s="21">
        <v>5</v>
      </c>
      <c r="AQ12" s="21">
        <v>5</v>
      </c>
      <c r="AR12" s="21">
        <v>5</v>
      </c>
      <c r="AS12" s="21"/>
      <c r="AT12" s="21"/>
      <c r="AU12" s="8" t="s">
        <v>973</v>
      </c>
      <c r="AV12" t="s">
        <v>1030</v>
      </c>
      <c r="AW12" t="b">
        <f>AND(ckAwdTable[[#This Row],[ILN]]&gt;"M", SUBSTITUTE(ckAwdTable[[#This Row],[prop_titl_txt]]," ","")&lt;&gt;SUBSTITUTE(AV11," ",""))</f>
        <v>0</v>
      </c>
      <c r="AX12" s="8" t="s">
        <v>1029</v>
      </c>
      <c r="AY12"/>
      <c r="AZ12"/>
      <c r="BA12"/>
      <c r="BB12"/>
      <c r="BC12"/>
      <c r="BD12"/>
      <c r="BL12"/>
      <c r="BP12"/>
    </row>
    <row r="13" spans="1:68" x14ac:dyDescent="0.4">
      <c r="A13" s="30">
        <v>42682.371863425928</v>
      </c>
      <c r="B13" s="30">
        <v>42571.449305555558</v>
      </c>
      <c r="C13" t="s">
        <v>975</v>
      </c>
      <c r="D13" t="s">
        <v>222</v>
      </c>
      <c r="E13" t="s">
        <v>405</v>
      </c>
      <c r="F13" t="s">
        <v>406</v>
      </c>
      <c r="G13" s="8" t="s">
        <v>976</v>
      </c>
      <c r="H13" s="8" t="s">
        <v>172</v>
      </c>
      <c r="I13" s="8" t="s">
        <v>962</v>
      </c>
      <c r="J13" t="s">
        <v>94</v>
      </c>
      <c r="K13" t="s">
        <v>974</v>
      </c>
      <c r="L13" s="22">
        <v>42681.568692129629</v>
      </c>
      <c r="M13">
        <f xml:space="preserve"> M12+(ckAwdTable[ILN]&lt;"M")</f>
        <v>12</v>
      </c>
      <c r="N13" t="s">
        <v>96</v>
      </c>
      <c r="O13" t="s">
        <v>1031</v>
      </c>
      <c r="P13" s="15" t="str">
        <f>HYPERLINK("https://www.ejacket.nsf.gov/ej/showProposal.do?ID="&amp;ckAwdTable[[#This Row],[prop_id]],"eJ")</f>
        <v>eJ</v>
      </c>
      <c r="Q13" s="8" t="s">
        <v>224</v>
      </c>
      <c r="R13" t="s">
        <v>1031</v>
      </c>
      <c r="S13" t="s">
        <v>1032</v>
      </c>
      <c r="T13" t="s">
        <v>1033</v>
      </c>
      <c r="U13" s="8" t="s">
        <v>490</v>
      </c>
      <c r="V13" t="s">
        <v>491</v>
      </c>
      <c r="W13" s="15" t="str">
        <f>HYPERLINK("mailto:"&amp; ckAwdTable[[#This Row],[email]]&amp;"&amp;subject=Your NSF Proposal:  "&amp;ckAwdTable[[#This Row],[prop_id]], ckAwdTable[[#This Row],[email]])</f>
        <v>rongge@cs.duke.edu</v>
      </c>
      <c r="X13" s="30">
        <v>42767</v>
      </c>
      <c r="Y13">
        <v>60</v>
      </c>
      <c r="AA13" s="21" t="s">
        <v>13</v>
      </c>
      <c r="AB13" s="21" t="s">
        <v>972</v>
      </c>
      <c r="AC13"/>
      <c r="AD13" s="21" t="s">
        <v>13</v>
      </c>
      <c r="AE13" s="21" t="s">
        <v>274</v>
      </c>
      <c r="AF13" s="21" t="s">
        <v>965</v>
      </c>
      <c r="AG13" s="21" t="str">
        <f>IFERROR(IF(FIND("?",ckAwdTable[[#This Row],[abst_narr_txt]]),SummarizeQuestMarks(ckAwdTable[[#This Row],[abst_narr_txt]]),""),"")</f>
        <v/>
      </c>
      <c r="AI13" s="13">
        <v>521233</v>
      </c>
      <c r="AJ13" s="21">
        <v>0</v>
      </c>
      <c r="AK13" s="1">
        <v>521233</v>
      </c>
      <c r="AL13" s="1"/>
      <c r="AM13" s="1">
        <v>8762</v>
      </c>
      <c r="AO13" s="1">
        <v>8000</v>
      </c>
      <c r="AP13" s="21">
        <v>5</v>
      </c>
      <c r="AQ13" s="21">
        <v>5</v>
      </c>
      <c r="AR13" s="21">
        <v>5</v>
      </c>
      <c r="AS13" s="21"/>
      <c r="AT13" s="21"/>
      <c r="AU13" s="8" t="s">
        <v>973</v>
      </c>
      <c r="AV13" t="s">
        <v>1036</v>
      </c>
      <c r="AW13" t="b">
        <f>AND(ckAwdTable[[#This Row],[ILN]]&gt;"M", SUBSTITUTE(ckAwdTable[[#This Row],[prop_titl_txt]]," ","")&lt;&gt;SUBSTITUTE(AV12," ",""))</f>
        <v>0</v>
      </c>
      <c r="AX13" s="8" t="s">
        <v>1034</v>
      </c>
      <c r="AY13"/>
      <c r="AZ13"/>
      <c r="BA13"/>
      <c r="BB13"/>
      <c r="BC13"/>
      <c r="BD13"/>
      <c r="BL13"/>
      <c r="BP13"/>
    </row>
    <row r="14" spans="1:68" x14ac:dyDescent="0.4">
      <c r="A14" s="30">
        <v>42676.693969907406</v>
      </c>
      <c r="B14" s="30">
        <v>42571.455555555556</v>
      </c>
      <c r="C14" t="s">
        <v>975</v>
      </c>
      <c r="D14" t="s">
        <v>222</v>
      </c>
      <c r="E14" t="s">
        <v>405</v>
      </c>
      <c r="F14" t="s">
        <v>406</v>
      </c>
      <c r="G14" s="8" t="s">
        <v>976</v>
      </c>
      <c r="H14" s="8" t="s">
        <v>172</v>
      </c>
      <c r="I14" s="8" t="s">
        <v>962</v>
      </c>
      <c r="J14" t="s">
        <v>94</v>
      </c>
      <c r="K14" t="s">
        <v>974</v>
      </c>
      <c r="L14" s="22">
        <v>42674.614074074074</v>
      </c>
      <c r="M14">
        <f xml:space="preserve"> M13+(ckAwdTable[ILN]&lt;"M")</f>
        <v>13</v>
      </c>
      <c r="N14" t="s">
        <v>96</v>
      </c>
      <c r="O14" t="s">
        <v>1037</v>
      </c>
      <c r="P14" s="15" t="str">
        <f>HYPERLINK("https://www.ejacket.nsf.gov/ej/showProposal.do?ID="&amp;ckAwdTable[[#This Row],[prop_id]],"eJ")</f>
        <v>eJ</v>
      </c>
      <c r="Q14" s="8" t="s">
        <v>224</v>
      </c>
      <c r="R14" t="s">
        <v>1037</v>
      </c>
      <c r="S14" t="s">
        <v>1038</v>
      </c>
      <c r="T14" t="s">
        <v>1039</v>
      </c>
      <c r="U14" s="8" t="s">
        <v>1040</v>
      </c>
      <c r="V14" t="s">
        <v>283</v>
      </c>
      <c r="W14" s="15" t="str">
        <f>HYPERLINK("mailto:"&amp; ckAwdTable[[#This Row],[email]]&amp;"&amp;subject=Your NSF Proposal:  "&amp;ckAwdTable[[#This Row],[prop_id]], ckAwdTable[[#This Row],[email]])</f>
        <v>rpeng@cc.gatech.edu</v>
      </c>
      <c r="X14" s="30">
        <v>42917</v>
      </c>
      <c r="Y14">
        <v>60</v>
      </c>
      <c r="AA14" s="21" t="s">
        <v>13</v>
      </c>
      <c r="AB14" s="21" t="s">
        <v>972</v>
      </c>
      <c r="AC14"/>
      <c r="AD14" s="21" t="s">
        <v>13</v>
      </c>
      <c r="AF14" s="21" t="s">
        <v>965</v>
      </c>
      <c r="AG14" s="21" t="str">
        <f>IFERROR(IF(FIND("?",ckAwdTable[[#This Row],[abst_narr_txt]]),SummarizeQuestMarks(ckAwdTable[[#This Row],[abst_narr_txt]]),""),"")</f>
        <v/>
      </c>
      <c r="AI14" s="13">
        <v>600000</v>
      </c>
      <c r="AJ14" s="21">
        <v>0</v>
      </c>
      <c r="AK14" s="1">
        <v>600000</v>
      </c>
      <c r="AL14" s="1"/>
      <c r="AM14" s="1">
        <v>23000</v>
      </c>
      <c r="AP14" s="21">
        <v>5</v>
      </c>
      <c r="AQ14" s="21">
        <v>5</v>
      </c>
      <c r="AR14" s="21">
        <v>5</v>
      </c>
      <c r="AS14" s="21"/>
      <c r="AT14" s="21"/>
      <c r="AU14" s="8" t="s">
        <v>973</v>
      </c>
      <c r="AV14" t="s">
        <v>1043</v>
      </c>
      <c r="AW14" t="b">
        <f>AND(ckAwdTable[[#This Row],[ILN]]&gt;"M", SUBSTITUTE(ckAwdTable[[#This Row],[prop_titl_txt]]," ","")&lt;&gt;SUBSTITUTE(AV13," ",""))</f>
        <v>0</v>
      </c>
      <c r="AX14" s="8" t="s">
        <v>1041</v>
      </c>
      <c r="AY14"/>
      <c r="AZ14"/>
      <c r="BA14"/>
      <c r="BB14"/>
      <c r="BC14"/>
      <c r="BD14"/>
      <c r="BL14"/>
      <c r="BP14"/>
    </row>
    <row r="15" spans="1:68" x14ac:dyDescent="0.4">
      <c r="A15" s="30">
        <v>42677.555532407408</v>
      </c>
      <c r="B15" s="30">
        <v>42571.484722222223</v>
      </c>
      <c r="C15" t="s">
        <v>975</v>
      </c>
      <c r="D15" t="s">
        <v>222</v>
      </c>
      <c r="E15" t="s">
        <v>405</v>
      </c>
      <c r="F15" t="s">
        <v>422</v>
      </c>
      <c r="G15" s="8" t="s">
        <v>976</v>
      </c>
      <c r="H15" s="8" t="s">
        <v>172</v>
      </c>
      <c r="I15" s="8" t="s">
        <v>962</v>
      </c>
      <c r="J15" t="s">
        <v>94</v>
      </c>
      <c r="K15" t="s">
        <v>974</v>
      </c>
      <c r="L15" s="22">
        <v>42677.46193287037</v>
      </c>
      <c r="M15">
        <f xml:space="preserve"> M14+(ckAwdTable[ILN]&lt;"M")</f>
        <v>14</v>
      </c>
      <c r="N15" t="s">
        <v>96</v>
      </c>
      <c r="O15" t="s">
        <v>1044</v>
      </c>
      <c r="P15" s="15" t="str">
        <f>HYPERLINK("https://www.ejacket.nsf.gov/ej/showProposal.do?ID="&amp;ckAwdTable[[#This Row],[prop_id]],"eJ")</f>
        <v>eJ</v>
      </c>
      <c r="Q15" s="8" t="s">
        <v>224</v>
      </c>
      <c r="R15" t="s">
        <v>1044</v>
      </c>
      <c r="S15" t="s">
        <v>1045</v>
      </c>
      <c r="T15" t="s">
        <v>1046</v>
      </c>
      <c r="U15" s="8" t="s">
        <v>1028</v>
      </c>
      <c r="V15" t="s">
        <v>280</v>
      </c>
      <c r="W15" s="15" t="str">
        <f>HYPERLINK("mailto:"&amp; ckAwdTable[[#This Row],[email]]&amp;"&amp;subject=Your NSF Proposal:  "&amp;ckAwdTable[[#This Row],[prop_id]], ckAwdTable[[#This Row],[email]])</f>
        <v>hu.nguyen@neu.edu</v>
      </c>
      <c r="X15" s="30">
        <v>42856</v>
      </c>
      <c r="Y15">
        <v>60</v>
      </c>
      <c r="AA15" s="21" t="s">
        <v>13</v>
      </c>
      <c r="AB15" s="21" t="s">
        <v>972</v>
      </c>
      <c r="AC15"/>
      <c r="AD15" s="21" t="s">
        <v>13</v>
      </c>
      <c r="AE15" s="21" t="s">
        <v>274</v>
      </c>
      <c r="AF15" s="21" t="s">
        <v>965</v>
      </c>
      <c r="AG15" s="21" t="str">
        <f>IFERROR(IF(FIND("?",ckAwdTable[[#This Row],[abst_narr_txt]]),SummarizeQuestMarks(ckAwdTable[[#This Row],[abst_narr_txt]]),""),"")</f>
        <v/>
      </c>
      <c r="AI15" s="13">
        <v>534704</v>
      </c>
      <c r="AJ15" s="21">
        <v>0</v>
      </c>
      <c r="AK15" s="1">
        <v>534704</v>
      </c>
      <c r="AL15" s="1"/>
      <c r="AM15" s="1">
        <v>15928</v>
      </c>
      <c r="AP15" s="21">
        <v>5</v>
      </c>
      <c r="AQ15" s="21">
        <v>5</v>
      </c>
      <c r="AR15" s="21">
        <v>5</v>
      </c>
      <c r="AS15" s="21"/>
      <c r="AT15" s="21"/>
      <c r="AU15" s="8" t="s">
        <v>973</v>
      </c>
      <c r="AV15" t="s">
        <v>1048</v>
      </c>
      <c r="AW15" t="b">
        <f>AND(ckAwdTable[[#This Row],[ILN]]&gt;"M", SUBSTITUTE(ckAwdTable[[#This Row],[prop_titl_txt]]," ","")&lt;&gt;SUBSTITUTE(AV14," ",""))</f>
        <v>0</v>
      </c>
      <c r="AX15" s="8" t="s">
        <v>1047</v>
      </c>
      <c r="AY15"/>
      <c r="AZ15"/>
      <c r="BA15"/>
      <c r="BB15"/>
      <c r="BC15"/>
      <c r="BD15"/>
      <c r="BL15"/>
      <c r="BP15"/>
    </row>
    <row r="16" spans="1:68" x14ac:dyDescent="0.4">
      <c r="A16" s="30">
        <v>42740.404988425929</v>
      </c>
      <c r="B16" s="30">
        <v>42571.563888888886</v>
      </c>
      <c r="C16" t="s">
        <v>975</v>
      </c>
      <c r="D16" t="s">
        <v>222</v>
      </c>
      <c r="E16" t="s">
        <v>405</v>
      </c>
      <c r="F16" t="s">
        <v>406</v>
      </c>
      <c r="G16" s="8" t="s">
        <v>992</v>
      </c>
      <c r="H16" s="8" t="s">
        <v>172</v>
      </c>
      <c r="I16" s="8" t="s">
        <v>2135</v>
      </c>
      <c r="J16" t="s">
        <v>94</v>
      </c>
      <c r="K16" t="s">
        <v>974</v>
      </c>
      <c r="L16" s="22">
        <v>42738.658738425926</v>
      </c>
      <c r="M16">
        <f xml:space="preserve"> M15+(ckAwdTable[ILN]&lt;"M")</f>
        <v>15</v>
      </c>
      <c r="N16" t="s">
        <v>96</v>
      </c>
      <c r="O16" t="s">
        <v>1049</v>
      </c>
      <c r="P16" s="15" t="str">
        <f>HYPERLINK("https://www.ejacket.nsf.gov/ej/showProposal.do?ID="&amp;ckAwdTable[[#This Row],[prop_id]],"eJ")</f>
        <v>eJ</v>
      </c>
      <c r="Q16" s="8" t="s">
        <v>224</v>
      </c>
      <c r="R16" t="s">
        <v>1049</v>
      </c>
      <c r="S16" t="s">
        <v>1050</v>
      </c>
      <c r="T16" t="s">
        <v>1051</v>
      </c>
      <c r="U16" s="8" t="s">
        <v>1052</v>
      </c>
      <c r="V16" t="s">
        <v>1053</v>
      </c>
      <c r="W16" s="15" t="str">
        <f>HYPERLINK("mailto:"&amp; ckAwdTable[[#This Row],[email]]&amp;"&amp;subject=Your NSF Proposal:  "&amp;ckAwdTable[[#This Row],[prop_id]], ckAwdTable[[#This Row],[email]])</f>
        <v>donald@engr.uconn.edu</v>
      </c>
      <c r="X16" s="30">
        <v>42767</v>
      </c>
      <c r="Y16">
        <v>60</v>
      </c>
      <c r="AA16" s="21" t="s">
        <v>13</v>
      </c>
      <c r="AB16" s="21" t="s">
        <v>972</v>
      </c>
      <c r="AC16"/>
      <c r="AD16" s="21" t="s">
        <v>13</v>
      </c>
      <c r="AF16" s="21" t="s">
        <v>965</v>
      </c>
      <c r="AG16" s="21" t="str">
        <f>IFERROR(IF(FIND("?",ckAwdTable[[#This Row],[abst_narr_txt]]),SummarizeQuestMarks(ckAwdTable[[#This Row],[abst_narr_txt]]),""),"")</f>
        <v/>
      </c>
      <c r="AH16" s="21" t="s">
        <v>1609</v>
      </c>
      <c r="AI16" s="13">
        <v>511429</v>
      </c>
      <c r="AJ16" s="21">
        <v>0</v>
      </c>
      <c r="AK16" s="1">
        <v>511429</v>
      </c>
      <c r="AL16" s="1"/>
      <c r="AM16" s="1">
        <v>20000</v>
      </c>
      <c r="AP16" s="21">
        <v>5</v>
      </c>
      <c r="AQ16" s="21">
        <v>5</v>
      </c>
      <c r="AR16" s="21">
        <v>5</v>
      </c>
      <c r="AS16" s="21"/>
      <c r="AT16" s="21"/>
      <c r="AU16" s="8" t="s">
        <v>991</v>
      </c>
      <c r="AV16" t="s">
        <v>1056</v>
      </c>
      <c r="AW16" t="b">
        <f>AND(ckAwdTable[[#This Row],[ILN]]&gt;"M", SUBSTITUTE(ckAwdTable[[#This Row],[prop_titl_txt]]," ","")&lt;&gt;SUBSTITUTE(AV15," ",""))</f>
        <v>0</v>
      </c>
      <c r="AX16" s="8" t="s">
        <v>1054</v>
      </c>
      <c r="AY16"/>
      <c r="AZ16"/>
      <c r="BA16"/>
      <c r="BB16"/>
      <c r="BC16"/>
      <c r="BD16"/>
      <c r="BL16"/>
      <c r="BP16"/>
    </row>
    <row r="17" spans="1:68" x14ac:dyDescent="0.4">
      <c r="A17" s="30">
        <v>42677.393472222226</v>
      </c>
      <c r="B17" s="30">
        <v>42571.569444444445</v>
      </c>
      <c r="C17" t="s">
        <v>975</v>
      </c>
      <c r="D17" t="s">
        <v>222</v>
      </c>
      <c r="E17" t="s">
        <v>405</v>
      </c>
      <c r="F17" t="s">
        <v>451</v>
      </c>
      <c r="G17" s="8" t="s">
        <v>976</v>
      </c>
      <c r="H17" s="8" t="s">
        <v>172</v>
      </c>
      <c r="I17" s="8" t="s">
        <v>962</v>
      </c>
      <c r="J17" t="s">
        <v>94</v>
      </c>
      <c r="K17" t="s">
        <v>974</v>
      </c>
      <c r="L17" s="22">
        <v>42677.385023148148</v>
      </c>
      <c r="M17">
        <f xml:space="preserve"> M16+(ckAwdTable[ILN]&lt;"M")</f>
        <v>16</v>
      </c>
      <c r="N17" t="s">
        <v>96</v>
      </c>
      <c r="O17" t="s">
        <v>1057</v>
      </c>
      <c r="P17" s="15" t="str">
        <f>HYPERLINK("https://www.ejacket.nsf.gov/ej/showProposal.do?ID="&amp;ckAwdTable[[#This Row],[prop_id]],"eJ")</f>
        <v>eJ</v>
      </c>
      <c r="Q17" s="8" t="s">
        <v>224</v>
      </c>
      <c r="R17" t="s">
        <v>1057</v>
      </c>
      <c r="S17" t="s">
        <v>1058</v>
      </c>
      <c r="T17" t="s">
        <v>1059</v>
      </c>
      <c r="U17" s="8" t="s">
        <v>1060</v>
      </c>
      <c r="V17" t="s">
        <v>455</v>
      </c>
      <c r="W17" s="15" t="str">
        <f>HYPERLINK("mailto:"&amp; ckAwdTable[[#This Row],[email]]&amp;"&amp;subject=Your NSF Proposal:  "&amp;ckAwdTable[[#This Row],[prop_id]], ckAwdTable[[#This Row],[email]])</f>
        <v>anindya.de1@northwestern.edu</v>
      </c>
      <c r="X17" s="30">
        <v>42736</v>
      </c>
      <c r="Y17">
        <v>60</v>
      </c>
      <c r="AA17" s="21" t="s">
        <v>13</v>
      </c>
      <c r="AB17" s="21" t="s">
        <v>972</v>
      </c>
      <c r="AC17"/>
      <c r="AD17" s="21" t="s">
        <v>13</v>
      </c>
      <c r="AF17" s="21" t="s">
        <v>965</v>
      </c>
      <c r="AG17" s="21" t="str">
        <f>IFERROR(IF(FIND("?",ckAwdTable[[#This Row],[abst_narr_txt]]),SummarizeQuestMarks(ckAwdTable[[#This Row],[abst_narr_txt]]),""),"")</f>
        <v/>
      </c>
      <c r="AI17" s="13">
        <v>502206</v>
      </c>
      <c r="AJ17" s="21">
        <v>0</v>
      </c>
      <c r="AK17" s="1">
        <v>502206</v>
      </c>
      <c r="AL17" s="1"/>
      <c r="AM17" s="1"/>
      <c r="AP17" s="21">
        <v>5</v>
      </c>
      <c r="AQ17" s="21">
        <v>5</v>
      </c>
      <c r="AR17" s="21">
        <v>9</v>
      </c>
      <c r="AS17" s="21"/>
      <c r="AT17" s="21"/>
      <c r="AU17" s="8" t="s">
        <v>973</v>
      </c>
      <c r="AV17" t="s">
        <v>1064</v>
      </c>
      <c r="AW17" t="b">
        <f>AND(ckAwdTable[[#This Row],[ILN]]&gt;"M", SUBSTITUTE(ckAwdTable[[#This Row],[prop_titl_txt]]," ","")&lt;&gt;SUBSTITUTE(AV16," ",""))</f>
        <v>0</v>
      </c>
      <c r="AX17" s="8" t="s">
        <v>1061</v>
      </c>
      <c r="AY17"/>
      <c r="AZ17"/>
      <c r="BA17"/>
      <c r="BB17"/>
      <c r="BC17"/>
      <c r="BD17"/>
      <c r="BL17"/>
      <c r="BP17"/>
    </row>
    <row r="18" spans="1:68" x14ac:dyDescent="0.4">
      <c r="A18" s="30">
        <v>42674.449259259258</v>
      </c>
      <c r="B18" s="30">
        <v>42571.574305555558</v>
      </c>
      <c r="C18" t="s">
        <v>975</v>
      </c>
      <c r="D18" t="s">
        <v>222</v>
      </c>
      <c r="E18" t="s">
        <v>405</v>
      </c>
      <c r="F18" t="s">
        <v>451</v>
      </c>
      <c r="G18" s="8" t="s">
        <v>976</v>
      </c>
      <c r="H18" s="8" t="s">
        <v>172</v>
      </c>
      <c r="I18" s="8" t="s">
        <v>962</v>
      </c>
      <c r="J18" t="s">
        <v>94</v>
      </c>
      <c r="K18" t="s">
        <v>974</v>
      </c>
      <c r="L18" s="22">
        <v>42667.539884259262</v>
      </c>
      <c r="M18">
        <f xml:space="preserve"> M17+(ckAwdTable[ILN]&lt;"M")</f>
        <v>17</v>
      </c>
      <c r="N18" t="s">
        <v>96</v>
      </c>
      <c r="O18" t="s">
        <v>1065</v>
      </c>
      <c r="P18" s="15" t="str">
        <f>HYPERLINK("https://www.ejacket.nsf.gov/ej/showProposal.do?ID="&amp;ckAwdTable[[#This Row],[prop_id]],"eJ")</f>
        <v>eJ</v>
      </c>
      <c r="Q18" s="8" t="s">
        <v>224</v>
      </c>
      <c r="R18" t="s">
        <v>1065</v>
      </c>
      <c r="S18" t="s">
        <v>488</v>
      </c>
      <c r="T18" t="s">
        <v>489</v>
      </c>
      <c r="U18" s="8" t="s">
        <v>490</v>
      </c>
      <c r="V18" t="s">
        <v>491</v>
      </c>
      <c r="W18" s="15" t="str">
        <f>HYPERLINK("mailto:"&amp; ckAwdTable[[#This Row],[email]]&amp;"&amp;subject=Your NSF Proposal:  "&amp;ckAwdTable[[#This Row],[prop_id]], ckAwdTable[[#This Row],[email]])</f>
        <v>debmalya.panigrahi@gmail.com</v>
      </c>
      <c r="X18" s="30">
        <v>42767</v>
      </c>
      <c r="Y18">
        <v>60</v>
      </c>
      <c r="AA18" s="21" t="s">
        <v>13</v>
      </c>
      <c r="AB18" s="21" t="s">
        <v>972</v>
      </c>
      <c r="AC18"/>
      <c r="AD18" s="21" t="s">
        <v>13</v>
      </c>
      <c r="AE18" s="21" t="s">
        <v>274</v>
      </c>
      <c r="AF18" s="21" t="s">
        <v>965</v>
      </c>
      <c r="AG18" s="21" t="str">
        <f>IFERROR(IF(FIND("?",ckAwdTable[[#This Row],[abst_narr_txt]]),SummarizeQuestMarks(ckAwdTable[[#This Row],[abst_narr_txt]]),""),"")</f>
        <v/>
      </c>
      <c r="AI18" s="13">
        <v>529408</v>
      </c>
      <c r="AJ18" s="21">
        <v>0</v>
      </c>
      <c r="AK18" s="1">
        <v>529408</v>
      </c>
      <c r="AL18" s="1"/>
      <c r="AM18" s="1">
        <v>13273</v>
      </c>
      <c r="AO18" s="1">
        <v>16000</v>
      </c>
      <c r="AP18" s="21">
        <v>5</v>
      </c>
      <c r="AQ18" s="21">
        <v>5</v>
      </c>
      <c r="AR18" s="21">
        <v>8</v>
      </c>
      <c r="AS18" s="21"/>
      <c r="AT18" s="21"/>
      <c r="AU18" s="8" t="s">
        <v>973</v>
      </c>
      <c r="AV18" t="s">
        <v>493</v>
      </c>
      <c r="AW18" t="b">
        <f>AND(ckAwdTable[[#This Row],[ILN]]&gt;"M", SUBSTITUTE(ckAwdTable[[#This Row],[prop_titl_txt]]," ","")&lt;&gt;SUBSTITUTE(AV17," ",""))</f>
        <v>0</v>
      </c>
      <c r="AX18" s="8" t="s">
        <v>492</v>
      </c>
      <c r="AY18"/>
      <c r="AZ18"/>
      <c r="BA18"/>
      <c r="BB18"/>
      <c r="BC18"/>
      <c r="BD18"/>
      <c r="BF18" s="1"/>
      <c r="BJ18" s="13"/>
      <c r="BL18"/>
      <c r="BP18"/>
    </row>
    <row r="19" spans="1:68" x14ac:dyDescent="0.4">
      <c r="A19" s="30">
        <v>42724.53979166667</v>
      </c>
      <c r="B19" s="30">
        <v>42571.576388888891</v>
      </c>
      <c r="C19" t="s">
        <v>975</v>
      </c>
      <c r="D19" t="s">
        <v>222</v>
      </c>
      <c r="E19" t="s">
        <v>405</v>
      </c>
      <c r="F19" t="s">
        <v>422</v>
      </c>
      <c r="G19" s="8" t="s">
        <v>992</v>
      </c>
      <c r="H19" s="8" t="s">
        <v>172</v>
      </c>
      <c r="I19" s="8" t="s">
        <v>2135</v>
      </c>
      <c r="J19" t="s">
        <v>94</v>
      </c>
      <c r="K19" t="s">
        <v>974</v>
      </c>
      <c r="L19" s="22">
        <v>42723.511550925927</v>
      </c>
      <c r="M19">
        <f xml:space="preserve"> M18+(ckAwdTable[ILN]&lt;"M")</f>
        <v>18</v>
      </c>
      <c r="N19" t="s">
        <v>96</v>
      </c>
      <c r="O19" t="s">
        <v>1066</v>
      </c>
      <c r="P19" s="15" t="str">
        <f>HYPERLINK("https://www.ejacket.nsf.gov/ej/showProposal.do?ID="&amp;ckAwdTable[[#This Row],[prop_id]],"eJ")</f>
        <v>eJ</v>
      </c>
      <c r="Q19" s="8" t="s">
        <v>224</v>
      </c>
      <c r="R19" t="s">
        <v>1066</v>
      </c>
      <c r="S19" t="s">
        <v>1067</v>
      </c>
      <c r="T19" t="s">
        <v>1068</v>
      </c>
      <c r="U19" s="8" t="s">
        <v>495</v>
      </c>
      <c r="V19" t="s">
        <v>282</v>
      </c>
      <c r="W19" s="15" t="str">
        <f>HYPERLINK("mailto:"&amp; ckAwdTable[[#This Row],[email]]&amp;"&amp;subject=Your NSF Proposal:  "&amp;ckAwdTable[[#This Row],[prop_id]], ckAwdTable[[#This Row],[email]])</f>
        <v>vova@cs.jhu.edu</v>
      </c>
      <c r="X19" s="30">
        <v>42948</v>
      </c>
      <c r="Y19">
        <v>60</v>
      </c>
      <c r="AA19" s="21" t="s">
        <v>13</v>
      </c>
      <c r="AB19" s="21" t="s">
        <v>972</v>
      </c>
      <c r="AC19"/>
      <c r="AD19" s="21" t="s">
        <v>13</v>
      </c>
      <c r="AE19" s="21" t="s">
        <v>274</v>
      </c>
      <c r="AF19" s="21" t="s">
        <v>965</v>
      </c>
      <c r="AG19" s="21" t="str">
        <f>IFERROR(IF(FIND("?",ckAwdTable[[#This Row],[abst_narr_txt]]),SummarizeQuestMarks(ckAwdTable[[#This Row],[abst_narr_txt]]),""),"")</f>
        <v xml:space="preserve">n, ?Wha|ms?? Si| </v>
      </c>
      <c r="AH19" s="21" t="s">
        <v>1640</v>
      </c>
      <c r="AI19" s="13">
        <v>628332</v>
      </c>
      <c r="AJ19" s="21">
        <v>2</v>
      </c>
      <c r="AK19" s="1">
        <v>500000</v>
      </c>
      <c r="AL19" s="1"/>
      <c r="AM19" s="1">
        <v>18337</v>
      </c>
      <c r="AO19" s="1">
        <v>9955</v>
      </c>
      <c r="AP19" s="21">
        <v>5</v>
      </c>
      <c r="AQ19" s="21">
        <v>5</v>
      </c>
      <c r="AR19" s="21"/>
      <c r="AS19" s="21"/>
      <c r="AT19" s="21">
        <v>4.5</v>
      </c>
      <c r="AU19" s="8" t="s">
        <v>991</v>
      </c>
      <c r="AV19" t="s">
        <v>1071</v>
      </c>
      <c r="AW19" t="b">
        <f>AND(ckAwdTable[[#This Row],[ILN]]&gt;"M", SUBSTITUTE(ckAwdTable[[#This Row],[prop_titl_txt]]," ","")&lt;&gt;SUBSTITUTE(AV18," ",""))</f>
        <v>0</v>
      </c>
      <c r="AX19" s="8" t="s">
        <v>1069</v>
      </c>
      <c r="AY19"/>
      <c r="AZ19"/>
      <c r="BA19"/>
      <c r="BB19"/>
      <c r="BC19"/>
      <c r="BD19"/>
      <c r="BF19" s="1"/>
      <c r="BJ19" s="13"/>
      <c r="BL19"/>
      <c r="BP19"/>
    </row>
    <row r="20" spans="1:68" x14ac:dyDescent="0.4">
      <c r="A20" s="30">
        <v>42724.488344907404</v>
      </c>
      <c r="B20" s="30">
        <v>42571.592361111114</v>
      </c>
      <c r="C20" t="s">
        <v>975</v>
      </c>
      <c r="D20" t="s">
        <v>222</v>
      </c>
      <c r="E20" t="s">
        <v>405</v>
      </c>
      <c r="F20" t="s">
        <v>422</v>
      </c>
      <c r="G20" s="8" t="s">
        <v>992</v>
      </c>
      <c r="H20" s="8" t="s">
        <v>172</v>
      </c>
      <c r="I20" s="8" t="s">
        <v>2135</v>
      </c>
      <c r="J20" t="s">
        <v>94</v>
      </c>
      <c r="K20" t="s">
        <v>974</v>
      </c>
      <c r="L20" s="22">
        <v>42723.459907407407</v>
      </c>
      <c r="M20">
        <f xml:space="preserve"> M19+(ckAwdTable[ILN]&lt;"M")</f>
        <v>19</v>
      </c>
      <c r="N20" t="s">
        <v>96</v>
      </c>
      <c r="O20" t="s">
        <v>1072</v>
      </c>
      <c r="P20" s="15" t="str">
        <f>HYPERLINK("https://www.ejacket.nsf.gov/ej/showProposal.do?ID="&amp;ckAwdTable[[#This Row],[prop_id]],"eJ")</f>
        <v>eJ</v>
      </c>
      <c r="Q20" s="8" t="s">
        <v>224</v>
      </c>
      <c r="R20" t="s">
        <v>1072</v>
      </c>
      <c r="S20" t="s">
        <v>1073</v>
      </c>
      <c r="T20" t="s">
        <v>1074</v>
      </c>
      <c r="U20" s="8" t="s">
        <v>1075</v>
      </c>
      <c r="V20" t="s">
        <v>280</v>
      </c>
      <c r="W20" s="15" t="str">
        <f>HYPERLINK("mailto:"&amp; ckAwdTable[[#This Row],[email]]&amp;"&amp;subject=Your NSF Proposal:  "&amp;ckAwdTable[[#This Row],[prop_id]], ckAwdTable[[#This Row],[email]])</f>
        <v>barna@cs.umass.edu</v>
      </c>
      <c r="X20" s="30">
        <v>42917</v>
      </c>
      <c r="Y20">
        <v>60</v>
      </c>
      <c r="AA20" s="21" t="s">
        <v>13</v>
      </c>
      <c r="AB20" s="21" t="s">
        <v>972</v>
      </c>
      <c r="AC20"/>
      <c r="AD20" s="21" t="s">
        <v>13</v>
      </c>
      <c r="AE20" s="21" t="s">
        <v>274</v>
      </c>
      <c r="AF20" s="21" t="s">
        <v>965</v>
      </c>
      <c r="AG20" s="21" t="str">
        <f>IFERROR(IF(FIND("?",ckAwdTable[[#This Row],[abst_narr_txt]]),SummarizeQuestMarks(ckAwdTable[[#This Row],[abst_narr_txt]]),""),"")</f>
        <v xml:space="preserve">ers? An|ime? Th| </v>
      </c>
      <c r="AH20" s="21" t="s">
        <v>1651</v>
      </c>
      <c r="AI20" s="13">
        <v>597084</v>
      </c>
      <c r="AJ20" s="21">
        <v>1</v>
      </c>
      <c r="AK20" s="1">
        <v>549986</v>
      </c>
      <c r="AL20" s="1"/>
      <c r="AM20" s="1">
        <v>17500</v>
      </c>
      <c r="AP20" s="21">
        <v>5</v>
      </c>
      <c r="AQ20" s="21">
        <v>5</v>
      </c>
      <c r="AR20" s="21">
        <v>5</v>
      </c>
      <c r="AS20" s="21"/>
      <c r="AT20" s="21"/>
      <c r="AU20" s="8" t="s">
        <v>991</v>
      </c>
      <c r="AV20" t="s">
        <v>1078</v>
      </c>
      <c r="AW20" t="b">
        <f>AND(ckAwdTable[[#This Row],[ILN]]&gt;"M", SUBSTITUTE(ckAwdTable[[#This Row],[prop_titl_txt]]," ","")&lt;&gt;SUBSTITUTE(AV19," ",""))</f>
        <v>0</v>
      </c>
      <c r="AX20" s="8" t="s">
        <v>1076</v>
      </c>
      <c r="AY20"/>
      <c r="AZ20"/>
      <c r="BA20"/>
      <c r="BB20"/>
      <c r="BC20"/>
      <c r="BD20"/>
      <c r="BF20" s="1"/>
      <c r="BJ20" s="13"/>
      <c r="BL20"/>
      <c r="BP20"/>
    </row>
    <row r="21" spans="1:68" x14ac:dyDescent="0.4">
      <c r="A21" s="30">
        <v>42684.468310185184</v>
      </c>
      <c r="B21" s="30">
        <v>42571.602777777778</v>
      </c>
      <c r="C21" t="s">
        <v>975</v>
      </c>
      <c r="D21" t="s">
        <v>222</v>
      </c>
      <c r="E21" t="s">
        <v>405</v>
      </c>
      <c r="F21" t="s">
        <v>422</v>
      </c>
      <c r="G21" s="8" t="s">
        <v>976</v>
      </c>
      <c r="H21" s="8" t="s">
        <v>172</v>
      </c>
      <c r="I21" s="8" t="s">
        <v>962</v>
      </c>
      <c r="J21" t="s">
        <v>94</v>
      </c>
      <c r="K21" t="s">
        <v>974</v>
      </c>
      <c r="L21" s="22">
        <v>42683.705682870372</v>
      </c>
      <c r="M21">
        <f xml:space="preserve"> M20+(ckAwdTable[ILN]&lt;"M")</f>
        <v>20</v>
      </c>
      <c r="N21" t="s">
        <v>96</v>
      </c>
      <c r="O21" t="s">
        <v>1079</v>
      </c>
      <c r="P21" s="15" t="str">
        <f>HYPERLINK("https://www.ejacket.nsf.gov/ej/showProposal.do?ID="&amp;ckAwdTable[[#This Row],[prop_id]],"eJ")</f>
        <v>eJ</v>
      </c>
      <c r="Q21" s="8" t="s">
        <v>224</v>
      </c>
      <c r="R21" t="s">
        <v>1079</v>
      </c>
      <c r="S21" t="s">
        <v>1080</v>
      </c>
      <c r="T21" t="s">
        <v>1081</v>
      </c>
      <c r="U21" s="8" t="s">
        <v>1082</v>
      </c>
      <c r="V21" t="s">
        <v>279</v>
      </c>
      <c r="W21" s="15" t="str">
        <f>HYPERLINK("mailto:"&amp; ckAwdTable[[#This Row],[email]]&amp;"&amp;subject=Your NSF Proposal:  "&amp;ckAwdTable[[#This Row],[prop_id]], ckAwdTable[[#This Row],[email]])</f>
        <v>sesh@ucsc.edu</v>
      </c>
      <c r="X21" s="30">
        <v>42644</v>
      </c>
      <c r="Y21">
        <v>60</v>
      </c>
      <c r="AA21" s="21" t="s">
        <v>13</v>
      </c>
      <c r="AB21" s="21" t="s">
        <v>972</v>
      </c>
      <c r="AC21"/>
      <c r="AD21" s="21" t="s">
        <v>13</v>
      </c>
      <c r="AF21" s="21" t="s">
        <v>965</v>
      </c>
      <c r="AG21" s="21" t="str">
        <f>IFERROR(IF(FIND("?",ckAwdTable[[#This Row],[abst_narr_txt]]),SummarizeQuestMarks(ckAwdTable[[#This Row],[abst_narr_txt]]),""),"")</f>
        <v/>
      </c>
      <c r="AI21" s="13">
        <v>483059</v>
      </c>
      <c r="AJ21" s="21">
        <v>0</v>
      </c>
      <c r="AK21" s="1">
        <v>483059</v>
      </c>
      <c r="AL21" s="1"/>
      <c r="AM21" s="1"/>
      <c r="AP21" s="21">
        <v>6</v>
      </c>
      <c r="AQ21" s="21">
        <v>5</v>
      </c>
      <c r="AR21" s="21">
        <v>5</v>
      </c>
      <c r="AS21" s="21"/>
      <c r="AT21" s="21"/>
      <c r="AU21" s="8" t="s">
        <v>973</v>
      </c>
      <c r="AV21" t="s">
        <v>1084</v>
      </c>
      <c r="AW21" t="b">
        <f>AND(ckAwdTable[[#This Row],[ILN]]&gt;"M", SUBSTITUTE(ckAwdTable[[#This Row],[prop_titl_txt]]," ","")&lt;&gt;SUBSTITUTE(AV20," ",""))</f>
        <v>0</v>
      </c>
      <c r="AX21" s="8" t="s">
        <v>1083</v>
      </c>
      <c r="AY21"/>
      <c r="AZ21"/>
      <c r="BA21"/>
      <c r="BB21"/>
      <c r="BC21"/>
      <c r="BD21"/>
      <c r="BF21" s="1"/>
      <c r="BJ21" s="13"/>
      <c r="BL21"/>
      <c r="BP21"/>
    </row>
    <row r="22" spans="1:68" x14ac:dyDescent="0.4">
      <c r="A22" s="30">
        <v>42802.699930555558</v>
      </c>
      <c r="B22" s="30">
        <v>42571.640972222223</v>
      </c>
      <c r="C22" t="s">
        <v>975</v>
      </c>
      <c r="D22" t="s">
        <v>222</v>
      </c>
      <c r="E22" t="s">
        <v>405</v>
      </c>
      <c r="F22" t="s">
        <v>451</v>
      </c>
      <c r="G22" s="8" t="s">
        <v>992</v>
      </c>
      <c r="H22" s="8" t="s">
        <v>172</v>
      </c>
      <c r="I22" s="8" t="s">
        <v>2135</v>
      </c>
      <c r="J22" t="s">
        <v>94</v>
      </c>
      <c r="K22" t="s">
        <v>974</v>
      </c>
      <c r="L22" s="22">
        <v>42762.498981481483</v>
      </c>
      <c r="M22">
        <f xml:space="preserve"> M21+(ckAwdTable[ILN]&lt;"M")</f>
        <v>21</v>
      </c>
      <c r="N22" t="s">
        <v>96</v>
      </c>
      <c r="O22" t="s">
        <v>1085</v>
      </c>
      <c r="P22" s="15" t="str">
        <f>HYPERLINK("https://www.ejacket.nsf.gov/ej/showProposal.do?ID="&amp;ckAwdTable[[#This Row],[prop_id]],"eJ")</f>
        <v>eJ</v>
      </c>
      <c r="Q22" s="8" t="s">
        <v>224</v>
      </c>
      <c r="R22" t="s">
        <v>1085</v>
      </c>
      <c r="S22" t="s">
        <v>1086</v>
      </c>
      <c r="T22" t="s">
        <v>1087</v>
      </c>
      <c r="U22" s="8" t="s">
        <v>1060</v>
      </c>
      <c r="V22" t="s">
        <v>455</v>
      </c>
      <c r="W22" s="15" t="str">
        <f>HYPERLINK("mailto:"&amp; ckAwdTable[[#This Row],[email]]&amp;"&amp;subject=Your NSF Proposal:  "&amp;ckAwdTable[[#This Row],[prop_id]], ckAwdTable[[#This Row],[email]])</f>
        <v>aravindv@northwestern.edu</v>
      </c>
      <c r="X22" s="30">
        <v>42736</v>
      </c>
      <c r="Y22">
        <v>60</v>
      </c>
      <c r="AA22" s="21" t="s">
        <v>13</v>
      </c>
      <c r="AB22" s="21" t="s">
        <v>972</v>
      </c>
      <c r="AC22"/>
      <c r="AD22" s="21" t="s">
        <v>13</v>
      </c>
      <c r="AE22" s="21" t="s">
        <v>274</v>
      </c>
      <c r="AF22" s="21" t="s">
        <v>965</v>
      </c>
      <c r="AG22" s="21" t="str">
        <f>IFERROR(IF(FIND("?",ckAwdTable[[#This Row],[abst_narr_txt]]),SummarizeQuestMarks(ckAwdTable[[#This Row],[abst_narr_txt]]),""),"")</f>
        <v/>
      </c>
      <c r="AH22" s="21" t="s">
        <v>1669</v>
      </c>
      <c r="AI22" s="13">
        <v>505251</v>
      </c>
      <c r="AJ22" s="21">
        <v>0</v>
      </c>
      <c r="AK22" s="1">
        <v>505251</v>
      </c>
      <c r="AL22" s="1"/>
      <c r="AM22" s="1">
        <v>10000</v>
      </c>
      <c r="AO22" s="1">
        <v>5000</v>
      </c>
      <c r="AP22" s="21">
        <v>5</v>
      </c>
      <c r="AQ22" s="21">
        <v>5</v>
      </c>
      <c r="AR22" s="21">
        <v>5.5</v>
      </c>
      <c r="AS22" s="21"/>
      <c r="AT22" s="21"/>
      <c r="AU22" s="8" t="s">
        <v>991</v>
      </c>
      <c r="AV22" t="s">
        <v>1089</v>
      </c>
      <c r="AW22" t="b">
        <f>AND(ckAwdTable[[#This Row],[ILN]]&gt;"M", SUBSTITUTE(ckAwdTable[[#This Row],[prop_titl_txt]]," ","")&lt;&gt;SUBSTITUTE(AV21," ",""))</f>
        <v>0</v>
      </c>
      <c r="AX22" s="8" t="s">
        <v>1088</v>
      </c>
      <c r="AY22"/>
      <c r="AZ22"/>
      <c r="BA22"/>
      <c r="BB22"/>
      <c r="BC22"/>
      <c r="BD22"/>
      <c r="BF22" s="1"/>
      <c r="BJ22" s="13"/>
      <c r="BL22"/>
      <c r="BP22"/>
    </row>
    <row r="23" spans="1:68" x14ac:dyDescent="0.4">
      <c r="A23" s="30">
        <v>42682.383391203701</v>
      </c>
      <c r="B23" s="30">
        <v>42571.675000000003</v>
      </c>
      <c r="C23" t="s">
        <v>975</v>
      </c>
      <c r="D23" t="s">
        <v>222</v>
      </c>
      <c r="E23" t="s">
        <v>405</v>
      </c>
      <c r="F23" t="s">
        <v>406</v>
      </c>
      <c r="G23" s="8" t="s">
        <v>976</v>
      </c>
      <c r="H23" s="8" t="s">
        <v>172</v>
      </c>
      <c r="I23" s="8" t="s">
        <v>962</v>
      </c>
      <c r="J23" t="s">
        <v>94</v>
      </c>
      <c r="K23" t="s">
        <v>974</v>
      </c>
      <c r="L23" s="22">
        <v>42681.661168981482</v>
      </c>
      <c r="M23">
        <f xml:space="preserve"> M22+(ckAwdTable[ILN]&lt;"M")</f>
        <v>22</v>
      </c>
      <c r="N23" t="s">
        <v>96</v>
      </c>
      <c r="O23" t="s">
        <v>1090</v>
      </c>
      <c r="P23" s="15" t="str">
        <f>HYPERLINK("https://www.ejacket.nsf.gov/ej/showProposal.do?ID="&amp;ckAwdTable[[#This Row],[prop_id]],"eJ")</f>
        <v>eJ</v>
      </c>
      <c r="Q23" s="8" t="s">
        <v>224</v>
      </c>
      <c r="R23" t="s">
        <v>1090</v>
      </c>
      <c r="S23" t="s">
        <v>1091</v>
      </c>
      <c r="T23" t="s">
        <v>1092</v>
      </c>
      <c r="U23" s="8" t="s">
        <v>1093</v>
      </c>
      <c r="V23" t="s">
        <v>560</v>
      </c>
      <c r="W23" s="15" t="str">
        <f>HYPERLINK("mailto:"&amp; ckAwdTable[[#This Row],[email]]&amp;"&amp;subject=Your NSF Proposal:  "&amp;ckAwdTable[[#This Row],[prop_id]], ckAwdTable[[#This Row],[email]])</f>
        <v>wzeng@cs.fiu.edu</v>
      </c>
      <c r="X23" s="30">
        <v>42917</v>
      </c>
      <c r="Y23">
        <v>60</v>
      </c>
      <c r="AA23" s="21" t="s">
        <v>13</v>
      </c>
      <c r="AB23" s="21" t="s">
        <v>972</v>
      </c>
      <c r="AC23"/>
      <c r="AD23" s="21" t="s">
        <v>13</v>
      </c>
      <c r="AE23" s="21" t="s">
        <v>274</v>
      </c>
      <c r="AF23" s="21" t="s">
        <v>965</v>
      </c>
      <c r="AG23" s="21" t="str">
        <f>IFERROR(IF(FIND("?",ckAwdTable[[#This Row],[abst_narr_txt]]),SummarizeQuestMarks(ckAwdTable[[#This Row],[abst_narr_txt]]),""),"")</f>
        <v/>
      </c>
      <c r="AI23" s="13">
        <v>439758</v>
      </c>
      <c r="AJ23" s="21">
        <v>0</v>
      </c>
      <c r="AK23" s="1">
        <v>439758</v>
      </c>
      <c r="AL23" s="1"/>
      <c r="AM23" s="1">
        <v>20000</v>
      </c>
      <c r="AP23" s="21">
        <v>5</v>
      </c>
      <c r="AQ23" s="21">
        <v>5</v>
      </c>
      <c r="AR23" s="21">
        <v>5</v>
      </c>
      <c r="AS23" s="21"/>
      <c r="AT23" s="21"/>
      <c r="AU23" s="8" t="s">
        <v>973</v>
      </c>
      <c r="AV23" t="s">
        <v>1096</v>
      </c>
      <c r="AW23" t="b">
        <f>AND(ckAwdTable[[#This Row],[ILN]]&gt;"M", SUBSTITUTE(ckAwdTable[[#This Row],[prop_titl_txt]]," ","")&lt;&gt;SUBSTITUTE(AV22," ",""))</f>
        <v>0</v>
      </c>
      <c r="AX23" s="8" t="s">
        <v>1094</v>
      </c>
      <c r="AY23"/>
      <c r="AZ23"/>
      <c r="BA23"/>
      <c r="BB23"/>
      <c r="BC23"/>
      <c r="BD23"/>
      <c r="BF23" s="1"/>
      <c r="BJ23" s="13"/>
      <c r="BL23"/>
      <c r="BP23"/>
    </row>
    <row r="24" spans="1:68" x14ac:dyDescent="0.4">
      <c r="A24" s="30">
        <v>42921.439606481479</v>
      </c>
      <c r="B24" s="30">
        <v>42571.6875</v>
      </c>
      <c r="C24" t="s">
        <v>975</v>
      </c>
      <c r="D24" t="s">
        <v>222</v>
      </c>
      <c r="E24" t="s">
        <v>405</v>
      </c>
      <c r="F24" t="s">
        <v>406</v>
      </c>
      <c r="G24" s="8" t="s">
        <v>976</v>
      </c>
      <c r="H24" s="8" t="s">
        <v>172</v>
      </c>
      <c r="I24" s="8" t="s">
        <v>962</v>
      </c>
      <c r="J24" t="s">
        <v>94</v>
      </c>
      <c r="K24" t="s">
        <v>974</v>
      </c>
      <c r="L24" s="22">
        <v>42674.650416666664</v>
      </c>
      <c r="M24">
        <f xml:space="preserve"> M23+(ckAwdTable[ILN]&lt;"M")</f>
        <v>23</v>
      </c>
      <c r="N24" t="s">
        <v>96</v>
      </c>
      <c r="O24" t="s">
        <v>1097</v>
      </c>
      <c r="P24" s="15" t="str">
        <f>HYPERLINK("https://www.ejacket.nsf.gov/ej/showProposal.do?ID="&amp;ckAwdTable[[#This Row],[prop_id]],"eJ")</f>
        <v>eJ</v>
      </c>
      <c r="Q24" s="8" t="s">
        <v>224</v>
      </c>
      <c r="R24" t="s">
        <v>1097</v>
      </c>
      <c r="S24" t="s">
        <v>523</v>
      </c>
      <c r="T24" t="s">
        <v>524</v>
      </c>
      <c r="U24" s="8" t="s">
        <v>525</v>
      </c>
      <c r="V24" t="s">
        <v>514</v>
      </c>
      <c r="W24" s="15" t="str">
        <f>HYPERLINK("mailto:"&amp; ckAwdTable[[#This Row],[email]]&amp;"&amp;subject=Your NSF Proposal:  "&amp;ckAwdTable[[#This Row],[prop_id]], ckAwdTable[[#This Row],[email]])</f>
        <v>evouga@cs.utexas.edu</v>
      </c>
      <c r="X24" s="30">
        <v>42948</v>
      </c>
      <c r="Y24">
        <v>60</v>
      </c>
      <c r="AA24" s="21" t="s">
        <v>13</v>
      </c>
      <c r="AB24" s="21" t="s">
        <v>972</v>
      </c>
      <c r="AC24"/>
      <c r="AD24" s="21" t="s">
        <v>13</v>
      </c>
      <c r="AF24" s="21" t="s">
        <v>965</v>
      </c>
      <c r="AG24" s="21" t="str">
        <f>IFERROR(IF(FIND("?",ckAwdTable[[#This Row],[abst_narr_txt]]),SummarizeQuestMarks(ckAwdTable[[#This Row],[abst_narr_txt]]),""),"")</f>
        <v/>
      </c>
      <c r="AI24" s="13">
        <v>501317</v>
      </c>
      <c r="AJ24" s="21">
        <v>0</v>
      </c>
      <c r="AK24" s="1">
        <v>501317</v>
      </c>
      <c r="AL24" s="1"/>
      <c r="AM24" s="1">
        <v>10000</v>
      </c>
      <c r="AP24" s="21">
        <v>8</v>
      </c>
      <c r="AQ24" s="21">
        <v>5</v>
      </c>
      <c r="AR24" s="21">
        <v>2</v>
      </c>
      <c r="AS24" s="21"/>
      <c r="AT24" s="21"/>
      <c r="AU24" s="8" t="s">
        <v>973</v>
      </c>
      <c r="AV24" t="s">
        <v>1099</v>
      </c>
      <c r="AW24" t="b">
        <f>AND(ckAwdTable[[#This Row],[ILN]]&gt;"M", SUBSTITUTE(ckAwdTable[[#This Row],[prop_titl_txt]]," ","")&lt;&gt;SUBSTITUTE(AV23," ",""))</f>
        <v>0</v>
      </c>
      <c r="AX24" s="8" t="s">
        <v>526</v>
      </c>
      <c r="AY24"/>
      <c r="AZ24"/>
      <c r="BA24"/>
      <c r="BB24"/>
      <c r="BC24"/>
      <c r="BD24"/>
      <c r="BF24" s="1"/>
      <c r="BJ24" s="13"/>
      <c r="BL24"/>
      <c r="BP24"/>
    </row>
    <row r="25" spans="1:68" x14ac:dyDescent="0.4">
      <c r="A25" s="30">
        <v>42716.515243055554</v>
      </c>
      <c r="B25" s="30">
        <v>42571.726388888892</v>
      </c>
      <c r="C25" t="s">
        <v>975</v>
      </c>
      <c r="D25" t="s">
        <v>222</v>
      </c>
      <c r="E25" t="s">
        <v>405</v>
      </c>
      <c r="F25" t="s">
        <v>451</v>
      </c>
      <c r="G25" s="8" t="s">
        <v>976</v>
      </c>
      <c r="H25" s="8" t="s">
        <v>172</v>
      </c>
      <c r="I25" s="8" t="s">
        <v>962</v>
      </c>
      <c r="J25" t="s">
        <v>94</v>
      </c>
      <c r="K25" t="s">
        <v>974</v>
      </c>
      <c r="L25" s="22">
        <v>42715.928981481484</v>
      </c>
      <c r="M25">
        <f xml:space="preserve"> M24+(ckAwdTable[ILN]&lt;"M")</f>
        <v>24</v>
      </c>
      <c r="N25" t="s">
        <v>96</v>
      </c>
      <c r="O25" t="s">
        <v>1100</v>
      </c>
      <c r="P25" s="15" t="str">
        <f>HYPERLINK("https://www.ejacket.nsf.gov/ej/showProposal.do?ID="&amp;ckAwdTable[[#This Row],[prop_id]],"eJ")</f>
        <v>eJ</v>
      </c>
      <c r="Q25" s="8" t="s">
        <v>224</v>
      </c>
      <c r="R25" t="s">
        <v>1100</v>
      </c>
      <c r="S25" t="s">
        <v>1101</v>
      </c>
      <c r="T25" t="s">
        <v>1102</v>
      </c>
      <c r="U25" s="8" t="s">
        <v>525</v>
      </c>
      <c r="V25" t="s">
        <v>514</v>
      </c>
      <c r="W25" s="15" t="str">
        <f>HYPERLINK("mailto:"&amp; ckAwdTable[[#This Row],[email]]&amp;"&amp;subject=Your NSF Proposal:  "&amp;ckAwdTable[[#This Row],[prop_id]], ckAwdTable[[#This Row],[email]])</f>
        <v>ecprice@cs.utexas.edu</v>
      </c>
      <c r="X25" s="30">
        <v>42979</v>
      </c>
      <c r="Y25">
        <v>60</v>
      </c>
      <c r="AA25" s="21" t="s">
        <v>13</v>
      </c>
      <c r="AB25" s="21" t="s">
        <v>972</v>
      </c>
      <c r="AC25"/>
      <c r="AD25" s="21" t="s">
        <v>13</v>
      </c>
      <c r="AF25" s="21" t="s">
        <v>965</v>
      </c>
      <c r="AG25" s="21" t="str">
        <f>IFERROR(IF(FIND("?",ckAwdTable[[#This Row],[abst_narr_txt]]),SummarizeQuestMarks(ckAwdTable[[#This Row],[abst_narr_txt]]),""),"")</f>
        <v/>
      </c>
      <c r="AI25" s="13">
        <v>499916</v>
      </c>
      <c r="AJ25" s="21">
        <v>0</v>
      </c>
      <c r="AK25" s="1">
        <v>499916</v>
      </c>
      <c r="AL25" s="1"/>
      <c r="AM25" s="1">
        <v>9500</v>
      </c>
      <c r="AP25" s="21">
        <v>5</v>
      </c>
      <c r="AQ25" s="21">
        <v>5</v>
      </c>
      <c r="AR25" s="21">
        <v>5</v>
      </c>
      <c r="AS25" s="21"/>
      <c r="AT25" s="21"/>
      <c r="AU25" s="8" t="s">
        <v>973</v>
      </c>
      <c r="AV25" t="s">
        <v>1104</v>
      </c>
      <c r="AW25" t="b">
        <f>AND(ckAwdTable[[#This Row],[ILN]]&gt;"M", SUBSTITUTE(ckAwdTable[[#This Row],[prop_titl_txt]]," ","")&lt;&gt;SUBSTITUTE(AV24," ",""))</f>
        <v>0</v>
      </c>
      <c r="AX25" s="8" t="s">
        <v>1103</v>
      </c>
      <c r="AY25"/>
      <c r="AZ25"/>
      <c r="BA25"/>
      <c r="BB25"/>
      <c r="BC25"/>
      <c r="BD25"/>
      <c r="BF25" s="1"/>
      <c r="BJ25" s="13"/>
      <c r="BL25"/>
      <c r="BP25"/>
    </row>
    <row r="26" spans="1:68" x14ac:dyDescent="0.4">
      <c r="A26" s="30">
        <v>42682.56795138889</v>
      </c>
      <c r="B26" s="30">
        <v>42571.730555555558</v>
      </c>
      <c r="C26" t="s">
        <v>975</v>
      </c>
      <c r="D26" t="s">
        <v>222</v>
      </c>
      <c r="E26" t="s">
        <v>405</v>
      </c>
      <c r="F26" t="s">
        <v>406</v>
      </c>
      <c r="G26" s="8" t="s">
        <v>976</v>
      </c>
      <c r="H26" s="8" t="s">
        <v>172</v>
      </c>
      <c r="I26" s="8" t="s">
        <v>962</v>
      </c>
      <c r="J26" t="s">
        <v>94</v>
      </c>
      <c r="K26" t="s">
        <v>974</v>
      </c>
      <c r="L26" s="22">
        <v>42681.576493055552</v>
      </c>
      <c r="M26">
        <f xml:space="preserve"> M25+(ckAwdTable[ILN]&lt;"M")</f>
        <v>25</v>
      </c>
      <c r="N26" t="s">
        <v>96</v>
      </c>
      <c r="O26" t="s">
        <v>1105</v>
      </c>
      <c r="P26" s="15" t="str">
        <f>HYPERLINK("https://www.ejacket.nsf.gov/ej/showProposal.do?ID="&amp;ckAwdTable[[#This Row],[prop_id]],"eJ")</f>
        <v>eJ</v>
      </c>
      <c r="Q26" s="8" t="s">
        <v>224</v>
      </c>
      <c r="R26" t="s">
        <v>1105</v>
      </c>
      <c r="S26" t="s">
        <v>517</v>
      </c>
      <c r="T26" t="s">
        <v>518</v>
      </c>
      <c r="U26" s="8" t="s">
        <v>519</v>
      </c>
      <c r="V26" t="s">
        <v>514</v>
      </c>
      <c r="W26" s="15" t="str">
        <f>HYPERLINK("mailto:"&amp; ckAwdTable[[#This Row],[email]]&amp;"&amp;subject=Your NSF Proposal:  "&amp;ckAwdTable[[#This Row],[prop_id]], ckAwdTable[[#This Row],[email]])</f>
        <v>MATTHEW.GIBSON@UTSA.EDU</v>
      </c>
      <c r="X26" s="30">
        <v>42736</v>
      </c>
      <c r="Y26">
        <v>60</v>
      </c>
      <c r="Z26" t="s">
        <v>2136</v>
      </c>
      <c r="AA26" s="21" t="s">
        <v>2137</v>
      </c>
      <c r="AB26" s="21" t="s">
        <v>972</v>
      </c>
      <c r="AC26"/>
      <c r="AD26" s="21" t="s">
        <v>13</v>
      </c>
      <c r="AF26" s="21" t="s">
        <v>965</v>
      </c>
      <c r="AG26" s="21" t="str">
        <f>IFERROR(IF(FIND("?",ckAwdTable[[#This Row],[abst_narr_txt]]),SummarizeQuestMarks(ckAwdTable[[#This Row],[abst_narr_txt]]),""),"")</f>
        <v/>
      </c>
      <c r="AI26" s="13">
        <v>672214</v>
      </c>
      <c r="AJ26" s="21">
        <v>0</v>
      </c>
      <c r="AK26" s="1">
        <v>672214</v>
      </c>
      <c r="AL26" s="1"/>
      <c r="AM26" s="1">
        <v>12250</v>
      </c>
      <c r="AO26" s="1">
        <v>16000</v>
      </c>
      <c r="AP26" s="21">
        <v>10</v>
      </c>
      <c r="AQ26" s="21">
        <v>5</v>
      </c>
      <c r="AR26" s="21">
        <v>5</v>
      </c>
      <c r="AS26" s="21"/>
      <c r="AT26" s="21"/>
      <c r="AU26" s="8" t="s">
        <v>973</v>
      </c>
      <c r="AV26" t="s">
        <v>1107</v>
      </c>
      <c r="AW26" t="b">
        <f>AND(ckAwdTable[[#This Row],[ILN]]&gt;"M", SUBSTITUTE(ckAwdTable[[#This Row],[prop_titl_txt]]," ","")&lt;&gt;SUBSTITUTE(AV25," ",""))</f>
        <v>0</v>
      </c>
      <c r="AX26" s="8" t="s">
        <v>520</v>
      </c>
      <c r="AY26"/>
      <c r="AZ26"/>
      <c r="BA26"/>
      <c r="BB26"/>
      <c r="BC26"/>
      <c r="BD26"/>
      <c r="BF26" s="1"/>
      <c r="BJ26" s="13"/>
      <c r="BL26"/>
      <c r="BP26"/>
    </row>
    <row r="27" spans="1:68" x14ac:dyDescent="0.4">
      <c r="A27" s="30">
        <v>42724.644189814811</v>
      </c>
      <c r="B27" s="30">
        <v>42571.734027777777</v>
      </c>
      <c r="C27" t="s">
        <v>975</v>
      </c>
      <c r="D27" t="s">
        <v>222</v>
      </c>
      <c r="E27" t="s">
        <v>405</v>
      </c>
      <c r="F27" t="s">
        <v>451</v>
      </c>
      <c r="G27" s="8" t="s">
        <v>992</v>
      </c>
      <c r="H27" s="8" t="s">
        <v>172</v>
      </c>
      <c r="I27" s="8" t="s">
        <v>2135</v>
      </c>
      <c r="J27" t="s">
        <v>94</v>
      </c>
      <c r="K27" t="s">
        <v>974</v>
      </c>
      <c r="L27" s="22">
        <v>42719.660844907405</v>
      </c>
      <c r="M27">
        <f xml:space="preserve"> M26+(ckAwdTable[ILN]&lt;"M")</f>
        <v>26</v>
      </c>
      <c r="N27" t="s">
        <v>96</v>
      </c>
      <c r="O27" t="s">
        <v>1108</v>
      </c>
      <c r="P27" s="15" t="str">
        <f>HYPERLINK("https://www.ejacket.nsf.gov/ej/showProposal.do?ID="&amp;ckAwdTable[[#This Row],[prop_id]],"eJ")</f>
        <v>eJ</v>
      </c>
      <c r="Q27" s="8" t="s">
        <v>224</v>
      </c>
      <c r="R27" t="s">
        <v>1108</v>
      </c>
      <c r="S27" t="s">
        <v>1109</v>
      </c>
      <c r="T27" t="s">
        <v>1110</v>
      </c>
      <c r="U27" s="8" t="s">
        <v>1111</v>
      </c>
      <c r="V27" t="s">
        <v>279</v>
      </c>
      <c r="W27" s="15" t="str">
        <f>HYPERLINK("mailto:"&amp; ckAwdTable[[#This Row],[email]]&amp;"&amp;subject=Your NSF Proposal:  "&amp;ckAwdTable[[#This Row],[prop_id]], ckAwdTable[[#This Row],[email]])</f>
        <v>diakonik@usc.edu</v>
      </c>
      <c r="X27" s="30">
        <v>42767</v>
      </c>
      <c r="Y27">
        <v>60</v>
      </c>
      <c r="AA27" s="21" t="s">
        <v>13</v>
      </c>
      <c r="AB27" s="21" t="s">
        <v>972</v>
      </c>
      <c r="AC27"/>
      <c r="AD27" s="21" t="s">
        <v>13</v>
      </c>
      <c r="AE27" s="21" t="s">
        <v>2138</v>
      </c>
      <c r="AF27" s="21" t="s">
        <v>965</v>
      </c>
      <c r="AG27" s="21" t="str">
        <f>IFERROR(IF(FIND("?",ckAwdTable[[#This Row],[abst_narr_txt]]),SummarizeQuestMarks(ckAwdTable[[#This Row],[abst_narr_txt]]),""),"")</f>
        <v/>
      </c>
      <c r="AH27" s="21" t="s">
        <v>1726</v>
      </c>
      <c r="AI27" s="13">
        <v>601594</v>
      </c>
      <c r="AJ27" s="21">
        <v>1</v>
      </c>
      <c r="AK27" s="1">
        <v>540000</v>
      </c>
      <c r="AL27" s="1"/>
      <c r="AM27" s="1">
        <v>21500</v>
      </c>
      <c r="AO27" s="1">
        <v>15000</v>
      </c>
      <c r="AP27" s="21">
        <v>5</v>
      </c>
      <c r="AQ27" s="21">
        <v>5</v>
      </c>
      <c r="AR27" s="21">
        <v>5</v>
      </c>
      <c r="AS27" s="21"/>
      <c r="AT27" s="21"/>
      <c r="AU27" s="8" t="s">
        <v>991</v>
      </c>
      <c r="AV27" t="s">
        <v>1113</v>
      </c>
      <c r="AW27" t="b">
        <f>AND(ckAwdTable[[#This Row],[ILN]]&gt;"M", SUBSTITUTE(ckAwdTable[[#This Row],[prop_titl_txt]]," ","")&lt;&gt;SUBSTITUTE(AV26," ",""))</f>
        <v>0</v>
      </c>
      <c r="AX27" s="8" t="s">
        <v>1112</v>
      </c>
      <c r="AY27"/>
      <c r="AZ27"/>
      <c r="BA27"/>
      <c r="BB27"/>
      <c r="BC27"/>
      <c r="BD27"/>
      <c r="BF27" s="1"/>
      <c r="BJ27" s="13"/>
      <c r="BL27"/>
      <c r="BP27"/>
    </row>
    <row r="28" spans="1:68" x14ac:dyDescent="0.4">
      <c r="A28" s="30">
        <v>42677.401122685187</v>
      </c>
      <c r="B28" s="30">
        <v>42571.899305555555</v>
      </c>
      <c r="C28" t="s">
        <v>975</v>
      </c>
      <c r="D28" t="s">
        <v>222</v>
      </c>
      <c r="E28" t="s">
        <v>405</v>
      </c>
      <c r="F28" t="s">
        <v>422</v>
      </c>
      <c r="G28" s="8" t="s">
        <v>976</v>
      </c>
      <c r="H28" s="8" t="s">
        <v>172</v>
      </c>
      <c r="I28" s="8" t="s">
        <v>962</v>
      </c>
      <c r="J28" t="s">
        <v>94</v>
      </c>
      <c r="K28" t="s">
        <v>974</v>
      </c>
      <c r="L28" s="22">
        <v>42676.678472222222</v>
      </c>
      <c r="M28">
        <f xml:space="preserve"> M27+(ckAwdTable[ILN]&lt;"M")</f>
        <v>27</v>
      </c>
      <c r="N28" t="s">
        <v>96</v>
      </c>
      <c r="O28" t="s">
        <v>1114</v>
      </c>
      <c r="P28" s="15" t="str">
        <f>HYPERLINK("https://www.ejacket.nsf.gov/ej/showProposal.do?ID="&amp;ckAwdTable[[#This Row],[prop_id]],"eJ")</f>
        <v>eJ</v>
      </c>
      <c r="Q28" s="8" t="s">
        <v>224</v>
      </c>
      <c r="R28" t="s">
        <v>1114</v>
      </c>
      <c r="S28" t="s">
        <v>541</v>
      </c>
      <c r="T28" t="s">
        <v>542</v>
      </c>
      <c r="U28" s="8" t="s">
        <v>543</v>
      </c>
      <c r="V28" t="s">
        <v>101</v>
      </c>
      <c r="W28" s="15" t="str">
        <f>HYPERLINK("mailto:"&amp; ckAwdTable[[#This Row],[email]]&amp;"&amp;subject=Your NSF Proposal:  "&amp;ckAwdTable[[#This Row],[prop_id]], ckAwdTable[[#This Row],[email]])</f>
        <v>nodari@hawaii.edu</v>
      </c>
      <c r="X28" s="30">
        <v>42795</v>
      </c>
      <c r="Y28">
        <v>60</v>
      </c>
      <c r="AA28" s="21" t="s">
        <v>13</v>
      </c>
      <c r="AB28" s="21" t="s">
        <v>972</v>
      </c>
      <c r="AC28"/>
      <c r="AD28" s="21" t="s">
        <v>13</v>
      </c>
      <c r="AF28" s="21" t="s">
        <v>965</v>
      </c>
      <c r="AG28" s="21" t="str">
        <f>IFERROR(IF(FIND("?",ckAwdTable[[#This Row],[abst_narr_txt]]),SummarizeQuestMarks(ckAwdTable[[#This Row],[abst_narr_txt]]),""),"")</f>
        <v/>
      </c>
      <c r="AI28" s="13">
        <v>542978</v>
      </c>
      <c r="AJ28" s="21">
        <v>0</v>
      </c>
      <c r="AK28" s="1">
        <v>542978</v>
      </c>
      <c r="AL28" s="1"/>
      <c r="AM28" s="1">
        <v>25000</v>
      </c>
      <c r="AP28" s="21">
        <v>5</v>
      </c>
      <c r="AQ28" s="21">
        <v>5</v>
      </c>
      <c r="AR28" s="21">
        <v>5.5</v>
      </c>
      <c r="AS28" s="21">
        <v>3.39</v>
      </c>
      <c r="AT28" s="21"/>
      <c r="AU28" s="8" t="s">
        <v>973</v>
      </c>
      <c r="AV28" t="s">
        <v>547</v>
      </c>
      <c r="AW28" t="b">
        <f>AND(ckAwdTable[[#This Row],[ILN]]&gt;"M", SUBSTITUTE(ckAwdTable[[#This Row],[prop_titl_txt]]," ","")&lt;&gt;SUBSTITUTE(AV27," ",""))</f>
        <v>0</v>
      </c>
      <c r="AX28" s="8" t="s">
        <v>544</v>
      </c>
      <c r="AY28"/>
      <c r="AZ28"/>
      <c r="BA28"/>
      <c r="BB28"/>
      <c r="BC28"/>
      <c r="BD28"/>
      <c r="BF28" s="1"/>
      <c r="BJ28" s="13"/>
      <c r="BL28"/>
      <c r="BP28"/>
    </row>
    <row r="29" spans="1:68" x14ac:dyDescent="0.4">
      <c r="A29" s="30">
        <v>42721.748391203706</v>
      </c>
      <c r="B29" s="30">
        <v>42576.481944444444</v>
      </c>
      <c r="C29" t="s">
        <v>975</v>
      </c>
      <c r="D29" t="s">
        <v>1117</v>
      </c>
      <c r="E29" t="s">
        <v>1118</v>
      </c>
      <c r="F29" t="s">
        <v>1119</v>
      </c>
      <c r="G29" s="8" t="s">
        <v>976</v>
      </c>
      <c r="H29" s="8" t="s">
        <v>172</v>
      </c>
      <c r="I29" s="8" t="s">
        <v>962</v>
      </c>
      <c r="J29" t="s">
        <v>94</v>
      </c>
      <c r="K29" t="s">
        <v>1116</v>
      </c>
      <c r="L29" s="22">
        <v>42712.581944444442</v>
      </c>
      <c r="M29">
        <f xml:space="preserve"> M28+(ckAwdTable[ILN]&lt;"M")</f>
        <v>28</v>
      </c>
      <c r="N29" t="s">
        <v>96</v>
      </c>
      <c r="O29" t="s">
        <v>1121</v>
      </c>
      <c r="P29" s="15" t="str">
        <f>HYPERLINK("https://www.ejacket.nsf.gov/ej/showProposal.do?ID="&amp;ckAwdTable[[#This Row],[prop_id]],"eJ")</f>
        <v>eJ</v>
      </c>
      <c r="Q29" s="8" t="s">
        <v>1120</v>
      </c>
      <c r="R29" t="s">
        <v>1121</v>
      </c>
      <c r="S29" t="s">
        <v>1122</v>
      </c>
      <c r="T29" t="s">
        <v>1123</v>
      </c>
      <c r="U29" s="8" t="s">
        <v>424</v>
      </c>
      <c r="V29" t="s">
        <v>276</v>
      </c>
      <c r="W29" s="15" t="str">
        <f>HYPERLINK("mailto:"&amp; ckAwdTable[[#This Row],[email]]&amp;"&amp;subject=Your NSF Proposal:  "&amp;ckAwdTable[[#This Row],[prop_id]], ckAwdTable[[#This Row],[email]])</f>
        <v>kmcrane@cs.cmu.edu</v>
      </c>
      <c r="X29" s="30">
        <v>42736</v>
      </c>
      <c r="Y29">
        <v>60</v>
      </c>
      <c r="AA29" s="21" t="s">
        <v>13</v>
      </c>
      <c r="AB29" s="21" t="s">
        <v>972</v>
      </c>
      <c r="AC29"/>
      <c r="AD29" s="21" t="s">
        <v>13</v>
      </c>
      <c r="AF29" s="21" t="s">
        <v>965</v>
      </c>
      <c r="AG29" s="21" t="str">
        <f>IFERROR(IF(FIND("?",ckAwdTable[[#This Row],[abst_narr_txt]]),SummarizeQuestMarks(ckAwdTable[[#This Row],[abst_narr_txt]]),""),"")</f>
        <v/>
      </c>
      <c r="AI29" s="13">
        <v>514170</v>
      </c>
      <c r="AJ29" s="21">
        <v>0</v>
      </c>
      <c r="AK29" s="1">
        <v>514170</v>
      </c>
      <c r="AL29" s="1"/>
      <c r="AM29" s="1"/>
      <c r="AP29" s="21">
        <v>5</v>
      </c>
      <c r="AQ29" s="21">
        <v>5</v>
      </c>
      <c r="AR29" s="21">
        <v>2.5</v>
      </c>
      <c r="AS29" s="21"/>
      <c r="AT29" s="21"/>
      <c r="AU29" s="8" t="s">
        <v>973</v>
      </c>
      <c r="AV29" t="s">
        <v>1126</v>
      </c>
      <c r="AW29" t="b">
        <f>AND(ckAwdTable[[#This Row],[ILN]]&gt;"M", SUBSTITUTE(ckAwdTable[[#This Row],[prop_titl_txt]]," ","")&lt;&gt;SUBSTITUTE(AV28," ",""))</f>
        <v>0</v>
      </c>
      <c r="AX29" s="8" t="s">
        <v>1124</v>
      </c>
      <c r="AY29"/>
      <c r="AZ29"/>
      <c r="BA29"/>
      <c r="BB29"/>
      <c r="BC29"/>
      <c r="BD29"/>
      <c r="BF29" s="1"/>
      <c r="BJ29" s="13"/>
      <c r="BL29"/>
      <c r="BP29"/>
    </row>
    <row r="30" spans="1:68" x14ac:dyDescent="0.4">
      <c r="A30" s="30">
        <v>42682.568460648145</v>
      </c>
      <c r="B30" s="30">
        <v>42576.672222222223</v>
      </c>
      <c r="C30" t="s">
        <v>975</v>
      </c>
      <c r="D30" t="s">
        <v>222</v>
      </c>
      <c r="E30" t="s">
        <v>405</v>
      </c>
      <c r="F30" t="s">
        <v>406</v>
      </c>
      <c r="G30" s="8" t="s">
        <v>976</v>
      </c>
      <c r="H30" s="8" t="s">
        <v>172</v>
      </c>
      <c r="I30" s="8" t="s">
        <v>962</v>
      </c>
      <c r="J30" t="s">
        <v>94</v>
      </c>
      <c r="K30" t="s">
        <v>974</v>
      </c>
      <c r="L30" s="22">
        <v>42682.524143518516</v>
      </c>
      <c r="M30">
        <f xml:space="preserve"> M29+(ckAwdTable[ILN]&lt;"M")</f>
        <v>29</v>
      </c>
      <c r="N30" t="s">
        <v>96</v>
      </c>
      <c r="O30" t="s">
        <v>1127</v>
      </c>
      <c r="P30" s="15" t="str">
        <f>HYPERLINK("https://www.ejacket.nsf.gov/ej/showProposal.do?ID="&amp;ckAwdTable[[#This Row],[prop_id]],"eJ")</f>
        <v>eJ</v>
      </c>
      <c r="Q30" s="8" t="s">
        <v>224</v>
      </c>
      <c r="R30" t="s">
        <v>1127</v>
      </c>
      <c r="S30" t="s">
        <v>1128</v>
      </c>
      <c r="T30" t="s">
        <v>1129</v>
      </c>
      <c r="U30" s="8" t="s">
        <v>1130</v>
      </c>
      <c r="V30" t="s">
        <v>99</v>
      </c>
      <c r="W30" s="15" t="str">
        <f>HYPERLINK("mailto:"&amp; ckAwdTable[[#This Row],[email]]&amp;"&amp;subject=Your NSF Proposal:  "&amp;ckAwdTable[[#This Row],[prop_id]], ckAwdTable[[#This Row],[email]])</f>
        <v>lukeoeding@gmail.com</v>
      </c>
      <c r="X30" s="30">
        <v>42870</v>
      </c>
      <c r="Y30">
        <v>60</v>
      </c>
      <c r="AA30" s="21" t="s">
        <v>13</v>
      </c>
      <c r="AB30" s="21" t="s">
        <v>972</v>
      </c>
      <c r="AC30"/>
      <c r="AD30" s="21" t="s">
        <v>13</v>
      </c>
      <c r="AF30" s="21" t="s">
        <v>965</v>
      </c>
      <c r="AG30" s="21" t="str">
        <f>IFERROR(IF(FIND("?",ckAwdTable[[#This Row],[abst_narr_txt]]),SummarizeQuestMarks(ckAwdTable[[#This Row],[abst_narr_txt]]),""),"")</f>
        <v/>
      </c>
      <c r="AI30" s="13">
        <v>601079</v>
      </c>
      <c r="AJ30" s="21">
        <v>0</v>
      </c>
      <c r="AK30" s="1">
        <v>601079</v>
      </c>
      <c r="AL30" s="1"/>
      <c r="AM30" s="1">
        <v>37500</v>
      </c>
      <c r="AO30" s="1">
        <v>10000</v>
      </c>
      <c r="AP30" s="21">
        <v>10</v>
      </c>
      <c r="AQ30" s="21">
        <v>5</v>
      </c>
      <c r="AR30" s="21">
        <v>10</v>
      </c>
      <c r="AS30" s="21"/>
      <c r="AT30" s="21"/>
      <c r="AU30" s="8" t="s">
        <v>973</v>
      </c>
      <c r="AV30" t="s">
        <v>1134</v>
      </c>
      <c r="AW30" t="b">
        <f>AND(ckAwdTable[[#This Row],[ILN]]&gt;"M", SUBSTITUTE(ckAwdTable[[#This Row],[prop_titl_txt]]," ","")&lt;&gt;SUBSTITUTE(AV29," ",""))</f>
        <v>0</v>
      </c>
      <c r="AX30" s="8" t="s">
        <v>1131</v>
      </c>
      <c r="AY30"/>
      <c r="AZ30"/>
      <c r="BA30"/>
      <c r="BB30"/>
      <c r="BC30"/>
      <c r="BD30"/>
      <c r="BF30" s="1"/>
      <c r="BJ30" s="13"/>
      <c r="BL30"/>
      <c r="BP30"/>
    </row>
    <row r="31" spans="1:68" x14ac:dyDescent="0.4">
      <c r="A31" s="30">
        <v>42954.663657407407</v>
      </c>
      <c r="B31" s="30">
        <v>42807.46597222222</v>
      </c>
      <c r="C31" t="s">
        <v>1136</v>
      </c>
      <c r="D31" t="s">
        <v>222</v>
      </c>
      <c r="E31" t="s">
        <v>1137</v>
      </c>
      <c r="F31" t="s">
        <v>451</v>
      </c>
      <c r="G31" s="8" t="s">
        <v>976</v>
      </c>
      <c r="H31" s="8" t="s">
        <v>172</v>
      </c>
      <c r="I31" s="8" t="s">
        <v>962</v>
      </c>
      <c r="J31" t="s">
        <v>94</v>
      </c>
      <c r="K31" t="s">
        <v>1135</v>
      </c>
      <c r="L31" s="22">
        <v>42951.478125000001</v>
      </c>
      <c r="M31">
        <f xml:space="preserve"> M30+(ckAwdTable[ILN]&lt;"M")</f>
        <v>30</v>
      </c>
      <c r="N31" t="s">
        <v>96</v>
      </c>
      <c r="O31" t="s">
        <v>1138</v>
      </c>
      <c r="P31" s="15" t="str">
        <f>HYPERLINK("https://www.ejacket.nsf.gov/ej/showProposal.do?ID="&amp;ckAwdTable[[#This Row],[prop_id]],"eJ")</f>
        <v>eJ</v>
      </c>
      <c r="Q31" s="8" t="s">
        <v>224</v>
      </c>
      <c r="R31" t="s">
        <v>1138</v>
      </c>
      <c r="S31" t="s">
        <v>1139</v>
      </c>
      <c r="T31" t="s">
        <v>273</v>
      </c>
      <c r="U31" s="8" t="s">
        <v>1140</v>
      </c>
      <c r="V31" t="s">
        <v>281</v>
      </c>
      <c r="W31" s="15" t="str">
        <f>HYPERLINK("mailto:"&amp; ckAwdTable[[#This Row],[email]]&amp;"&amp;subject=Your NSF Proposal:  "&amp;ckAwdTable[[#This Row],[prop_id]], ckAwdTable[[#This Row],[email]])</f>
        <v>mshub@ccny.cuny.edu</v>
      </c>
      <c r="X31" s="30">
        <v>42972</v>
      </c>
      <c r="Y31">
        <v>36</v>
      </c>
      <c r="AA31" s="21" t="s">
        <v>13</v>
      </c>
      <c r="AB31" s="21" t="s">
        <v>972</v>
      </c>
      <c r="AC31"/>
      <c r="AD31" s="21" t="s">
        <v>13</v>
      </c>
      <c r="AF31" s="21" t="s">
        <v>965</v>
      </c>
      <c r="AG31" s="21" t="str">
        <f>IFERROR(IF(FIND("?",ckAwdTable[[#This Row],[abst_narr_txt]]),SummarizeQuestMarks(ckAwdTable[[#This Row],[abst_narr_txt]]),""),"")</f>
        <v/>
      </c>
      <c r="AI31" s="13">
        <v>1485814</v>
      </c>
      <c r="AJ31" s="21">
        <v>0</v>
      </c>
      <c r="AK31" s="1">
        <v>1485814</v>
      </c>
      <c r="AL31" s="1"/>
      <c r="AM31" s="1"/>
      <c r="AN31" s="1">
        <v>198926</v>
      </c>
      <c r="AP31" s="21">
        <v>9</v>
      </c>
      <c r="AQ31" s="21">
        <v>15</v>
      </c>
      <c r="AR31" s="21">
        <v>1.95</v>
      </c>
      <c r="AS31" s="21"/>
      <c r="AT31" s="21"/>
      <c r="AU31" s="8" t="s">
        <v>973</v>
      </c>
      <c r="AV31" t="s">
        <v>1143</v>
      </c>
      <c r="AW31" t="b">
        <f>AND(ckAwdTable[[#This Row],[ILN]]&gt;"M", SUBSTITUTE(ckAwdTable[[#This Row],[prop_titl_txt]]," ","")&lt;&gt;SUBSTITUTE(AV30," ",""))</f>
        <v>0</v>
      </c>
      <c r="AX31" s="8" t="s">
        <v>1141</v>
      </c>
      <c r="AY31"/>
      <c r="AZ31"/>
      <c r="BA31"/>
      <c r="BB31"/>
      <c r="BC31"/>
      <c r="BD31"/>
      <c r="BF31" s="1"/>
      <c r="BJ31" s="13"/>
      <c r="BL31"/>
      <c r="BP31"/>
    </row>
    <row r="32" spans="1:68" x14ac:dyDescent="0.4">
      <c r="A32" s="30">
        <v>42957.678148148145</v>
      </c>
      <c r="B32" s="30">
        <v>42807.553472222222</v>
      </c>
      <c r="C32" t="s">
        <v>1136</v>
      </c>
      <c r="D32" t="s">
        <v>222</v>
      </c>
      <c r="E32" t="s">
        <v>1137</v>
      </c>
      <c r="F32" t="s">
        <v>406</v>
      </c>
      <c r="G32" s="8" t="s">
        <v>976</v>
      </c>
      <c r="H32" s="8" t="s">
        <v>172</v>
      </c>
      <c r="I32" s="8" t="s">
        <v>962</v>
      </c>
      <c r="J32" t="s">
        <v>94</v>
      </c>
      <c r="K32" t="s">
        <v>1135</v>
      </c>
      <c r="L32" s="22">
        <v>42914.640243055554</v>
      </c>
      <c r="M32">
        <f xml:space="preserve"> M31+(ckAwdTable[ILN]&lt;"M")</f>
        <v>31</v>
      </c>
      <c r="N32" t="s">
        <v>1145</v>
      </c>
      <c r="O32" t="s">
        <v>1144</v>
      </c>
      <c r="P32" s="15" t="str">
        <f>HYPERLINK("https://www.ejacket.nsf.gov/ej/showProposal.do?ID="&amp;ckAwdTable[[#This Row],[prop_id]],"eJ")</f>
        <v>eJ</v>
      </c>
      <c r="Q32" s="8" t="s">
        <v>224</v>
      </c>
      <c r="R32" t="s">
        <v>1144</v>
      </c>
      <c r="S32" t="s">
        <v>1146</v>
      </c>
      <c r="T32" t="s">
        <v>1147</v>
      </c>
      <c r="U32" s="8" t="s">
        <v>495</v>
      </c>
      <c r="V32" t="s">
        <v>282</v>
      </c>
      <c r="W32" s="15" t="str">
        <f>HYPERLINK("mailto:"&amp; ckAwdTable[[#This Row],[email]]&amp;"&amp;subject=Your NSF Proposal:  "&amp;ckAwdTable[[#This Row],[prop_id]], ckAwdTable[[#This Row],[email]])</f>
        <v>ccraini1@jhu.edu</v>
      </c>
      <c r="X32" s="30">
        <v>42948</v>
      </c>
      <c r="Y32">
        <v>36</v>
      </c>
      <c r="AA32" s="21" t="s">
        <v>13</v>
      </c>
      <c r="AB32" s="21" t="s">
        <v>972</v>
      </c>
      <c r="AC32"/>
      <c r="AD32" s="21" t="s">
        <v>13</v>
      </c>
      <c r="AF32" s="21" t="s">
        <v>965</v>
      </c>
      <c r="AG32" s="21" t="str">
        <f>IFERROR(IF(FIND("?",ckAwdTable[[#This Row],[abst_narr_txt]]),SummarizeQuestMarks(ckAwdTable[[#This Row],[abst_narr_txt]]),""),"")</f>
        <v/>
      </c>
      <c r="AI32" s="13">
        <v>748969</v>
      </c>
      <c r="AJ32" s="21">
        <v>0</v>
      </c>
      <c r="AK32" s="1">
        <v>748969</v>
      </c>
      <c r="AL32" s="1"/>
      <c r="AM32" s="1"/>
      <c r="AN32" s="1">
        <v>165000</v>
      </c>
      <c r="AP32" s="21"/>
      <c r="AQ32" s="21">
        <v>6</v>
      </c>
      <c r="AR32" s="21"/>
      <c r="AS32" s="21"/>
      <c r="AT32" s="21">
        <v>9</v>
      </c>
      <c r="AU32" s="8" t="s">
        <v>973</v>
      </c>
      <c r="AV32" t="s">
        <v>1150</v>
      </c>
      <c r="AW32" t="b">
        <f>AND(ckAwdTable[[#This Row],[ILN]]&gt;"M", SUBSTITUTE(ckAwdTable[[#This Row],[prop_titl_txt]]," ","")&lt;&gt;SUBSTITUTE(AV31," ",""))</f>
        <v>0</v>
      </c>
      <c r="AX32" s="8" t="s">
        <v>1148</v>
      </c>
      <c r="AY32"/>
      <c r="AZ32"/>
      <c r="BA32"/>
      <c r="BB32"/>
      <c r="BC32"/>
      <c r="BD32"/>
      <c r="BF32" s="1"/>
      <c r="BJ32" s="13"/>
      <c r="BL32"/>
      <c r="BP32"/>
    </row>
    <row r="33" spans="1:68" x14ac:dyDescent="0.4">
      <c r="A33" s="30">
        <v>42957.678148148145</v>
      </c>
      <c r="B33" s="30">
        <v>42807.668055555558</v>
      </c>
      <c r="C33" t="s">
        <v>1136</v>
      </c>
      <c r="D33" t="s">
        <v>222</v>
      </c>
      <c r="E33" t="s">
        <v>1137</v>
      </c>
      <c r="F33" t="s">
        <v>406</v>
      </c>
      <c r="G33" s="8" t="s">
        <v>976</v>
      </c>
      <c r="H33" s="8" t="s">
        <v>172</v>
      </c>
      <c r="I33" s="8" t="s">
        <v>962</v>
      </c>
      <c r="J33" t="s">
        <v>94</v>
      </c>
      <c r="K33" t="s">
        <v>1135</v>
      </c>
      <c r="L33" s="22">
        <v>42914.640243055554</v>
      </c>
      <c r="M33">
        <f xml:space="preserve"> M32+(ckAwdTable[ILN]&lt;"M")</f>
        <v>31</v>
      </c>
      <c r="N33" t="s">
        <v>965</v>
      </c>
      <c r="O33" t="s">
        <v>1144</v>
      </c>
      <c r="P33" s="15" t="str">
        <f>HYPERLINK("https://www.ejacket.nsf.gov/ej/showProposal.do?ID="&amp;ckAwdTable[[#This Row],[prop_id]],"eJ")</f>
        <v>eJ</v>
      </c>
      <c r="Q33" s="8" t="s">
        <v>224</v>
      </c>
      <c r="R33" t="s">
        <v>1151</v>
      </c>
      <c r="S33" t="s">
        <v>1152</v>
      </c>
      <c r="T33" t="s">
        <v>1153</v>
      </c>
      <c r="U33" s="8" t="s">
        <v>1154</v>
      </c>
      <c r="V33" t="s">
        <v>114</v>
      </c>
      <c r="W33" s="15" t="str">
        <f>HYPERLINK("mailto:"&amp; ckAwdTable[[#This Row],[email]]&amp;"&amp;subject=Your NSF Proposal:  "&amp;ckAwdTable[[#This Row],[prop_id]], ckAwdTable[[#This Row],[email]])</f>
        <v>ekaterina.smirnova@mso.umt.edu</v>
      </c>
      <c r="X33" s="30">
        <v>42948</v>
      </c>
      <c r="Y33">
        <v>36</v>
      </c>
      <c r="AA33" s="21" t="s">
        <v>13</v>
      </c>
      <c r="AB33" s="21" t="s">
        <v>972</v>
      </c>
      <c r="AC33"/>
      <c r="AD33" s="21" t="s">
        <v>13</v>
      </c>
      <c r="AF33" s="21" t="s">
        <v>965</v>
      </c>
      <c r="AG33" s="21" t="str">
        <f>IFERROR(IF(FIND("?",ckAwdTable[[#This Row],[abst_narr_txt]]),SummarizeQuestMarks(ckAwdTable[[#This Row],[abst_narr_txt]]),""),"")</f>
        <v/>
      </c>
      <c r="AI33" s="13">
        <v>374812</v>
      </c>
      <c r="AJ33" s="21">
        <v>0</v>
      </c>
      <c r="AK33" s="1">
        <v>374812</v>
      </c>
      <c r="AL33" s="1"/>
      <c r="AM33" s="1"/>
      <c r="AP33" s="21">
        <v>6</v>
      </c>
      <c r="AQ33" s="21">
        <v>3</v>
      </c>
      <c r="AR33" s="21">
        <v>6</v>
      </c>
      <c r="AS33" s="21"/>
      <c r="AT33" s="21"/>
      <c r="AU33" s="8" t="s">
        <v>973</v>
      </c>
      <c r="AV33" t="s">
        <v>1150</v>
      </c>
      <c r="AW33" t="b">
        <f>AND(ckAwdTable[[#This Row],[ILN]]&gt;"M", SUBSTITUTE(ckAwdTable[[#This Row],[prop_titl_txt]]," ","")&lt;&gt;SUBSTITUTE(AV32," ",""))</f>
        <v>0</v>
      </c>
      <c r="AX33" s="8" t="s">
        <v>1155</v>
      </c>
      <c r="BB33"/>
      <c r="BC33"/>
      <c r="BD33"/>
      <c r="BI33" s="1"/>
      <c r="BL33"/>
      <c r="BM33" s="13"/>
      <c r="BP33"/>
    </row>
    <row r="34" spans="1:68" x14ac:dyDescent="0.4">
      <c r="A34" s="30">
        <v>42957.678148148145</v>
      </c>
      <c r="B34" s="30">
        <v>42807.717361111114</v>
      </c>
      <c r="C34" t="s">
        <v>1136</v>
      </c>
      <c r="D34" t="s">
        <v>222</v>
      </c>
      <c r="E34" t="s">
        <v>1137</v>
      </c>
      <c r="F34" t="s">
        <v>406</v>
      </c>
      <c r="G34" s="8" t="s">
        <v>976</v>
      </c>
      <c r="H34" s="8" t="s">
        <v>172</v>
      </c>
      <c r="I34" s="8" t="s">
        <v>962</v>
      </c>
      <c r="J34" t="s">
        <v>94</v>
      </c>
      <c r="K34" t="s">
        <v>1135</v>
      </c>
      <c r="L34" s="22">
        <v>42914.640243055554</v>
      </c>
      <c r="M34">
        <f xml:space="preserve"> M33+(ckAwdTable[ILN]&lt;"M")</f>
        <v>31</v>
      </c>
      <c r="N34" t="s">
        <v>965</v>
      </c>
      <c r="O34" t="s">
        <v>1144</v>
      </c>
      <c r="P34" s="15" t="str">
        <f>HYPERLINK("https://www.ejacket.nsf.gov/ej/showProposal.do?ID="&amp;ckAwdTable[[#This Row],[prop_id]],"eJ")</f>
        <v>eJ</v>
      </c>
      <c r="Q34" s="8" t="s">
        <v>224</v>
      </c>
      <c r="R34" t="s">
        <v>1157</v>
      </c>
      <c r="S34" t="s">
        <v>1158</v>
      </c>
      <c r="T34" t="s">
        <v>1159</v>
      </c>
      <c r="U34" s="8" t="s">
        <v>1160</v>
      </c>
      <c r="V34" t="s">
        <v>127</v>
      </c>
      <c r="W34" s="15" t="str">
        <f>HYPERLINK("mailto:"&amp; ckAwdTable[[#This Row],[email]]&amp;"&amp;subject=Your NSF Proposal:  "&amp;ckAwdTable[[#This Row],[prop_id]], ckAwdTable[[#This Row],[email]])</f>
        <v>fjafari@uwyo.edu</v>
      </c>
      <c r="X34" s="30">
        <v>42948</v>
      </c>
      <c r="Y34">
        <v>36</v>
      </c>
      <c r="AA34" s="21" t="s">
        <v>13</v>
      </c>
      <c r="AB34" s="21" t="s">
        <v>972</v>
      </c>
      <c r="AC34"/>
      <c r="AD34" s="21" t="s">
        <v>13</v>
      </c>
      <c r="AF34" s="21" t="s">
        <v>965</v>
      </c>
      <c r="AG34" s="21" t="str">
        <f>IFERROR(IF(FIND("?",ckAwdTable[[#This Row],[abst_narr_txt]]),SummarizeQuestMarks(ckAwdTable[[#This Row],[abst_narr_txt]]),""),"")</f>
        <v/>
      </c>
      <c r="AI34" s="13">
        <v>372322</v>
      </c>
      <c r="AJ34" s="21">
        <v>0</v>
      </c>
      <c r="AK34" s="1">
        <v>372322</v>
      </c>
      <c r="AL34" s="1"/>
      <c r="AM34" s="1"/>
      <c r="AP34" s="21">
        <v>6</v>
      </c>
      <c r="AQ34" s="21">
        <v>3</v>
      </c>
      <c r="AR34" s="21">
        <v>4.05</v>
      </c>
      <c r="AS34" s="21"/>
      <c r="AT34" s="21"/>
      <c r="AU34" s="8" t="s">
        <v>973</v>
      </c>
      <c r="AV34" t="s">
        <v>1150</v>
      </c>
      <c r="AW34" t="b">
        <f>AND(ckAwdTable[[#This Row],[ILN]]&gt;"M", SUBSTITUTE(ckAwdTable[[#This Row],[prop_titl_txt]]," ","")&lt;&gt;SUBSTITUTE(AV33," ",""))</f>
        <v>0</v>
      </c>
      <c r="AX34" s="8" t="s">
        <v>1161</v>
      </c>
      <c r="BB34"/>
      <c r="BC34"/>
      <c r="BD34"/>
      <c r="BI34" s="1"/>
      <c r="BL34"/>
      <c r="BM34" s="13"/>
      <c r="BP34"/>
    </row>
    <row r="35" spans="1:68" x14ac:dyDescent="0.4">
      <c r="A35" s="30">
        <v>42955.353391203702</v>
      </c>
      <c r="B35" s="30">
        <v>42807.602777777778</v>
      </c>
      <c r="C35" t="s">
        <v>1136</v>
      </c>
      <c r="D35" t="s">
        <v>222</v>
      </c>
      <c r="E35" t="s">
        <v>1137</v>
      </c>
      <c r="F35" t="s">
        <v>451</v>
      </c>
      <c r="G35" s="8" t="s">
        <v>976</v>
      </c>
      <c r="H35" s="8" t="s">
        <v>172</v>
      </c>
      <c r="I35" s="8" t="s">
        <v>962</v>
      </c>
      <c r="J35" t="s">
        <v>94</v>
      </c>
      <c r="K35" t="s">
        <v>1135</v>
      </c>
      <c r="L35" s="22">
        <v>42951.514120370368</v>
      </c>
      <c r="M35">
        <f xml:space="preserve"> M34+(ckAwdTable[ILN]&lt;"M")</f>
        <v>32</v>
      </c>
      <c r="N35" t="s">
        <v>1145</v>
      </c>
      <c r="O35" t="s">
        <v>1163</v>
      </c>
      <c r="P35" s="15" t="str">
        <f>HYPERLINK("https://www.ejacket.nsf.gov/ej/showProposal.do?ID="&amp;ckAwdTable[[#This Row],[prop_id]],"eJ")</f>
        <v>eJ</v>
      </c>
      <c r="Q35" s="8" t="s">
        <v>224</v>
      </c>
      <c r="R35" t="s">
        <v>1163</v>
      </c>
      <c r="S35" t="s">
        <v>1164</v>
      </c>
      <c r="T35" t="s">
        <v>1165</v>
      </c>
      <c r="U35" s="8" t="s">
        <v>1166</v>
      </c>
      <c r="V35" t="s">
        <v>1167</v>
      </c>
      <c r="W35" s="15" t="str">
        <f>HYPERLINK("mailto:"&amp; ckAwdTable[[#This Row],[email]]&amp;"&amp;subject=Your NSF Proposal:  "&amp;ckAwdTable[[#This Row],[prop_id]], ckAwdTable[[#This Row],[email]])</f>
        <v>kfs7@georgetown.edu</v>
      </c>
      <c r="X35" s="30">
        <v>42979</v>
      </c>
      <c r="Y35">
        <v>36</v>
      </c>
      <c r="AA35" s="21" t="s">
        <v>13</v>
      </c>
      <c r="AB35" s="21" t="s">
        <v>972</v>
      </c>
      <c r="AC35"/>
      <c r="AD35" s="21" t="s">
        <v>13</v>
      </c>
      <c r="AF35" s="21" t="s">
        <v>965</v>
      </c>
      <c r="AG35" s="21" t="str">
        <f>IFERROR(IF(FIND("?",ckAwdTable[[#This Row],[abst_narr_txt]]),SummarizeQuestMarks(ckAwdTable[[#This Row],[abst_narr_txt]]),""),"")</f>
        <v/>
      </c>
      <c r="AI35" s="13">
        <v>1221000</v>
      </c>
      <c r="AJ35" s="21">
        <v>0</v>
      </c>
      <c r="AK35" s="1">
        <v>1221000</v>
      </c>
      <c r="AL35" s="1"/>
      <c r="AM35" s="1"/>
      <c r="AN35" s="1">
        <v>106100</v>
      </c>
      <c r="AO35" s="1">
        <v>70000</v>
      </c>
      <c r="AP35" s="21">
        <v>6</v>
      </c>
      <c r="AQ35" s="21">
        <v>15</v>
      </c>
      <c r="AR35" s="21">
        <v>15</v>
      </c>
      <c r="AS35" s="21"/>
      <c r="AT35" s="21"/>
      <c r="AU35" s="8" t="s">
        <v>973</v>
      </c>
      <c r="AV35" t="s">
        <v>1170</v>
      </c>
      <c r="AW35" t="b">
        <f>AND(ckAwdTable[[#This Row],[ILN]]&gt;"M", SUBSTITUTE(ckAwdTable[[#This Row],[prop_titl_txt]]," ","")&lt;&gt;SUBSTITUTE(AV34," ",""))</f>
        <v>0</v>
      </c>
      <c r="AX35" s="8" t="s">
        <v>1168</v>
      </c>
      <c r="BB35"/>
      <c r="BC35"/>
      <c r="BD35"/>
      <c r="BI35" s="1"/>
      <c r="BL35"/>
      <c r="BM35" s="13"/>
      <c r="BP35"/>
    </row>
    <row r="36" spans="1:68" x14ac:dyDescent="0.4">
      <c r="A36" s="30">
        <v>42955.353391203702</v>
      </c>
      <c r="B36" s="30">
        <v>42804.649305555555</v>
      </c>
      <c r="C36" t="s">
        <v>1136</v>
      </c>
      <c r="D36" t="s">
        <v>222</v>
      </c>
      <c r="E36" t="s">
        <v>1137</v>
      </c>
      <c r="F36" t="s">
        <v>451</v>
      </c>
      <c r="G36" s="8" t="s">
        <v>976</v>
      </c>
      <c r="H36" s="8" t="s">
        <v>172</v>
      </c>
      <c r="I36" s="8" t="s">
        <v>962</v>
      </c>
      <c r="J36" t="s">
        <v>94</v>
      </c>
      <c r="K36" t="s">
        <v>1135</v>
      </c>
      <c r="L36" s="22">
        <v>42951.514120370368</v>
      </c>
      <c r="M36">
        <f xml:space="preserve"> M35+(ckAwdTable[ILN]&lt;"M")</f>
        <v>32</v>
      </c>
      <c r="N36" t="s">
        <v>965</v>
      </c>
      <c r="O36" t="s">
        <v>1163</v>
      </c>
      <c r="P36" s="15" t="str">
        <f>HYPERLINK("https://www.ejacket.nsf.gov/ej/showProposal.do?ID="&amp;ckAwdTable[[#This Row],[prop_id]],"eJ")</f>
        <v>eJ</v>
      </c>
      <c r="Q36" s="8" t="s">
        <v>224</v>
      </c>
      <c r="R36" t="s">
        <v>1171</v>
      </c>
      <c r="S36" t="s">
        <v>1172</v>
      </c>
      <c r="T36" t="s">
        <v>1173</v>
      </c>
      <c r="U36" s="8" t="s">
        <v>1174</v>
      </c>
      <c r="V36" t="s">
        <v>1167</v>
      </c>
      <c r="W36" s="15" t="str">
        <f>HYPERLINK("mailto:"&amp; ckAwdTable[[#This Row],[email]]&amp;"&amp;subject=Your NSF Proposal:  "&amp;ckAwdTable[[#This Row],[prop_id]], ckAwdTable[[#This Row],[email]])</f>
        <v>cmontel@gwu.edu</v>
      </c>
      <c r="X36" s="30">
        <v>42979</v>
      </c>
      <c r="Y36">
        <v>36</v>
      </c>
      <c r="AA36" s="21" t="s">
        <v>13</v>
      </c>
      <c r="AB36" s="21" t="s">
        <v>972</v>
      </c>
      <c r="AC36"/>
      <c r="AD36" s="21" t="s">
        <v>13</v>
      </c>
      <c r="AE36" s="21" t="s">
        <v>274</v>
      </c>
      <c r="AF36" s="21" t="s">
        <v>965</v>
      </c>
      <c r="AG36" s="21" t="str">
        <f>IFERROR(IF(FIND("?",ckAwdTable[[#This Row],[abst_narr_txt]]),SummarizeQuestMarks(ckAwdTable[[#This Row],[abst_narr_txt]]),""),"")</f>
        <v/>
      </c>
      <c r="AI36" s="13">
        <v>279000</v>
      </c>
      <c r="AJ36" s="21">
        <v>0</v>
      </c>
      <c r="AK36" s="1">
        <v>279000</v>
      </c>
      <c r="AL36" s="1"/>
      <c r="AM36" s="1">
        <v>9000</v>
      </c>
      <c r="AP36" s="21">
        <v>3</v>
      </c>
      <c r="AQ36" s="21">
        <v>3</v>
      </c>
      <c r="AR36" s="21">
        <v>1.44</v>
      </c>
      <c r="AS36" s="21"/>
      <c r="AT36" s="21"/>
      <c r="AU36" s="8" t="s">
        <v>973</v>
      </c>
      <c r="AV36" t="s">
        <v>1170</v>
      </c>
      <c r="AW36" t="b">
        <f>AND(ckAwdTable[[#This Row],[ILN]]&gt;"M", SUBSTITUTE(ckAwdTable[[#This Row],[prop_titl_txt]]," ","")&lt;&gt;SUBSTITUTE(AV35," ",""))</f>
        <v>0</v>
      </c>
      <c r="AX36" s="8" t="s">
        <v>1175</v>
      </c>
      <c r="BB36"/>
      <c r="BC36"/>
      <c r="BD36"/>
      <c r="BI36" s="1"/>
      <c r="BL36"/>
      <c r="BM36" s="13"/>
      <c r="BP36"/>
    </row>
    <row r="37" spans="1:68" x14ac:dyDescent="0.4">
      <c r="A37" s="30">
        <v>42955.353842592594</v>
      </c>
      <c r="B37" s="30">
        <v>42807.683333333334</v>
      </c>
      <c r="C37" t="s">
        <v>1136</v>
      </c>
      <c r="D37" t="s">
        <v>222</v>
      </c>
      <c r="E37" t="s">
        <v>1137</v>
      </c>
      <c r="F37" t="s">
        <v>451</v>
      </c>
      <c r="G37" s="8" t="s">
        <v>976</v>
      </c>
      <c r="H37" s="8" t="s">
        <v>172</v>
      </c>
      <c r="I37" s="8" t="s">
        <v>962</v>
      </c>
      <c r="J37" t="s">
        <v>94</v>
      </c>
      <c r="K37" t="s">
        <v>1135</v>
      </c>
      <c r="L37" s="22">
        <v>42951.518680555557</v>
      </c>
      <c r="M37">
        <f xml:space="preserve"> M36+(ckAwdTable[ILN]&lt;"M")</f>
        <v>33</v>
      </c>
      <c r="N37" t="s">
        <v>1145</v>
      </c>
      <c r="O37" t="s">
        <v>1177</v>
      </c>
      <c r="P37" s="15" t="str">
        <f>HYPERLINK("https://www.ejacket.nsf.gov/ej/showProposal.do?ID="&amp;ckAwdTable[[#This Row],[prop_id]],"eJ")</f>
        <v>eJ</v>
      </c>
      <c r="Q37" s="8" t="s">
        <v>224</v>
      </c>
      <c r="R37" t="s">
        <v>1177</v>
      </c>
      <c r="S37" t="s">
        <v>1178</v>
      </c>
      <c r="T37" t="s">
        <v>1179</v>
      </c>
      <c r="U37" s="8" t="s">
        <v>1052</v>
      </c>
      <c r="V37" t="s">
        <v>1053</v>
      </c>
      <c r="W37" s="15" t="str">
        <f>HYPERLINK("mailto:"&amp; ckAwdTable[[#This Row],[email]]&amp;"&amp;subject=Your NSF Proposal:  "&amp;ckAwdTable[[#This Row],[prop_id]], ckAwdTable[[#This Row],[email]])</f>
        <v>nalini.ravishanker@uconn.edu</v>
      </c>
      <c r="X37" s="30">
        <v>42979</v>
      </c>
      <c r="Y37">
        <v>36</v>
      </c>
      <c r="AA37" s="21" t="s">
        <v>13</v>
      </c>
      <c r="AB37" s="21" t="s">
        <v>972</v>
      </c>
      <c r="AC37"/>
      <c r="AD37" s="21" t="s">
        <v>13</v>
      </c>
      <c r="AF37" s="21" t="s">
        <v>965</v>
      </c>
      <c r="AG37" s="21" t="str">
        <f>IFERROR(IF(FIND("?",ckAwdTable[[#This Row],[abst_narr_txt]]),SummarizeQuestMarks(ckAwdTable[[#This Row],[abst_narr_txt]]),""),"")</f>
        <v/>
      </c>
      <c r="AI37" s="13">
        <v>825000</v>
      </c>
      <c r="AJ37" s="21">
        <v>0</v>
      </c>
      <c r="AK37" s="1">
        <v>825000</v>
      </c>
      <c r="AL37" s="1"/>
      <c r="AM37" s="1"/>
      <c r="AN37" s="1">
        <v>173388</v>
      </c>
      <c r="AO37" s="1">
        <v>45000</v>
      </c>
      <c r="AP37" s="21">
        <v>9</v>
      </c>
      <c r="AQ37" s="21">
        <v>9</v>
      </c>
      <c r="AR37" s="21">
        <v>2.1</v>
      </c>
      <c r="AS37" s="21"/>
      <c r="AT37" s="21"/>
      <c r="AU37" s="8" t="s">
        <v>973</v>
      </c>
      <c r="AV37" t="s">
        <v>1182</v>
      </c>
      <c r="AW37" t="b">
        <f>AND(ckAwdTable[[#This Row],[ILN]]&gt;"M", SUBSTITUTE(ckAwdTable[[#This Row],[prop_titl_txt]]," ","")&lt;&gt;SUBSTITUTE(AV36," ",""))</f>
        <v>0</v>
      </c>
      <c r="AX37" s="8" t="s">
        <v>1180</v>
      </c>
      <c r="BB37"/>
      <c r="BC37"/>
      <c r="BD37"/>
      <c r="BI37" s="1"/>
      <c r="BL37"/>
      <c r="BM37" s="13"/>
      <c r="BP37"/>
    </row>
    <row r="38" spans="1:68" x14ac:dyDescent="0.4">
      <c r="A38" s="30">
        <v>42955.353842592594</v>
      </c>
      <c r="B38" s="30">
        <v>42807.572222222225</v>
      </c>
      <c r="C38" t="s">
        <v>1136</v>
      </c>
      <c r="D38" t="s">
        <v>222</v>
      </c>
      <c r="E38" t="s">
        <v>1137</v>
      </c>
      <c r="F38" t="s">
        <v>451</v>
      </c>
      <c r="G38" s="8" t="s">
        <v>976</v>
      </c>
      <c r="H38" s="8" t="s">
        <v>172</v>
      </c>
      <c r="I38" s="8" t="s">
        <v>962</v>
      </c>
      <c r="J38" t="s">
        <v>94</v>
      </c>
      <c r="K38" t="s">
        <v>1135</v>
      </c>
      <c r="L38" s="22">
        <v>42951.518680555557</v>
      </c>
      <c r="M38">
        <f xml:space="preserve"> M37+(ckAwdTable[ILN]&lt;"M")</f>
        <v>33</v>
      </c>
      <c r="N38" t="s">
        <v>965</v>
      </c>
      <c r="O38" t="s">
        <v>1177</v>
      </c>
      <c r="P38" s="15" t="str">
        <f>HYPERLINK("https://www.ejacket.nsf.gov/ej/showProposal.do?ID="&amp;ckAwdTable[[#This Row],[prop_id]],"eJ")</f>
        <v>eJ</v>
      </c>
      <c r="Q38" s="8" t="s">
        <v>224</v>
      </c>
      <c r="R38" t="s">
        <v>1183</v>
      </c>
      <c r="S38" t="s">
        <v>1184</v>
      </c>
      <c r="T38" t="s">
        <v>1185</v>
      </c>
      <c r="U38" s="8" t="s">
        <v>1186</v>
      </c>
      <c r="V38" t="s">
        <v>1053</v>
      </c>
      <c r="W38" s="15" t="str">
        <f>HYPERLINK("mailto:"&amp; ckAwdTable[[#This Row],[email]]&amp;"&amp;subject=Your NSF Proposal:  "&amp;ckAwdTable[[#This Row],[prop_id]], ckAwdTable[[#This Row],[email]])</f>
        <v>laubenbacher@uchc.edu</v>
      </c>
      <c r="X38" s="30">
        <v>42979</v>
      </c>
      <c r="Y38">
        <v>36</v>
      </c>
      <c r="AA38" s="21" t="s">
        <v>13</v>
      </c>
      <c r="AB38" s="21" t="s">
        <v>972</v>
      </c>
      <c r="AC38"/>
      <c r="AD38" s="21" t="s">
        <v>13</v>
      </c>
      <c r="AF38" s="21" t="s">
        <v>965</v>
      </c>
      <c r="AG38" s="21" t="str">
        <f>IFERROR(IF(FIND("?",ckAwdTable[[#This Row],[abst_narr_txt]]),SummarizeQuestMarks(ckAwdTable[[#This Row],[abst_narr_txt]]),""),"")</f>
        <v/>
      </c>
      <c r="AI38" s="13">
        <v>224999</v>
      </c>
      <c r="AJ38" s="21">
        <v>0</v>
      </c>
      <c r="AK38" s="1">
        <v>224999</v>
      </c>
      <c r="AL38" s="1"/>
      <c r="AM38" s="1"/>
      <c r="AP38" s="21">
        <v>3</v>
      </c>
      <c r="AQ38" s="21">
        <v>3</v>
      </c>
      <c r="AR38" s="21"/>
      <c r="AS38" s="21"/>
      <c r="AT38" s="21">
        <v>0.36</v>
      </c>
      <c r="AU38" s="8" t="s">
        <v>973</v>
      </c>
      <c r="AV38" t="s">
        <v>1188</v>
      </c>
      <c r="AW38" t="b">
        <f>AND(ckAwdTable[[#This Row],[ILN]]&gt;"M", SUBSTITUTE(ckAwdTable[[#This Row],[prop_titl_txt]]," ","")&lt;&gt;SUBSTITUTE(AV37," ",""))</f>
        <v>1</v>
      </c>
      <c r="AX38" s="8" t="s">
        <v>1187</v>
      </c>
      <c r="BB38"/>
      <c r="BC38"/>
      <c r="BD38"/>
      <c r="BI38" s="1"/>
      <c r="BL38"/>
      <c r="BM38" s="13"/>
      <c r="BP38"/>
    </row>
    <row r="39" spans="1:68" x14ac:dyDescent="0.4">
      <c r="A39" s="30">
        <v>42955.353842592594</v>
      </c>
      <c r="B39" s="30">
        <v>42809.648611111108</v>
      </c>
      <c r="C39" t="s">
        <v>1136</v>
      </c>
      <c r="D39" t="s">
        <v>222</v>
      </c>
      <c r="E39" t="s">
        <v>1137</v>
      </c>
      <c r="F39" t="s">
        <v>451</v>
      </c>
      <c r="G39" s="8" t="s">
        <v>976</v>
      </c>
      <c r="H39" s="8" t="s">
        <v>172</v>
      </c>
      <c r="I39" s="8" t="s">
        <v>962</v>
      </c>
      <c r="J39" t="s">
        <v>94</v>
      </c>
      <c r="K39" t="s">
        <v>1135</v>
      </c>
      <c r="L39" s="22">
        <v>42951.518680555557</v>
      </c>
      <c r="M39">
        <f xml:space="preserve"> M38+(ckAwdTable[ILN]&lt;"M")</f>
        <v>33</v>
      </c>
      <c r="N39" t="s">
        <v>965</v>
      </c>
      <c r="O39" t="s">
        <v>1177</v>
      </c>
      <c r="P39" s="15" t="str">
        <f>HYPERLINK("https://www.ejacket.nsf.gov/ej/showProposal.do?ID="&amp;ckAwdTable[[#This Row],[prop_id]],"eJ")</f>
        <v>eJ</v>
      </c>
      <c r="Q39" s="8" t="s">
        <v>224</v>
      </c>
      <c r="R39" t="s">
        <v>1189</v>
      </c>
      <c r="S39" t="s">
        <v>1190</v>
      </c>
      <c r="T39" t="s">
        <v>273</v>
      </c>
      <c r="U39" s="8" t="s">
        <v>1075</v>
      </c>
      <c r="V39" t="s">
        <v>280</v>
      </c>
      <c r="W39" s="15" t="str">
        <f>HYPERLINK("mailto:"&amp; ckAwdTable[[#This Row],[email]]&amp;"&amp;subject=Your NSF Proposal:  "&amp;ckAwdTable[[#This Row],[prop_id]], ckAwdTable[[#This Row],[email]])</f>
        <v>lavine@math.umass.edu</v>
      </c>
      <c r="X39" s="30">
        <v>42979</v>
      </c>
      <c r="Y39">
        <v>36</v>
      </c>
      <c r="AA39" s="21" t="s">
        <v>13</v>
      </c>
      <c r="AB39" s="21" t="s">
        <v>972</v>
      </c>
      <c r="AC39"/>
      <c r="AD39" s="21" t="s">
        <v>13</v>
      </c>
      <c r="AF39" s="21" t="s">
        <v>965</v>
      </c>
      <c r="AG39" s="21" t="str">
        <f>IFERROR(IF(FIND("?",ckAwdTable[[#This Row],[abst_narr_txt]]),SummarizeQuestMarks(ckAwdTable[[#This Row],[abst_narr_txt]]),""),"")</f>
        <v/>
      </c>
      <c r="AI39" s="13">
        <v>374046</v>
      </c>
      <c r="AJ39" s="21">
        <v>0</v>
      </c>
      <c r="AK39" s="1">
        <v>374046</v>
      </c>
      <c r="AL39" s="1"/>
      <c r="AM39" s="1"/>
      <c r="AN39" s="1">
        <v>149744</v>
      </c>
      <c r="AP39" s="21">
        <v>4</v>
      </c>
      <c r="AQ39" s="21">
        <v>12</v>
      </c>
      <c r="AR39" s="21">
        <v>1.08</v>
      </c>
      <c r="AS39" s="21"/>
      <c r="AT39" s="21"/>
      <c r="AU39" s="8" t="s">
        <v>973</v>
      </c>
      <c r="AV39" t="s">
        <v>1182</v>
      </c>
      <c r="AW39" t="b">
        <f>AND(ckAwdTable[[#This Row],[ILN]]&gt;"M", SUBSTITUTE(ckAwdTable[[#This Row],[prop_titl_txt]]," ","")&lt;&gt;SUBSTITUTE(AV38," ",""))</f>
        <v>1</v>
      </c>
      <c r="AX39" s="8" t="s">
        <v>1191</v>
      </c>
      <c r="BB39"/>
      <c r="BC39"/>
      <c r="BD39"/>
      <c r="BI39" s="1"/>
      <c r="BL39"/>
      <c r="BM39" s="13"/>
      <c r="BP39"/>
    </row>
    <row r="40" spans="1:68" x14ac:dyDescent="0.4">
      <c r="A40" s="30">
        <v>42955.686261574076</v>
      </c>
      <c r="B40" s="30">
        <v>42809.441666666666</v>
      </c>
      <c r="C40" t="s">
        <v>1136</v>
      </c>
      <c r="D40" t="s">
        <v>222</v>
      </c>
      <c r="E40" t="s">
        <v>1137</v>
      </c>
      <c r="F40" t="s">
        <v>406</v>
      </c>
      <c r="G40" s="8" t="s">
        <v>976</v>
      </c>
      <c r="H40" s="8" t="s">
        <v>172</v>
      </c>
      <c r="I40" s="8" t="s">
        <v>962</v>
      </c>
      <c r="J40" t="s">
        <v>94</v>
      </c>
      <c r="K40" t="s">
        <v>1135</v>
      </c>
      <c r="L40" s="22">
        <v>42914.640416666669</v>
      </c>
      <c r="M40">
        <f xml:space="preserve"> M39+(ckAwdTable[ILN]&lt;"M")</f>
        <v>34</v>
      </c>
      <c r="N40" t="s">
        <v>96</v>
      </c>
      <c r="O40" t="s">
        <v>1192</v>
      </c>
      <c r="P40" s="15" t="str">
        <f>HYPERLINK("https://www.ejacket.nsf.gov/ej/showProposal.do?ID="&amp;ckAwdTable[[#This Row],[prop_id]],"eJ")</f>
        <v>eJ</v>
      </c>
      <c r="Q40" s="8" t="s">
        <v>224</v>
      </c>
      <c r="R40" t="s">
        <v>1192</v>
      </c>
      <c r="S40" t="s">
        <v>1193</v>
      </c>
      <c r="T40" t="s">
        <v>1194</v>
      </c>
      <c r="U40" s="8" t="s">
        <v>1195</v>
      </c>
      <c r="V40" t="s">
        <v>98</v>
      </c>
      <c r="W40" s="15" t="str">
        <f>HYPERLINK("mailto:"&amp; ckAwdTable[[#This Row],[email]]&amp;"&amp;subject=Your NSF Proposal:  "&amp;ckAwdTable[[#This Row],[prop_id]], ckAwdTable[[#This Row],[email]])</f>
        <v>noah_daniels@uri.edu</v>
      </c>
      <c r="X40" s="30">
        <v>42979</v>
      </c>
      <c r="Y40">
        <v>36</v>
      </c>
      <c r="AA40" s="21" t="s">
        <v>13</v>
      </c>
      <c r="AB40" s="21" t="s">
        <v>972</v>
      </c>
      <c r="AC40"/>
      <c r="AD40" s="21" t="s">
        <v>13</v>
      </c>
      <c r="AE40" s="21" t="s">
        <v>2139</v>
      </c>
      <c r="AF40" s="21" t="s">
        <v>965</v>
      </c>
      <c r="AG40" s="21" t="str">
        <f>IFERROR(IF(FIND("?",ckAwdTable[[#This Row],[abst_narr_txt]]),SummarizeQuestMarks(ckAwdTable[[#This Row],[abst_narr_txt]]),""),"")</f>
        <v/>
      </c>
      <c r="AI40" s="13">
        <v>1319163</v>
      </c>
      <c r="AJ40" s="21">
        <v>0</v>
      </c>
      <c r="AK40" s="1">
        <v>1319163</v>
      </c>
      <c r="AL40" s="1"/>
      <c r="AM40" s="1">
        <v>15000</v>
      </c>
      <c r="AN40" s="1">
        <v>155628</v>
      </c>
      <c r="AO40" s="1">
        <v>66000</v>
      </c>
      <c r="AP40" s="21">
        <v>23</v>
      </c>
      <c r="AQ40" s="21">
        <v>9</v>
      </c>
      <c r="AR40" s="21">
        <v>18</v>
      </c>
      <c r="AS40" s="21"/>
      <c r="AT40" s="21"/>
      <c r="AU40" s="8" t="s">
        <v>973</v>
      </c>
      <c r="AV40" t="s">
        <v>1198</v>
      </c>
      <c r="AW40" t="b">
        <f>AND(ckAwdTable[[#This Row],[ILN]]&gt;"M", SUBSTITUTE(ckAwdTable[[#This Row],[prop_titl_txt]]," ","")&lt;&gt;SUBSTITUTE(AV39," ",""))</f>
        <v>0</v>
      </c>
      <c r="AX40" s="8" t="s">
        <v>1196</v>
      </c>
      <c r="BB40"/>
      <c r="BC40"/>
      <c r="BD40"/>
      <c r="BI40" s="1"/>
      <c r="BL40"/>
      <c r="BM40" s="13"/>
      <c r="BP40"/>
    </row>
    <row r="41" spans="1:68" x14ac:dyDescent="0.4">
      <c r="A41" s="30">
        <v>42933.475868055553</v>
      </c>
      <c r="B41" s="30">
        <v>42809.474999999999</v>
      </c>
      <c r="C41" t="s">
        <v>1136</v>
      </c>
      <c r="D41" t="s">
        <v>222</v>
      </c>
      <c r="E41" t="s">
        <v>1137</v>
      </c>
      <c r="F41" t="s">
        <v>406</v>
      </c>
      <c r="G41" s="8" t="s">
        <v>992</v>
      </c>
      <c r="H41" s="8" t="s">
        <v>172</v>
      </c>
      <c r="I41" s="8" t="s">
        <v>962</v>
      </c>
      <c r="J41" t="s">
        <v>94</v>
      </c>
      <c r="K41" t="s">
        <v>1135</v>
      </c>
      <c r="L41" s="22">
        <v>42927.466689814813</v>
      </c>
      <c r="M41">
        <f xml:space="preserve"> M40+(ckAwdTable[ILN]&lt;"M")</f>
        <v>35</v>
      </c>
      <c r="N41" t="s">
        <v>96</v>
      </c>
      <c r="O41" t="s">
        <v>1199</v>
      </c>
      <c r="P41" s="15" t="str">
        <f>HYPERLINK("https://www.ejacket.nsf.gov/ej/showProposal.do?ID="&amp;ckAwdTable[[#This Row],[prop_id]],"eJ")</f>
        <v>eJ</v>
      </c>
      <c r="Q41" s="8" t="s">
        <v>224</v>
      </c>
      <c r="R41" t="s">
        <v>1199</v>
      </c>
      <c r="S41" t="s">
        <v>1200</v>
      </c>
      <c r="T41" t="s">
        <v>1201</v>
      </c>
      <c r="U41" s="8" t="s">
        <v>1202</v>
      </c>
      <c r="V41" t="s">
        <v>98</v>
      </c>
      <c r="W41" s="15" t="str">
        <f>HYPERLINK("mailto:"&amp; ckAwdTable[[#This Row],[email]]&amp;"&amp;subject=Your NSF Proposal:  "&amp;ckAwdTable[[#This Row],[prop_id]], ckAwdTable[[#This Row],[email]])</f>
        <v>Jeff_Brock@brown.edu</v>
      </c>
      <c r="X41" s="30">
        <v>42979</v>
      </c>
      <c r="Y41">
        <v>36</v>
      </c>
      <c r="AA41" s="21" t="s">
        <v>13</v>
      </c>
      <c r="AB41" s="21" t="s">
        <v>972</v>
      </c>
      <c r="AC41"/>
      <c r="AD41" s="21" t="s">
        <v>13</v>
      </c>
      <c r="AF41" s="21" t="s">
        <v>965</v>
      </c>
      <c r="AG41" s="21" t="str">
        <f>IFERROR(IF(FIND("?",ckAwdTable[[#This Row],[abst_narr_txt]]),SummarizeQuestMarks(ckAwdTable[[#This Row],[abst_narr_txt]]),""),"")</f>
        <v/>
      </c>
      <c r="AH41" s="21" t="s">
        <v>1843</v>
      </c>
      <c r="AI41" s="13">
        <v>1482177</v>
      </c>
      <c r="AJ41" s="21">
        <v>0</v>
      </c>
      <c r="AK41" s="1">
        <v>1482177</v>
      </c>
      <c r="AL41" s="1"/>
      <c r="AM41" s="1"/>
      <c r="AN41" s="1">
        <v>204000</v>
      </c>
      <c r="AO41" s="1">
        <v>330000</v>
      </c>
      <c r="AP41" s="21">
        <v>15</v>
      </c>
      <c r="AQ41" s="21">
        <v>15</v>
      </c>
      <c r="AR41" s="21">
        <v>7.5</v>
      </c>
      <c r="AS41" s="21"/>
      <c r="AT41" s="21"/>
      <c r="AU41" s="8" t="s">
        <v>991</v>
      </c>
      <c r="AV41" t="s">
        <v>1206</v>
      </c>
      <c r="AW41" t="b">
        <f>AND(ckAwdTable[[#This Row],[ILN]]&gt;"M", SUBSTITUTE(ckAwdTable[[#This Row],[prop_titl_txt]]," ","")&lt;&gt;SUBSTITUTE(AV40," ",""))</f>
        <v>0</v>
      </c>
      <c r="AX41" s="8" t="s">
        <v>1203</v>
      </c>
      <c r="BB41"/>
      <c r="BC41"/>
      <c r="BD41"/>
      <c r="BI41" s="1"/>
      <c r="BL41"/>
      <c r="BM41" s="13"/>
      <c r="BP41"/>
    </row>
    <row r="42" spans="1:68" x14ac:dyDescent="0.4">
      <c r="A42" s="30">
        <v>42955.725289351853</v>
      </c>
      <c r="B42" s="30">
        <v>42809.494444444441</v>
      </c>
      <c r="C42" t="s">
        <v>1136</v>
      </c>
      <c r="D42" t="s">
        <v>222</v>
      </c>
      <c r="E42" t="s">
        <v>1137</v>
      </c>
      <c r="F42" t="s">
        <v>406</v>
      </c>
      <c r="G42" s="8" t="s">
        <v>976</v>
      </c>
      <c r="H42" s="8" t="s">
        <v>172</v>
      </c>
      <c r="I42" s="8" t="s">
        <v>962</v>
      </c>
      <c r="J42" t="s">
        <v>94</v>
      </c>
      <c r="K42" t="s">
        <v>1135</v>
      </c>
      <c r="L42" s="22">
        <v>42914.640474537038</v>
      </c>
      <c r="M42">
        <f xml:space="preserve"> M41+(ckAwdTable[ILN]&lt;"M")</f>
        <v>36</v>
      </c>
      <c r="N42" t="s">
        <v>1145</v>
      </c>
      <c r="O42" t="s">
        <v>1207</v>
      </c>
      <c r="P42" s="15" t="str">
        <f>HYPERLINK("https://www.ejacket.nsf.gov/ej/showProposal.do?ID="&amp;ckAwdTable[[#This Row],[prop_id]],"eJ")</f>
        <v>eJ</v>
      </c>
      <c r="Q42" s="8" t="s">
        <v>224</v>
      </c>
      <c r="R42" t="s">
        <v>1207</v>
      </c>
      <c r="S42" t="s">
        <v>1208</v>
      </c>
      <c r="T42" t="s">
        <v>1209</v>
      </c>
      <c r="U42" s="8" t="s">
        <v>223</v>
      </c>
      <c r="V42" t="s">
        <v>280</v>
      </c>
      <c r="W42" s="15" t="str">
        <f>HYPERLINK("mailto:"&amp; ckAwdTable[[#This Row],[email]]&amp;"&amp;subject=Your NSF Proposal:  "&amp;ckAwdTable[[#This Row],[prop_id]], ckAwdTable[[#This Row],[email]])</f>
        <v>EDELMAN@MATH.MIT.EDU</v>
      </c>
      <c r="X42" s="30">
        <v>43009</v>
      </c>
      <c r="Y42">
        <v>36</v>
      </c>
      <c r="AA42" s="21" t="s">
        <v>13</v>
      </c>
      <c r="AB42" s="21" t="s">
        <v>972</v>
      </c>
      <c r="AC42"/>
      <c r="AD42" s="21" t="s">
        <v>13</v>
      </c>
      <c r="AF42" s="21" t="s">
        <v>965</v>
      </c>
      <c r="AG42" s="21" t="str">
        <f>IFERROR(IF(FIND("?",ckAwdTable[[#This Row],[abst_narr_txt]]),SummarizeQuestMarks(ckAwdTable[[#This Row],[abst_narr_txt]]),""),"")</f>
        <v/>
      </c>
      <c r="AI42" s="13">
        <v>600000</v>
      </c>
      <c r="AJ42" s="21">
        <v>0</v>
      </c>
      <c r="AK42" s="1">
        <v>600000</v>
      </c>
      <c r="AL42" s="1"/>
      <c r="AM42" s="1"/>
      <c r="AP42" s="21"/>
      <c r="AQ42" s="21"/>
      <c r="AR42" s="21"/>
      <c r="AS42" s="21"/>
      <c r="AT42" s="21"/>
      <c r="AU42" s="8" t="s">
        <v>973</v>
      </c>
      <c r="AV42" t="s">
        <v>1211</v>
      </c>
      <c r="AW42" t="b">
        <f>AND(ckAwdTable[[#This Row],[ILN]]&gt;"M", SUBSTITUTE(ckAwdTable[[#This Row],[prop_titl_txt]]," ","")&lt;&gt;SUBSTITUTE(AV41," ",""))</f>
        <v>0</v>
      </c>
      <c r="AX42" s="8" t="s">
        <v>1210</v>
      </c>
      <c r="BB42"/>
      <c r="BC42"/>
      <c r="BD42"/>
      <c r="BI42" s="1"/>
      <c r="BL42"/>
      <c r="BM42" s="13"/>
      <c r="BP42"/>
    </row>
    <row r="43" spans="1:68" x14ac:dyDescent="0.4">
      <c r="A43" s="30">
        <v>42955.725289351853</v>
      </c>
      <c r="B43" s="30">
        <v>42808.49722222222</v>
      </c>
      <c r="C43" t="s">
        <v>1136</v>
      </c>
      <c r="D43" t="s">
        <v>222</v>
      </c>
      <c r="E43" t="s">
        <v>1137</v>
      </c>
      <c r="F43" t="s">
        <v>406</v>
      </c>
      <c r="G43" s="8" t="s">
        <v>976</v>
      </c>
      <c r="H43" s="8" t="s">
        <v>172</v>
      </c>
      <c r="I43" s="8" t="s">
        <v>962</v>
      </c>
      <c r="J43" t="s">
        <v>94</v>
      </c>
      <c r="K43" t="s">
        <v>1135</v>
      </c>
      <c r="L43" s="22">
        <v>42914.640474537038</v>
      </c>
      <c r="M43">
        <f xml:space="preserve"> M42+(ckAwdTable[ILN]&lt;"M")</f>
        <v>36</v>
      </c>
      <c r="N43" t="s">
        <v>965</v>
      </c>
      <c r="O43" t="s">
        <v>1207</v>
      </c>
      <c r="P43" s="15" t="str">
        <f>HYPERLINK("https://www.ejacket.nsf.gov/ej/showProposal.do?ID="&amp;ckAwdTable[[#This Row],[prop_id]],"eJ")</f>
        <v>eJ</v>
      </c>
      <c r="Q43" s="8" t="s">
        <v>224</v>
      </c>
      <c r="R43" t="s">
        <v>1212</v>
      </c>
      <c r="S43" t="s">
        <v>1213</v>
      </c>
      <c r="T43" t="s">
        <v>1214</v>
      </c>
      <c r="U43" s="8" t="s">
        <v>1215</v>
      </c>
      <c r="V43" t="s">
        <v>280</v>
      </c>
      <c r="W43" s="15" t="str">
        <f>HYPERLINK("mailto:"&amp; ckAwdTable[[#This Row],[email]]&amp;"&amp;subject=Your NSF Proposal:  "&amp;ckAwdTable[[#This Row],[prop_id]], ckAwdTable[[#This Row],[email]])</f>
        <v>johnq@jimmy.harvard.edu</v>
      </c>
      <c r="X43" s="30">
        <v>43009</v>
      </c>
      <c r="Y43">
        <v>36</v>
      </c>
      <c r="Z43" t="s">
        <v>968</v>
      </c>
      <c r="AA43" s="21" t="s">
        <v>2140</v>
      </c>
      <c r="AB43" s="21" t="s">
        <v>204</v>
      </c>
      <c r="AC43"/>
      <c r="AD43" s="21" t="s">
        <v>13</v>
      </c>
      <c r="AF43" s="21" t="s">
        <v>965</v>
      </c>
      <c r="AG43" s="21" t="str">
        <f>IFERROR(IF(FIND("?",ckAwdTable[[#This Row],[abst_narr_txt]]),SummarizeQuestMarks(ckAwdTable[[#This Row],[abst_narr_txt]]),""),"")</f>
        <v/>
      </c>
      <c r="AI43" s="13">
        <v>450000</v>
      </c>
      <c r="AJ43" s="21">
        <v>0</v>
      </c>
      <c r="AK43" s="1">
        <v>450000</v>
      </c>
      <c r="AL43" s="1"/>
      <c r="AM43" s="1"/>
      <c r="AN43" s="1">
        <v>115470</v>
      </c>
      <c r="AP43" s="21"/>
      <c r="AQ43" s="21">
        <v>3</v>
      </c>
      <c r="AR43" s="21"/>
      <c r="AS43" s="21"/>
      <c r="AT43" s="21">
        <v>1.8</v>
      </c>
      <c r="AU43" s="8" t="s">
        <v>973</v>
      </c>
      <c r="AV43" t="s">
        <v>1211</v>
      </c>
      <c r="AW43" t="b">
        <f>AND(ckAwdTable[[#This Row],[ILN]]&gt;"M", SUBSTITUTE(ckAwdTable[[#This Row],[prop_titl_txt]]," ","")&lt;&gt;SUBSTITUTE(AV42," ",""))</f>
        <v>0</v>
      </c>
      <c r="AX43" s="8" t="s">
        <v>1216</v>
      </c>
      <c r="BB43"/>
      <c r="BC43"/>
      <c r="BD43"/>
      <c r="BI43" s="1"/>
      <c r="BL43"/>
      <c r="BM43" s="13"/>
      <c r="BP43"/>
    </row>
    <row r="44" spans="1:68" x14ac:dyDescent="0.4">
      <c r="A44" s="30">
        <v>42955.725289351853</v>
      </c>
      <c r="B44" s="30">
        <v>42809.477083333331</v>
      </c>
      <c r="C44" t="s">
        <v>1136</v>
      </c>
      <c r="D44" t="s">
        <v>222</v>
      </c>
      <c r="E44" t="s">
        <v>1137</v>
      </c>
      <c r="F44" t="s">
        <v>406</v>
      </c>
      <c r="G44" s="8" t="s">
        <v>976</v>
      </c>
      <c r="H44" s="8" t="s">
        <v>172</v>
      </c>
      <c r="I44" s="8" t="s">
        <v>962</v>
      </c>
      <c r="J44" t="s">
        <v>94</v>
      </c>
      <c r="K44" t="s">
        <v>1135</v>
      </c>
      <c r="L44" s="22">
        <v>42914.640474537038</v>
      </c>
      <c r="M44">
        <f xml:space="preserve"> M43+(ckAwdTable[ILN]&lt;"M")</f>
        <v>36</v>
      </c>
      <c r="N44" t="s">
        <v>965</v>
      </c>
      <c r="O44" t="s">
        <v>1207</v>
      </c>
      <c r="P44" s="15" t="str">
        <f>HYPERLINK("https://www.ejacket.nsf.gov/ej/showProposal.do?ID="&amp;ckAwdTable[[#This Row],[prop_id]],"eJ")</f>
        <v>eJ</v>
      </c>
      <c r="Q44" s="8" t="s">
        <v>224</v>
      </c>
      <c r="R44" t="s">
        <v>1217</v>
      </c>
      <c r="S44" t="s">
        <v>1218</v>
      </c>
      <c r="T44" t="s">
        <v>1219</v>
      </c>
      <c r="U44" s="8" t="s">
        <v>1220</v>
      </c>
      <c r="V44" t="s">
        <v>281</v>
      </c>
      <c r="W44" s="15" t="str">
        <f>HYPERLINK("mailto:"&amp; ckAwdTable[[#This Row],[email]]&amp;"&amp;subject=Your NSF Proposal:  "&amp;ckAwdTable[[#This Row],[prop_id]], ckAwdTable[[#This Row],[email]])</f>
        <v>gelman@stat.columbia.edu</v>
      </c>
      <c r="X44" s="30">
        <v>43009</v>
      </c>
      <c r="Y44">
        <v>36</v>
      </c>
      <c r="AA44" s="21" t="s">
        <v>13</v>
      </c>
      <c r="AB44" s="21" t="s">
        <v>972</v>
      </c>
      <c r="AC44"/>
      <c r="AD44" s="21" t="s">
        <v>13</v>
      </c>
      <c r="AF44" s="21" t="s">
        <v>965</v>
      </c>
      <c r="AG44" s="21" t="str">
        <f>IFERROR(IF(FIND("?",ckAwdTable[[#This Row],[abst_narr_txt]]),SummarizeQuestMarks(ckAwdTable[[#This Row],[abst_narr_txt]]),""),"")</f>
        <v/>
      </c>
      <c r="AI44" s="13">
        <v>438059</v>
      </c>
      <c r="AJ44" s="21">
        <v>1</v>
      </c>
      <c r="AK44" s="1">
        <v>438059</v>
      </c>
      <c r="AL44" s="1"/>
      <c r="AM44" s="1"/>
      <c r="AP44" s="21"/>
      <c r="AQ44" s="21">
        <v>3</v>
      </c>
      <c r="AR44" s="21">
        <v>0.75</v>
      </c>
      <c r="AS44" s="21"/>
      <c r="AT44" s="21"/>
      <c r="AU44" s="8" t="s">
        <v>973</v>
      </c>
      <c r="AV44" t="s">
        <v>1211</v>
      </c>
      <c r="AW44" t="b">
        <f>AND(ckAwdTable[[#This Row],[ILN]]&gt;"M", SUBSTITUTE(ckAwdTable[[#This Row],[prop_titl_txt]]," ","")&lt;&gt;SUBSTITUTE(AV43," ",""))</f>
        <v>0</v>
      </c>
      <c r="AX44" s="8" t="s">
        <v>1221</v>
      </c>
      <c r="BB44"/>
      <c r="BC44"/>
      <c r="BD44"/>
      <c r="BI44" s="1"/>
      <c r="BL44"/>
      <c r="BM44" s="13"/>
      <c r="BP44"/>
    </row>
    <row r="45" spans="1:68" x14ac:dyDescent="0.4">
      <c r="A45" s="30">
        <v>42934.517997685187</v>
      </c>
      <c r="B45" s="30">
        <v>42809.505555555559</v>
      </c>
      <c r="C45" t="s">
        <v>1136</v>
      </c>
      <c r="D45" t="s">
        <v>222</v>
      </c>
      <c r="E45" t="s">
        <v>1137</v>
      </c>
      <c r="F45" t="s">
        <v>451</v>
      </c>
      <c r="G45" s="8" t="s">
        <v>992</v>
      </c>
      <c r="H45" s="8" t="s">
        <v>172</v>
      </c>
      <c r="I45" s="8" t="s">
        <v>2135</v>
      </c>
      <c r="J45" t="s">
        <v>94</v>
      </c>
      <c r="K45" t="s">
        <v>1135</v>
      </c>
      <c r="L45" s="22">
        <v>42933.641435185185</v>
      </c>
      <c r="M45">
        <f xml:space="preserve"> M44+(ckAwdTable[ILN]&lt;"M")</f>
        <v>37</v>
      </c>
      <c r="N45" t="s">
        <v>96</v>
      </c>
      <c r="O45" t="s">
        <v>1222</v>
      </c>
      <c r="P45" s="15" t="str">
        <f>HYPERLINK("https://www.ejacket.nsf.gov/ej/showProposal.do?ID="&amp;ckAwdTable[[#This Row],[prop_id]],"eJ")</f>
        <v>eJ</v>
      </c>
      <c r="Q45" s="8" t="s">
        <v>224</v>
      </c>
      <c r="R45" t="s">
        <v>1222</v>
      </c>
      <c r="S45" t="s">
        <v>1223</v>
      </c>
      <c r="T45" t="s">
        <v>1224</v>
      </c>
      <c r="U45" s="8" t="s">
        <v>223</v>
      </c>
      <c r="V45" t="s">
        <v>280</v>
      </c>
      <c r="W45" s="15" t="str">
        <f>HYPERLINK("mailto:"&amp; ckAwdTable[[#This Row],[email]]&amp;"&amp;subject=Your NSF Proposal:  "&amp;ckAwdTable[[#This Row],[prop_id]], ckAwdTable[[#This Row],[email]])</f>
        <v>indyk@mit.edu</v>
      </c>
      <c r="X45" s="30">
        <v>43009</v>
      </c>
      <c r="Y45">
        <v>36</v>
      </c>
      <c r="AA45" s="21" t="s">
        <v>13</v>
      </c>
      <c r="AB45" s="21" t="s">
        <v>972</v>
      </c>
      <c r="AC45"/>
      <c r="AD45" s="21" t="s">
        <v>13</v>
      </c>
      <c r="AF45" s="21" t="s">
        <v>965</v>
      </c>
      <c r="AG45" s="21" t="str">
        <f>IFERROR(IF(FIND("?",ckAwdTable[[#This Row],[abst_narr_txt]]),SummarizeQuestMarks(ckAwdTable[[#This Row],[abst_narr_txt]]),""),"")</f>
        <v/>
      </c>
      <c r="AH45" s="21" t="s">
        <v>1864</v>
      </c>
      <c r="AI45" s="13">
        <v>1500000</v>
      </c>
      <c r="AJ45" s="21">
        <v>1</v>
      </c>
      <c r="AK45" s="1">
        <v>1368500</v>
      </c>
      <c r="AL45" s="1"/>
      <c r="AM45" s="1"/>
      <c r="AN45" s="1">
        <v>248951</v>
      </c>
      <c r="AP45" s="21"/>
      <c r="AQ45" s="21">
        <v>15</v>
      </c>
      <c r="AR45" s="21">
        <v>12</v>
      </c>
      <c r="AS45" s="21"/>
      <c r="AT45" s="21"/>
      <c r="AU45" s="8" t="s">
        <v>991</v>
      </c>
      <c r="AV45" t="s">
        <v>1227</v>
      </c>
      <c r="AW45" t="b">
        <f>AND(ckAwdTable[[#This Row],[ILN]]&gt;"M", SUBSTITUTE(ckAwdTable[[#This Row],[prop_titl_txt]]," ","")&lt;&gt;SUBSTITUTE(AV44," ",""))</f>
        <v>0</v>
      </c>
      <c r="AX45" s="8" t="s">
        <v>1225</v>
      </c>
      <c r="BB45"/>
      <c r="BC45"/>
      <c r="BD45"/>
      <c r="BI45" s="1"/>
      <c r="BL45"/>
      <c r="BM45" s="13"/>
      <c r="BP45"/>
    </row>
    <row r="46" spans="1:68" x14ac:dyDescent="0.4">
      <c r="A46" s="30">
        <v>42955.695937500001</v>
      </c>
      <c r="B46" s="30">
        <v>42809.513194444444</v>
      </c>
      <c r="C46" t="s">
        <v>1136</v>
      </c>
      <c r="D46" t="s">
        <v>222</v>
      </c>
      <c r="E46" t="s">
        <v>1137</v>
      </c>
      <c r="F46" t="s">
        <v>406</v>
      </c>
      <c r="G46" s="8" t="s">
        <v>976</v>
      </c>
      <c r="H46" s="8" t="s">
        <v>172</v>
      </c>
      <c r="I46" s="8" t="s">
        <v>962</v>
      </c>
      <c r="J46" t="s">
        <v>94</v>
      </c>
      <c r="K46" t="s">
        <v>1135</v>
      </c>
      <c r="L46" s="22">
        <v>42914.640543981484</v>
      </c>
      <c r="M46">
        <f xml:space="preserve"> M45+(ckAwdTable[ILN]&lt;"M")</f>
        <v>38</v>
      </c>
      <c r="N46" t="s">
        <v>96</v>
      </c>
      <c r="O46" t="s">
        <v>1228</v>
      </c>
      <c r="P46" s="15" t="str">
        <f>HYPERLINK("https://www.ejacket.nsf.gov/ej/showProposal.do?ID="&amp;ckAwdTable[[#This Row],[prop_id]],"eJ")</f>
        <v>eJ</v>
      </c>
      <c r="Q46" s="8" t="s">
        <v>224</v>
      </c>
      <c r="R46" t="s">
        <v>1228</v>
      </c>
      <c r="S46" t="s">
        <v>1229</v>
      </c>
      <c r="T46" t="s">
        <v>1230</v>
      </c>
      <c r="U46" s="8" t="s">
        <v>1231</v>
      </c>
      <c r="V46" t="s">
        <v>276</v>
      </c>
      <c r="W46" s="15" t="str">
        <f>HYPERLINK("mailto:"&amp; ckAwdTable[[#This Row],[email]]&amp;"&amp;subject=Your NSF Proposal:  "&amp;ckAwdTable[[#This Row],[prop_id]], ckAwdTable[[#This Row],[email]])</f>
        <v>brian@cse.lehigh.edu</v>
      </c>
      <c r="X46" s="30">
        <v>43009</v>
      </c>
      <c r="Y46">
        <v>36</v>
      </c>
      <c r="Z46" t="s">
        <v>968</v>
      </c>
      <c r="AA46" s="21" t="s">
        <v>13</v>
      </c>
      <c r="AB46" s="21" t="s">
        <v>972</v>
      </c>
      <c r="AC46"/>
      <c r="AD46" s="21" t="s">
        <v>13</v>
      </c>
      <c r="AE46" s="21" t="s">
        <v>2141</v>
      </c>
      <c r="AF46" s="21" t="s">
        <v>965</v>
      </c>
      <c r="AG46" s="21" t="str">
        <f>IFERROR(IF(FIND("?",ckAwdTable[[#This Row],[abst_narr_txt]]),SummarizeQuestMarks(ckAwdTable[[#This Row],[abst_narr_txt]]),""),"")</f>
        <v/>
      </c>
      <c r="AI46" s="13">
        <v>1499915</v>
      </c>
      <c r="AJ46" s="21">
        <v>0</v>
      </c>
      <c r="AK46" s="1">
        <v>1499915</v>
      </c>
      <c r="AL46" s="1"/>
      <c r="AM46" s="1">
        <v>29000</v>
      </c>
      <c r="AN46" s="1">
        <v>170000</v>
      </c>
      <c r="AO46" s="1">
        <v>8000</v>
      </c>
      <c r="AP46" s="21">
        <v>18</v>
      </c>
      <c r="AQ46" s="21">
        <v>36</v>
      </c>
      <c r="AR46" s="21">
        <v>12</v>
      </c>
      <c r="AS46" s="21"/>
      <c r="AT46" s="21"/>
      <c r="AU46" s="8" t="s">
        <v>973</v>
      </c>
      <c r="AV46" t="s">
        <v>1234</v>
      </c>
      <c r="AW46" t="b">
        <f>AND(ckAwdTable[[#This Row],[ILN]]&gt;"M", SUBSTITUTE(ckAwdTable[[#This Row],[prop_titl_txt]]," ","")&lt;&gt;SUBSTITUTE(AV45," ",""))</f>
        <v>0</v>
      </c>
      <c r="AX46" s="8" t="s">
        <v>1232</v>
      </c>
      <c r="BB46"/>
      <c r="BC46"/>
      <c r="BD46"/>
      <c r="BI46" s="1"/>
      <c r="BL46"/>
      <c r="BM46" s="13"/>
      <c r="BP46"/>
    </row>
    <row r="47" spans="1:68" x14ac:dyDescent="0.4">
      <c r="A47" s="30">
        <v>42954.665173611109</v>
      </c>
      <c r="B47" s="30">
        <v>42809.573611111111</v>
      </c>
      <c r="C47" t="s">
        <v>1136</v>
      </c>
      <c r="D47" t="s">
        <v>222</v>
      </c>
      <c r="E47" t="s">
        <v>1137</v>
      </c>
      <c r="F47" t="s">
        <v>451</v>
      </c>
      <c r="G47" s="8" t="s">
        <v>976</v>
      </c>
      <c r="H47" s="8" t="s">
        <v>172</v>
      </c>
      <c r="I47" s="8" t="s">
        <v>962</v>
      </c>
      <c r="J47" t="s">
        <v>94</v>
      </c>
      <c r="K47" t="s">
        <v>1135</v>
      </c>
      <c r="L47" s="22">
        <v>42951.496446759258</v>
      </c>
      <c r="M47">
        <f xml:space="preserve"> M46+(ckAwdTable[ILN]&lt;"M")</f>
        <v>39</v>
      </c>
      <c r="N47" t="s">
        <v>96</v>
      </c>
      <c r="O47" t="s">
        <v>1235</v>
      </c>
      <c r="P47" s="15" t="str">
        <f>HYPERLINK("https://www.ejacket.nsf.gov/ej/showProposal.do?ID="&amp;ckAwdTable[[#This Row],[prop_id]],"eJ")</f>
        <v>eJ</v>
      </c>
      <c r="Q47" s="8" t="s">
        <v>224</v>
      </c>
      <c r="R47" t="s">
        <v>1235</v>
      </c>
      <c r="S47" t="s">
        <v>1236</v>
      </c>
      <c r="T47" t="s">
        <v>1237</v>
      </c>
      <c r="U47" s="8" t="s">
        <v>424</v>
      </c>
      <c r="V47" t="s">
        <v>276</v>
      </c>
      <c r="W47" s="15" t="str">
        <f>HYPERLINK("mailto:"&amp; ckAwdTable[[#This Row],[email]]&amp;"&amp;subject=Your NSF Proposal:  "&amp;ckAwdTable[[#This Row],[prop_id]], ckAwdTable[[#This Row],[email]])</f>
        <v>larry@stat.cmu.edu</v>
      </c>
      <c r="X47" s="30">
        <v>43282</v>
      </c>
      <c r="Y47">
        <v>36</v>
      </c>
      <c r="AA47" s="21" t="s">
        <v>13</v>
      </c>
      <c r="AB47" s="21" t="s">
        <v>972</v>
      </c>
      <c r="AC47"/>
      <c r="AD47" s="21" t="s">
        <v>13</v>
      </c>
      <c r="AF47" s="21" t="s">
        <v>965</v>
      </c>
      <c r="AG47" s="21" t="str">
        <f>IFERROR(IF(FIND("?",ckAwdTable[[#This Row],[abst_narr_txt]]),SummarizeQuestMarks(ckAwdTable[[#This Row],[abst_narr_txt]]),""),"")</f>
        <v/>
      </c>
      <c r="AI47" s="13">
        <v>1500000</v>
      </c>
      <c r="AJ47" s="21">
        <v>0</v>
      </c>
      <c r="AK47" s="1">
        <v>1500000</v>
      </c>
      <c r="AL47" s="1"/>
      <c r="AM47" s="1"/>
      <c r="AO47" s="1">
        <v>66540</v>
      </c>
      <c r="AP47" s="21">
        <v>18</v>
      </c>
      <c r="AQ47" s="21">
        <v>15</v>
      </c>
      <c r="AR47" s="21">
        <v>3</v>
      </c>
      <c r="AS47" s="21"/>
      <c r="AT47" s="21">
        <v>6</v>
      </c>
      <c r="AU47" s="8" t="s">
        <v>973</v>
      </c>
      <c r="AV47" t="s">
        <v>1240</v>
      </c>
      <c r="AW47" t="b">
        <f>AND(ckAwdTable[[#This Row],[ILN]]&gt;"M", SUBSTITUTE(ckAwdTable[[#This Row],[prop_titl_txt]]," ","")&lt;&gt;SUBSTITUTE(AV46," ",""))</f>
        <v>0</v>
      </c>
      <c r="AX47" s="8" t="s">
        <v>1238</v>
      </c>
      <c r="BB47"/>
      <c r="BC47"/>
      <c r="BD47"/>
      <c r="BI47" s="1"/>
      <c r="BL47"/>
      <c r="BM47" s="13"/>
      <c r="BP47"/>
    </row>
    <row r="48" spans="1:68" x14ac:dyDescent="0.4">
      <c r="A48" s="30">
        <v>42930.452893518515</v>
      </c>
      <c r="B48" s="30">
        <v>42809.593055555553</v>
      </c>
      <c r="C48" t="s">
        <v>1136</v>
      </c>
      <c r="D48" t="s">
        <v>222</v>
      </c>
      <c r="E48" t="s">
        <v>1137</v>
      </c>
      <c r="F48" t="s">
        <v>1241</v>
      </c>
      <c r="G48" s="8" t="s">
        <v>992</v>
      </c>
      <c r="H48" s="8" t="s">
        <v>172</v>
      </c>
      <c r="I48" s="8" t="s">
        <v>2135</v>
      </c>
      <c r="J48" t="s">
        <v>94</v>
      </c>
      <c r="K48" t="s">
        <v>1135</v>
      </c>
      <c r="L48" s="22">
        <v>42926.717858796299</v>
      </c>
      <c r="M48">
        <f xml:space="preserve"> M47+(ckAwdTable[ILN]&lt;"M")</f>
        <v>40</v>
      </c>
      <c r="N48" t="s">
        <v>96</v>
      </c>
      <c r="O48" t="s">
        <v>1242</v>
      </c>
      <c r="P48" s="15" t="str">
        <f>HYPERLINK("https://www.ejacket.nsf.gov/ej/showProposal.do?ID="&amp;ckAwdTable[[#This Row],[prop_id]],"eJ")</f>
        <v>eJ</v>
      </c>
      <c r="Q48" s="8" t="s">
        <v>224</v>
      </c>
      <c r="R48" t="s">
        <v>1242</v>
      </c>
      <c r="S48" t="s">
        <v>1243</v>
      </c>
      <c r="T48" t="s">
        <v>1244</v>
      </c>
      <c r="U48" s="8" t="s">
        <v>1040</v>
      </c>
      <c r="V48" t="s">
        <v>283</v>
      </c>
      <c r="W48" s="15" t="str">
        <f>HYPERLINK("mailto:"&amp; ckAwdTable[[#This Row],[email]]&amp;"&amp;subject=Your NSF Proposal:  "&amp;ckAwdTable[[#This Row],[prop_id]], ckAwdTable[[#This Row],[email]])</f>
        <v>xiaoming@isye.gatech.edu</v>
      </c>
      <c r="X48" s="30">
        <v>42979</v>
      </c>
      <c r="Y48">
        <v>36</v>
      </c>
      <c r="AA48" s="21" t="s">
        <v>13</v>
      </c>
      <c r="AB48" s="21" t="s">
        <v>972</v>
      </c>
      <c r="AC48"/>
      <c r="AD48" s="21" t="s">
        <v>13</v>
      </c>
      <c r="AE48" s="21" t="s">
        <v>2142</v>
      </c>
      <c r="AF48" s="21" t="s">
        <v>965</v>
      </c>
      <c r="AG48" s="21" t="str">
        <f>IFERROR(IF(FIND("?",ckAwdTable[[#This Row],[abst_narr_txt]]),SummarizeQuestMarks(ckAwdTable[[#This Row],[abst_narr_txt]]),""),"")</f>
        <v/>
      </c>
      <c r="AH48" s="21" t="s">
        <v>1882</v>
      </c>
      <c r="AI48" s="13">
        <v>1500000</v>
      </c>
      <c r="AJ48" s="21">
        <v>0</v>
      </c>
      <c r="AK48" s="1">
        <v>1500000</v>
      </c>
      <c r="AL48" s="1"/>
      <c r="AM48" s="1">
        <v>22500</v>
      </c>
      <c r="AN48" s="1">
        <v>185454</v>
      </c>
      <c r="AO48" s="1">
        <v>168750</v>
      </c>
      <c r="AP48" s="21">
        <v>6</v>
      </c>
      <c r="AQ48" s="21">
        <v>24</v>
      </c>
      <c r="AR48" s="21"/>
      <c r="AS48" s="21"/>
      <c r="AT48" s="21">
        <v>3.87</v>
      </c>
      <c r="AU48" s="8" t="s">
        <v>991</v>
      </c>
      <c r="AV48" t="s">
        <v>1246</v>
      </c>
      <c r="AW48" t="b">
        <f>AND(ckAwdTable[[#This Row],[ILN]]&gt;"M", SUBSTITUTE(ckAwdTable[[#This Row],[prop_titl_txt]]," ","")&lt;&gt;SUBSTITUTE(AV47," ",""))</f>
        <v>0</v>
      </c>
      <c r="AX48" s="8" t="s">
        <v>1245</v>
      </c>
      <c r="BB48"/>
      <c r="BC48"/>
      <c r="BD48"/>
      <c r="BI48" s="1"/>
      <c r="BL48"/>
      <c r="BM48" s="13"/>
      <c r="BP48"/>
    </row>
    <row r="49" spans="1:68" x14ac:dyDescent="0.4">
      <c r="A49" s="30">
        <v>42955.726944444446</v>
      </c>
      <c r="B49" s="30">
        <v>42809.597916666666</v>
      </c>
      <c r="C49" t="s">
        <v>1136</v>
      </c>
      <c r="D49" t="s">
        <v>222</v>
      </c>
      <c r="E49" t="s">
        <v>1137</v>
      </c>
      <c r="F49" t="s">
        <v>406</v>
      </c>
      <c r="G49" s="8" t="s">
        <v>976</v>
      </c>
      <c r="H49" s="8" t="s">
        <v>172</v>
      </c>
      <c r="I49" s="8" t="s">
        <v>962</v>
      </c>
      <c r="J49" t="s">
        <v>94</v>
      </c>
      <c r="K49" t="s">
        <v>1135</v>
      </c>
      <c r="L49" s="22">
        <v>42914.640601851854</v>
      </c>
      <c r="M49">
        <f xml:space="preserve"> M48+(ckAwdTable[ILN]&lt;"M")</f>
        <v>41</v>
      </c>
      <c r="N49" t="s">
        <v>1145</v>
      </c>
      <c r="O49" t="s">
        <v>1247</v>
      </c>
      <c r="P49" s="15" t="str">
        <f>HYPERLINK("https://www.ejacket.nsf.gov/ej/showProposal.do?ID="&amp;ckAwdTable[[#This Row],[prop_id]],"eJ")</f>
        <v>eJ</v>
      </c>
      <c r="Q49" s="8" t="s">
        <v>224</v>
      </c>
      <c r="R49" t="s">
        <v>1247</v>
      </c>
      <c r="S49" t="s">
        <v>1248</v>
      </c>
      <c r="T49" t="s">
        <v>1249</v>
      </c>
      <c r="U49" s="8" t="s">
        <v>1250</v>
      </c>
      <c r="V49" t="s">
        <v>281</v>
      </c>
      <c r="W49" s="15" t="str">
        <f>HYPERLINK("mailto:"&amp; ckAwdTable[[#This Row],[email]]&amp;"&amp;subject=Your NSF Proposal:  "&amp;ckAwdTable[[#This Row],[prop_id]], ckAwdTable[[#This Row],[email]])</f>
        <v>carbonjo@buffalostate.edu</v>
      </c>
      <c r="X49" s="30">
        <v>42979</v>
      </c>
      <c r="Y49">
        <v>36</v>
      </c>
      <c r="AA49" s="21" t="s">
        <v>13</v>
      </c>
      <c r="AB49" s="21" t="s">
        <v>972</v>
      </c>
      <c r="AC49"/>
      <c r="AD49" s="21" t="s">
        <v>13</v>
      </c>
      <c r="AF49" s="21" t="s">
        <v>965</v>
      </c>
      <c r="AG49" s="21" t="str">
        <f>IFERROR(IF(FIND("?",ckAwdTable[[#This Row],[abst_narr_txt]]),SummarizeQuestMarks(ckAwdTable[[#This Row],[abst_narr_txt]]),""),"")</f>
        <v/>
      </c>
      <c r="AI49" s="13">
        <v>285964</v>
      </c>
      <c r="AJ49" s="21">
        <v>0</v>
      </c>
      <c r="AK49" s="1">
        <v>285964</v>
      </c>
      <c r="AL49" s="1"/>
      <c r="AM49" s="1"/>
      <c r="AO49" s="1">
        <v>10000</v>
      </c>
      <c r="AP49" s="21">
        <v>3</v>
      </c>
      <c r="AQ49" s="21">
        <v>6</v>
      </c>
      <c r="AR49" s="21">
        <v>6</v>
      </c>
      <c r="AS49" s="21"/>
      <c r="AT49" s="21"/>
      <c r="AU49" s="8" t="s">
        <v>973</v>
      </c>
      <c r="AV49" t="s">
        <v>1253</v>
      </c>
      <c r="AW49" t="b">
        <f>AND(ckAwdTable[[#This Row],[ILN]]&gt;"M", SUBSTITUTE(ckAwdTable[[#This Row],[prop_titl_txt]]," ","")&lt;&gt;SUBSTITUTE(AV48," ",""))</f>
        <v>0</v>
      </c>
      <c r="AX49" s="8" t="s">
        <v>1251</v>
      </c>
      <c r="BB49"/>
      <c r="BC49"/>
      <c r="BD49"/>
      <c r="BI49" s="1"/>
      <c r="BL49"/>
      <c r="BM49" s="13"/>
      <c r="BP49"/>
    </row>
    <row r="50" spans="1:68" x14ac:dyDescent="0.4">
      <c r="A50" s="30">
        <v>42955.726944444446</v>
      </c>
      <c r="B50" s="30">
        <v>42809.414583333331</v>
      </c>
      <c r="C50" t="s">
        <v>1136</v>
      </c>
      <c r="D50" t="s">
        <v>222</v>
      </c>
      <c r="E50" t="s">
        <v>1137</v>
      </c>
      <c r="F50" t="s">
        <v>406</v>
      </c>
      <c r="G50" s="8" t="s">
        <v>976</v>
      </c>
      <c r="H50" s="8" t="s">
        <v>172</v>
      </c>
      <c r="I50" s="8" t="s">
        <v>962</v>
      </c>
      <c r="J50" t="s">
        <v>94</v>
      </c>
      <c r="K50" t="s">
        <v>1135</v>
      </c>
      <c r="L50" s="22">
        <v>42914.640601851854</v>
      </c>
      <c r="M50">
        <f xml:space="preserve"> M49+(ckAwdTable[ILN]&lt;"M")</f>
        <v>41</v>
      </c>
      <c r="N50" t="s">
        <v>965</v>
      </c>
      <c r="O50" t="s">
        <v>1247</v>
      </c>
      <c r="P50" s="15" t="str">
        <f>HYPERLINK("https://www.ejacket.nsf.gov/ej/showProposal.do?ID="&amp;ckAwdTable[[#This Row],[prop_id]],"eJ")</f>
        <v>eJ</v>
      </c>
      <c r="Q50" s="8" t="s">
        <v>224</v>
      </c>
      <c r="R50" t="s">
        <v>1254</v>
      </c>
      <c r="S50" t="s">
        <v>1255</v>
      </c>
      <c r="T50" t="s">
        <v>1256</v>
      </c>
      <c r="U50" s="8" t="s">
        <v>220</v>
      </c>
      <c r="V50" t="s">
        <v>281</v>
      </c>
      <c r="W50" s="15" t="str">
        <f>HYPERLINK("mailto:"&amp; ckAwdTable[[#This Row],[email]]&amp;"&amp;subject=Your NSF Proposal:  "&amp;ckAwdTable[[#This Row],[prop_id]], ckAwdTable[[#This Row],[email]])</f>
        <v>jsperhac@buffalo.edu</v>
      </c>
      <c r="X50" s="30">
        <v>42979</v>
      </c>
      <c r="Y50">
        <v>36</v>
      </c>
      <c r="AA50" s="21" t="s">
        <v>13</v>
      </c>
      <c r="AB50" s="21" t="s">
        <v>972</v>
      </c>
      <c r="AC50"/>
      <c r="AD50" s="21" t="s">
        <v>13</v>
      </c>
      <c r="AF50" s="21" t="s">
        <v>965</v>
      </c>
      <c r="AG50" s="21" t="str">
        <f>IFERROR(IF(FIND("?",ckAwdTable[[#This Row],[abst_narr_txt]]),SummarizeQuestMarks(ckAwdTable[[#This Row],[abst_narr_txt]]),""),"")</f>
        <v/>
      </c>
      <c r="AI50" s="13">
        <v>209549</v>
      </c>
      <c r="AJ50" s="21">
        <v>0</v>
      </c>
      <c r="AK50" s="1">
        <v>209549</v>
      </c>
      <c r="AL50" s="1"/>
      <c r="AM50" s="1"/>
      <c r="AP50" s="21"/>
      <c r="AQ50" s="21">
        <v>3</v>
      </c>
      <c r="AR50" s="21"/>
      <c r="AS50" s="21"/>
      <c r="AT50" s="21">
        <v>11.44</v>
      </c>
      <c r="AU50" s="8" t="s">
        <v>973</v>
      </c>
      <c r="AV50" t="s">
        <v>1253</v>
      </c>
      <c r="AW50" t="b">
        <f>AND(ckAwdTable[[#This Row],[ILN]]&gt;"M", SUBSTITUTE(ckAwdTable[[#This Row],[prop_titl_txt]]," ","")&lt;&gt;SUBSTITUTE(AV49," ",""))</f>
        <v>0</v>
      </c>
      <c r="AX50" s="8" t="s">
        <v>1257</v>
      </c>
      <c r="BB50"/>
      <c r="BC50"/>
      <c r="BD50"/>
      <c r="BI50" s="1"/>
      <c r="BL50"/>
      <c r="BM50" s="13"/>
      <c r="BP50"/>
    </row>
    <row r="51" spans="1:68" x14ac:dyDescent="0.4">
      <c r="A51" s="30">
        <v>42955.726944444446</v>
      </c>
      <c r="B51" s="30">
        <v>42809.475694444445</v>
      </c>
      <c r="C51" t="s">
        <v>1136</v>
      </c>
      <c r="D51" t="s">
        <v>222</v>
      </c>
      <c r="E51" t="s">
        <v>1137</v>
      </c>
      <c r="F51"/>
      <c r="G51" s="8"/>
      <c r="H51" s="8"/>
      <c r="I51" s="8"/>
      <c r="J51"/>
      <c r="K51" t="s">
        <v>1135</v>
      </c>
      <c r="L51" s="22">
        <v>42914.640601851854</v>
      </c>
      <c r="M51">
        <f xml:space="preserve"> M50+(ckAwdTable[ILN]&lt;"M")</f>
        <v>41</v>
      </c>
      <c r="N51" t="s">
        <v>965</v>
      </c>
      <c r="O51" t="s">
        <v>1247</v>
      </c>
      <c r="P51" s="15" t="str">
        <f>HYPERLINK("https://www.ejacket.nsf.gov/ej/showProposal.do?ID="&amp;ckAwdTable[[#This Row],[prop_id]],"eJ")</f>
        <v>eJ</v>
      </c>
      <c r="Q51" s="8" t="s">
        <v>224</v>
      </c>
      <c r="R51" t="s">
        <v>1258</v>
      </c>
      <c r="S51" t="s">
        <v>1259</v>
      </c>
      <c r="T51" t="s">
        <v>1260</v>
      </c>
      <c r="U51" s="8" t="s">
        <v>1261</v>
      </c>
      <c r="V51" t="s">
        <v>281</v>
      </c>
      <c r="W51" s="15" t="str">
        <f>HYPERLINK("mailto:"&amp; ckAwdTable[[#This Row],[email]]&amp;"&amp;subject=Your NSF Proposal:  "&amp;ckAwdTable[[#This Row],[prop_id]], ckAwdTable[[#This Row],[email]])</f>
        <v>ibichind@oswego.edu</v>
      </c>
      <c r="X51" s="30">
        <v>42979</v>
      </c>
      <c r="Y51">
        <v>36</v>
      </c>
      <c r="AA51" s="21" t="s">
        <v>13</v>
      </c>
      <c r="AB51" s="21" t="s">
        <v>972</v>
      </c>
      <c r="AC51"/>
      <c r="AD51" s="21" t="s">
        <v>13</v>
      </c>
      <c r="AE51" s="21" t="s">
        <v>2143</v>
      </c>
      <c r="AF51" s="21" t="s">
        <v>965</v>
      </c>
      <c r="AG51" s="21" t="str">
        <f>IFERROR(IF(FIND("?",ckAwdTable[[#This Row],[abst_narr_txt]]),SummarizeQuestMarks(ckAwdTable[[#This Row],[abst_narr_txt]]),""),"")</f>
        <v/>
      </c>
      <c r="AI51" s="13">
        <v>361729</v>
      </c>
      <c r="AJ51" s="21">
        <v>0</v>
      </c>
      <c r="AK51" s="1">
        <v>361729</v>
      </c>
      <c r="AL51" s="1"/>
      <c r="AM51" s="1">
        <v>18000</v>
      </c>
      <c r="AP51" s="21">
        <v>12</v>
      </c>
      <c r="AQ51" s="21">
        <v>9</v>
      </c>
      <c r="AR51" s="21">
        <v>5.13</v>
      </c>
      <c r="AS51" s="21"/>
      <c r="AT51" s="21"/>
      <c r="AU51" s="8" t="s">
        <v>973</v>
      </c>
      <c r="AV51" t="s">
        <v>1253</v>
      </c>
      <c r="AW51" t="b">
        <f>AND(ckAwdTable[[#This Row],[ILN]]&gt;"M", SUBSTITUTE(ckAwdTable[[#This Row],[prop_titl_txt]]," ","")&lt;&gt;SUBSTITUTE(AV50," ",""))</f>
        <v>0</v>
      </c>
      <c r="AX51" s="8" t="s">
        <v>1262</v>
      </c>
      <c r="BB51"/>
      <c r="BC51"/>
      <c r="BD51"/>
      <c r="BI51" s="1"/>
      <c r="BL51"/>
      <c r="BM51" s="13"/>
      <c r="BP51"/>
    </row>
    <row r="52" spans="1:68" x14ac:dyDescent="0.4">
      <c r="A52" s="30">
        <v>42955.726944444446</v>
      </c>
      <c r="B52" s="30">
        <v>42809.482638888891</v>
      </c>
      <c r="C52" t="s">
        <v>1136</v>
      </c>
      <c r="D52" t="s">
        <v>222</v>
      </c>
      <c r="E52" t="s">
        <v>1137</v>
      </c>
      <c r="F52" t="s">
        <v>406</v>
      </c>
      <c r="G52" s="8" t="s">
        <v>976</v>
      </c>
      <c r="H52" s="8" t="s">
        <v>172</v>
      </c>
      <c r="I52" s="8" t="s">
        <v>962</v>
      </c>
      <c r="J52" t="s">
        <v>94</v>
      </c>
      <c r="K52" t="s">
        <v>1135</v>
      </c>
      <c r="L52" s="22">
        <v>42914.640601851854</v>
      </c>
      <c r="M52">
        <f xml:space="preserve"> M51+(ckAwdTable[ILN]&lt;"M")</f>
        <v>41</v>
      </c>
      <c r="N52" t="s">
        <v>965</v>
      </c>
      <c r="O52" t="s">
        <v>1247</v>
      </c>
      <c r="P52" s="15" t="str">
        <f>HYPERLINK("https://www.ejacket.nsf.gov/ej/showProposal.do?ID="&amp;ckAwdTable[[#This Row],[prop_id]],"eJ")</f>
        <v>eJ</v>
      </c>
      <c r="Q52" s="8" t="s">
        <v>224</v>
      </c>
      <c r="R52" t="s">
        <v>1263</v>
      </c>
      <c r="S52" t="s">
        <v>1264</v>
      </c>
      <c r="T52" t="s">
        <v>1265</v>
      </c>
      <c r="U52" s="8" t="s">
        <v>1266</v>
      </c>
      <c r="V52" t="s">
        <v>281</v>
      </c>
      <c r="W52" s="15" t="str">
        <f>HYPERLINK("mailto:"&amp; ckAwdTable[[#This Row],[email]]&amp;"&amp;subject=Your NSF Proposal:  "&amp;ckAwdTable[[#This Row],[prop_id]], ckAwdTable[[#This Row],[email]])</f>
        <v>lisa.walters@fredonia.edu</v>
      </c>
      <c r="X52" s="30">
        <v>42979</v>
      </c>
      <c r="Y52">
        <v>36</v>
      </c>
      <c r="AA52" s="21" t="s">
        <v>13</v>
      </c>
      <c r="AB52" s="21" t="s">
        <v>972</v>
      </c>
      <c r="AC52"/>
      <c r="AD52" s="21" t="s">
        <v>13</v>
      </c>
      <c r="AE52" s="21" t="s">
        <v>274</v>
      </c>
      <c r="AF52" s="21" t="s">
        <v>965</v>
      </c>
      <c r="AG52" s="21" t="str">
        <f>IFERROR(IF(FIND("?",ckAwdTable[[#This Row],[abst_narr_txt]]),SummarizeQuestMarks(ckAwdTable[[#This Row],[abst_narr_txt]]),""),"")</f>
        <v/>
      </c>
      <c r="AI52" s="13">
        <v>248472</v>
      </c>
      <c r="AJ52" s="21">
        <v>0</v>
      </c>
      <c r="AK52" s="1">
        <v>248472</v>
      </c>
      <c r="AL52" s="1"/>
      <c r="AM52" s="1">
        <v>10500</v>
      </c>
      <c r="AO52" s="1">
        <v>20000</v>
      </c>
      <c r="AP52" s="21"/>
      <c r="AQ52" s="21">
        <v>6</v>
      </c>
      <c r="AR52" s="21">
        <v>6</v>
      </c>
      <c r="AS52" s="21"/>
      <c r="AT52" s="21"/>
      <c r="AU52" s="8" t="s">
        <v>973</v>
      </c>
      <c r="AV52" t="s">
        <v>1268</v>
      </c>
      <c r="AW52" t="b">
        <f>AND(ckAwdTable[[#This Row],[ILN]]&gt;"M", SUBSTITUTE(ckAwdTable[[#This Row],[prop_titl_txt]]," ","")&lt;&gt;SUBSTITUTE(AV51," ",""))</f>
        <v>1</v>
      </c>
      <c r="AX52" s="8" t="s">
        <v>1267</v>
      </c>
      <c r="BB52"/>
      <c r="BC52"/>
      <c r="BD52"/>
      <c r="BI52" s="1"/>
      <c r="BL52"/>
      <c r="BM52" s="13"/>
      <c r="BP52"/>
    </row>
    <row r="53" spans="1:68" x14ac:dyDescent="0.4">
      <c r="A53" s="30">
        <v>42955.726944444446</v>
      </c>
      <c r="B53" s="30">
        <v>42809.584722222222</v>
      </c>
      <c r="C53" t="s">
        <v>1136</v>
      </c>
      <c r="D53" t="s">
        <v>222</v>
      </c>
      <c r="E53" t="s">
        <v>1137</v>
      </c>
      <c r="F53" t="s">
        <v>406</v>
      </c>
      <c r="G53" s="8" t="s">
        <v>976</v>
      </c>
      <c r="H53" s="8" t="s">
        <v>172</v>
      </c>
      <c r="I53" s="8" t="s">
        <v>962</v>
      </c>
      <c r="J53" t="s">
        <v>94</v>
      </c>
      <c r="K53" t="s">
        <v>1135</v>
      </c>
      <c r="L53" s="22">
        <v>42914.640601851854</v>
      </c>
      <c r="M53">
        <f xml:space="preserve"> M52+(ckAwdTable[ILN]&lt;"M")</f>
        <v>41</v>
      </c>
      <c r="N53" t="s">
        <v>965</v>
      </c>
      <c r="O53" t="s">
        <v>1247</v>
      </c>
      <c r="P53" s="15" t="str">
        <f>HYPERLINK("https://www.ejacket.nsf.gov/ej/showProposal.do?ID="&amp;ckAwdTable[[#This Row],[prop_id]],"eJ")</f>
        <v>eJ</v>
      </c>
      <c r="Q53" s="8" t="s">
        <v>224</v>
      </c>
      <c r="R53" t="s">
        <v>1269</v>
      </c>
      <c r="S53" t="s">
        <v>1270</v>
      </c>
      <c r="T53" t="s">
        <v>1271</v>
      </c>
      <c r="U53" s="8" t="s">
        <v>1272</v>
      </c>
      <c r="V53" t="s">
        <v>281</v>
      </c>
      <c r="W53" s="15" t="str">
        <f>HYPERLINK("mailto:"&amp; ckAwdTable[[#This Row],[email]]&amp;"&amp;subject=Your NSF Proposal:  "&amp;ckAwdTable[[#This Row],[prop_id]], ckAwdTable[[#This Row],[email]])</f>
        <v>sdang@binghamton.edu</v>
      </c>
      <c r="X53" s="30">
        <v>42979</v>
      </c>
      <c r="Y53">
        <v>36</v>
      </c>
      <c r="AA53" s="21" t="s">
        <v>13</v>
      </c>
      <c r="AB53" s="21" t="s">
        <v>972</v>
      </c>
      <c r="AC53"/>
      <c r="AD53" s="21" t="s">
        <v>13</v>
      </c>
      <c r="AF53" s="21" t="s">
        <v>965</v>
      </c>
      <c r="AG53" s="21" t="str">
        <f>IFERROR(IF(FIND("?",ckAwdTable[[#This Row],[abst_narr_txt]]),SummarizeQuestMarks(ckAwdTable[[#This Row],[abst_narr_txt]]),""),"")</f>
        <v/>
      </c>
      <c r="AI53" s="13">
        <v>393365</v>
      </c>
      <c r="AJ53" s="21">
        <v>0</v>
      </c>
      <c r="AK53" s="1">
        <v>393365</v>
      </c>
      <c r="AL53" s="1"/>
      <c r="AM53" s="1"/>
      <c r="AP53" s="21">
        <v>13</v>
      </c>
      <c r="AQ53" s="21">
        <v>9</v>
      </c>
      <c r="AR53" s="21">
        <v>9</v>
      </c>
      <c r="AS53" s="21"/>
      <c r="AT53" s="21"/>
      <c r="AU53" s="8" t="s">
        <v>973</v>
      </c>
      <c r="AV53" t="s">
        <v>1253</v>
      </c>
      <c r="AW53" t="b">
        <f>AND(ckAwdTable[[#This Row],[ILN]]&gt;"M", SUBSTITUTE(ckAwdTable[[#This Row],[prop_titl_txt]]," ","")&lt;&gt;SUBSTITUTE(AV52," ",""))</f>
        <v>1</v>
      </c>
      <c r="AX53" s="8" t="s">
        <v>1273</v>
      </c>
      <c r="BB53"/>
      <c r="BC53"/>
      <c r="BD53"/>
      <c r="BI53" s="1"/>
      <c r="BL53"/>
      <c r="BM53" s="13"/>
      <c r="BP53"/>
    </row>
    <row r="54" spans="1:68" x14ac:dyDescent="0.4">
      <c r="A54" s="30">
        <v>42955.696875000001</v>
      </c>
      <c r="B54" s="30">
        <v>42809.598611111112</v>
      </c>
      <c r="C54" t="s">
        <v>1136</v>
      </c>
      <c r="D54" t="s">
        <v>222</v>
      </c>
      <c r="E54" t="s">
        <v>1137</v>
      </c>
      <c r="F54" t="s">
        <v>406</v>
      </c>
      <c r="G54" s="8" t="s">
        <v>976</v>
      </c>
      <c r="H54" s="8" t="s">
        <v>172</v>
      </c>
      <c r="I54" s="8" t="s">
        <v>962</v>
      </c>
      <c r="J54" t="s">
        <v>94</v>
      </c>
      <c r="K54" t="s">
        <v>1135</v>
      </c>
      <c r="L54" s="22">
        <v>42914.638993055552</v>
      </c>
      <c r="M54">
        <f xml:space="preserve"> M53+(ckAwdTable[ILN]&lt;"M")</f>
        <v>42</v>
      </c>
      <c r="N54" t="s">
        <v>96</v>
      </c>
      <c r="O54" t="s">
        <v>1274</v>
      </c>
      <c r="P54" s="15" t="str">
        <f>HYPERLINK("https://www.ejacket.nsf.gov/ej/showProposal.do?ID="&amp;ckAwdTable[[#This Row],[prop_id]],"eJ")</f>
        <v>eJ</v>
      </c>
      <c r="Q54" s="8" t="s">
        <v>224</v>
      </c>
      <c r="R54" t="s">
        <v>1274</v>
      </c>
      <c r="S54" t="s">
        <v>1275</v>
      </c>
      <c r="T54" t="s">
        <v>1276</v>
      </c>
      <c r="U54" s="8" t="s">
        <v>1277</v>
      </c>
      <c r="V54" t="s">
        <v>560</v>
      </c>
      <c r="W54" s="15" t="str">
        <f>HYPERLINK("mailto:"&amp; ckAwdTable[[#This Row],[email]]&amp;"&amp;subject=Your NSF Proposal:  "&amp;ckAwdTable[[#This Row],[prop_id]], ckAwdTable[[#This Row],[email]])</f>
        <v>gmichail@ufl.edu</v>
      </c>
      <c r="X54" s="30">
        <v>42948</v>
      </c>
      <c r="Y54">
        <v>36</v>
      </c>
      <c r="AA54" s="21" t="s">
        <v>13</v>
      </c>
      <c r="AB54" s="21" t="s">
        <v>972</v>
      </c>
      <c r="AC54"/>
      <c r="AD54" s="21" t="s">
        <v>13</v>
      </c>
      <c r="AF54" s="21" t="s">
        <v>965</v>
      </c>
      <c r="AG54" s="21" t="str">
        <f>IFERROR(IF(FIND("?",ckAwdTable[[#This Row],[abst_narr_txt]]),SummarizeQuestMarks(ckAwdTable[[#This Row],[abst_narr_txt]]),""),"")</f>
        <v/>
      </c>
      <c r="AI54" s="13">
        <v>1500000</v>
      </c>
      <c r="AJ54" s="21">
        <v>0</v>
      </c>
      <c r="AK54" s="1">
        <v>1500000</v>
      </c>
      <c r="AL54" s="1"/>
      <c r="AM54" s="1"/>
      <c r="AN54" s="1">
        <v>339974</v>
      </c>
      <c r="AO54" s="1">
        <v>116000</v>
      </c>
      <c r="AP54" s="21">
        <v>6</v>
      </c>
      <c r="AQ54" s="21">
        <v>12</v>
      </c>
      <c r="AR54" s="21">
        <v>11.4</v>
      </c>
      <c r="AS54" s="21"/>
      <c r="AT54" s="21"/>
      <c r="AU54" s="8" t="s">
        <v>973</v>
      </c>
      <c r="AV54" t="s">
        <v>1280</v>
      </c>
      <c r="AW54" t="b">
        <f>AND(ckAwdTable[[#This Row],[ILN]]&gt;"M", SUBSTITUTE(ckAwdTable[[#This Row],[prop_titl_txt]]," ","")&lt;&gt;SUBSTITUTE(AV53," ",""))</f>
        <v>0</v>
      </c>
      <c r="AX54" s="8" t="s">
        <v>1278</v>
      </c>
      <c r="BB54"/>
      <c r="BC54"/>
      <c r="BD54"/>
      <c r="BI54" s="1"/>
      <c r="BL54"/>
      <c r="BM54" s="13"/>
      <c r="BP54"/>
    </row>
    <row r="55" spans="1:68" x14ac:dyDescent="0.4">
      <c r="A55" s="30">
        <v>42936.692673611113</v>
      </c>
      <c r="B55" s="30">
        <v>42809.64166666667</v>
      </c>
      <c r="C55" t="s">
        <v>1136</v>
      </c>
      <c r="D55" t="s">
        <v>222</v>
      </c>
      <c r="E55" t="s">
        <v>1137</v>
      </c>
      <c r="F55" t="s">
        <v>406</v>
      </c>
      <c r="G55" s="8" t="s">
        <v>992</v>
      </c>
      <c r="H55" s="8" t="s">
        <v>172</v>
      </c>
      <c r="I55" s="8" t="s">
        <v>2135</v>
      </c>
      <c r="J55" t="s">
        <v>94</v>
      </c>
      <c r="K55" t="s">
        <v>1135</v>
      </c>
      <c r="L55" s="22">
        <v>42934.612986111111</v>
      </c>
      <c r="M55">
        <f xml:space="preserve"> M54+(ckAwdTable[ILN]&lt;"M")</f>
        <v>43</v>
      </c>
      <c r="N55" t="s">
        <v>1145</v>
      </c>
      <c r="O55" t="s">
        <v>1281</v>
      </c>
      <c r="P55" s="15" t="str">
        <f>HYPERLINK("https://www.ejacket.nsf.gov/ej/showProposal.do?ID="&amp;ckAwdTable[[#This Row],[prop_id]],"eJ")</f>
        <v>eJ</v>
      </c>
      <c r="Q55" s="8" t="s">
        <v>224</v>
      </c>
      <c r="R55" t="s">
        <v>1281</v>
      </c>
      <c r="S55" t="s">
        <v>1282</v>
      </c>
      <c r="T55" t="s">
        <v>1283</v>
      </c>
      <c r="U55" s="8" t="s">
        <v>1231</v>
      </c>
      <c r="V55" t="s">
        <v>276</v>
      </c>
      <c r="W55" s="15" t="str">
        <f>HYPERLINK("mailto:"&amp; ckAwdTable[[#This Row],[email]]&amp;"&amp;subject=Your NSF Proposal:  "&amp;ckAwdTable[[#This Row],[prop_id]], ckAwdTable[[#This Row],[email]])</f>
        <v>kas410@lehigh.edu</v>
      </c>
      <c r="X55" s="30">
        <v>43101</v>
      </c>
      <c r="Y55">
        <v>36</v>
      </c>
      <c r="AA55" s="21" t="s">
        <v>13</v>
      </c>
      <c r="AB55" s="21" t="s">
        <v>972</v>
      </c>
      <c r="AC55"/>
      <c r="AD55" s="21" t="s">
        <v>13</v>
      </c>
      <c r="AF55" s="21" t="s">
        <v>965</v>
      </c>
      <c r="AG55" s="21" t="str">
        <f>IFERROR(IF(FIND("?",ckAwdTable[[#This Row],[abst_narr_txt]]),SummarizeQuestMarks(ckAwdTable[[#This Row],[abst_narr_txt]]),""),"")</f>
        <v/>
      </c>
      <c r="AH55" s="21" t="s">
        <v>1901</v>
      </c>
      <c r="AI55" s="13">
        <v>895670</v>
      </c>
      <c r="AJ55" s="21">
        <v>1</v>
      </c>
      <c r="AK55" s="1">
        <v>895670</v>
      </c>
      <c r="AL55" s="1"/>
      <c r="AM55" s="1"/>
      <c r="AN55" s="1">
        <v>139091</v>
      </c>
      <c r="AP55" s="21">
        <v>6</v>
      </c>
      <c r="AQ55" s="21">
        <v>9</v>
      </c>
      <c r="AR55" s="21">
        <v>6.25</v>
      </c>
      <c r="AS55" s="21"/>
      <c r="AT55" s="21"/>
      <c r="AU55" s="8" t="s">
        <v>991</v>
      </c>
      <c r="AV55" t="s">
        <v>1286</v>
      </c>
      <c r="AW55" t="b">
        <f>AND(ckAwdTable[[#This Row],[ILN]]&gt;"M", SUBSTITUTE(ckAwdTable[[#This Row],[prop_titl_txt]]," ","")&lt;&gt;SUBSTITUTE(AV54," ",""))</f>
        <v>0</v>
      </c>
      <c r="AX55" s="8" t="s">
        <v>1284</v>
      </c>
      <c r="BB55"/>
      <c r="BC55"/>
      <c r="BD55"/>
      <c r="BI55" s="1"/>
      <c r="BL55"/>
      <c r="BM55" s="13"/>
      <c r="BP55"/>
    </row>
    <row r="56" spans="1:68" x14ac:dyDescent="0.4">
      <c r="A56" s="30">
        <v>42936.693009259259</v>
      </c>
      <c r="B56" s="30">
        <v>42809.44027777778</v>
      </c>
      <c r="C56" t="s">
        <v>1136</v>
      </c>
      <c r="D56" t="s">
        <v>222</v>
      </c>
      <c r="E56" t="s">
        <v>1137</v>
      </c>
      <c r="F56" t="s">
        <v>406</v>
      </c>
      <c r="G56" s="8" t="s">
        <v>992</v>
      </c>
      <c r="H56" s="8" t="s">
        <v>172</v>
      </c>
      <c r="I56" s="8" t="s">
        <v>2135</v>
      </c>
      <c r="J56" t="s">
        <v>94</v>
      </c>
      <c r="K56" t="s">
        <v>1135</v>
      </c>
      <c r="L56" s="22">
        <v>42934.612986111111</v>
      </c>
      <c r="M56">
        <f xml:space="preserve"> M55+(ckAwdTable[ILN]&lt;"M")</f>
        <v>43</v>
      </c>
      <c r="N56" t="s">
        <v>965</v>
      </c>
      <c r="O56" t="s">
        <v>1281</v>
      </c>
      <c r="P56" s="15" t="str">
        <f>HYPERLINK("https://www.ejacket.nsf.gov/ej/showProposal.do?ID="&amp;ckAwdTable[[#This Row],[prop_id]],"eJ")</f>
        <v>eJ</v>
      </c>
      <c r="Q56" s="8" t="s">
        <v>224</v>
      </c>
      <c r="R56" t="s">
        <v>1287</v>
      </c>
      <c r="S56" t="s">
        <v>1288</v>
      </c>
      <c r="T56" t="s">
        <v>1289</v>
      </c>
      <c r="U56" s="8" t="s">
        <v>1060</v>
      </c>
      <c r="V56" t="s">
        <v>455</v>
      </c>
      <c r="W56" s="15" t="str">
        <f>HYPERLINK("mailto:"&amp; ckAwdTable[[#This Row],[email]]&amp;"&amp;subject=Your NSF Proposal:  "&amp;ckAwdTable[[#This Row],[prop_id]], ckAwdTable[[#This Row],[email]])</f>
        <v>hanliu@princeton.edu</v>
      </c>
      <c r="X56" s="30">
        <v>43101</v>
      </c>
      <c r="Y56">
        <v>36</v>
      </c>
      <c r="AA56" s="21" t="s">
        <v>13</v>
      </c>
      <c r="AB56" s="21" t="s">
        <v>972</v>
      </c>
      <c r="AC56"/>
      <c r="AD56" s="21" t="s">
        <v>13</v>
      </c>
      <c r="AF56" s="21" t="s">
        <v>965</v>
      </c>
      <c r="AG56" s="21" t="str">
        <f>IFERROR(IF(FIND("?",ckAwdTable[[#This Row],[abst_narr_txt]]),SummarizeQuestMarks(ckAwdTable[[#This Row],[abst_narr_txt]]),""),"")</f>
        <v/>
      </c>
      <c r="AH56" s="21" t="s">
        <v>1901</v>
      </c>
      <c r="AI56" s="13">
        <v>300000</v>
      </c>
      <c r="AJ56" s="21">
        <v>0</v>
      </c>
      <c r="AK56" s="1">
        <v>300000</v>
      </c>
      <c r="AL56" s="1"/>
      <c r="AM56" s="1"/>
      <c r="AP56" s="21">
        <v>3</v>
      </c>
      <c r="AQ56" s="21">
        <v>3</v>
      </c>
      <c r="AR56" s="21">
        <v>3</v>
      </c>
      <c r="AS56" s="21"/>
      <c r="AT56" s="21"/>
      <c r="AU56" s="8" t="s">
        <v>2190</v>
      </c>
      <c r="AV56" t="s">
        <v>1291</v>
      </c>
      <c r="AW56" t="b">
        <f>AND(ckAwdTable[[#This Row],[ILN]]&gt;"M", SUBSTITUTE(ckAwdTable[[#This Row],[prop_titl_txt]]," ","")&lt;&gt;SUBSTITUTE(AV55," ",""))</f>
        <v>0</v>
      </c>
      <c r="AX56" s="8" t="s">
        <v>1290</v>
      </c>
      <c r="BB56"/>
      <c r="BC56"/>
      <c r="BD56"/>
      <c r="BI56" s="1"/>
      <c r="BL56"/>
      <c r="BM56" s="13"/>
      <c r="BP56"/>
    </row>
    <row r="57" spans="1:68" x14ac:dyDescent="0.4">
      <c r="A57" s="30">
        <v>42936.700601851851</v>
      </c>
      <c r="B57" s="30">
        <v>42809.555555555555</v>
      </c>
      <c r="C57" t="s">
        <v>1136</v>
      </c>
      <c r="D57" t="s">
        <v>222</v>
      </c>
      <c r="E57" t="s">
        <v>1137</v>
      </c>
      <c r="F57" t="s">
        <v>406</v>
      </c>
      <c r="G57" s="8" t="s">
        <v>992</v>
      </c>
      <c r="H57" s="8" t="s">
        <v>172</v>
      </c>
      <c r="I57" s="8" t="s">
        <v>2135</v>
      </c>
      <c r="J57" t="s">
        <v>94</v>
      </c>
      <c r="K57" t="s">
        <v>1135</v>
      </c>
      <c r="L57" s="22">
        <v>42934.612986111111</v>
      </c>
      <c r="M57">
        <f xml:space="preserve"> M56+(ckAwdTable[ILN]&lt;"M")</f>
        <v>43</v>
      </c>
      <c r="N57" t="s">
        <v>965</v>
      </c>
      <c r="O57" t="s">
        <v>1281</v>
      </c>
      <c r="P57" s="15" t="str">
        <f>HYPERLINK("https://www.ejacket.nsf.gov/ej/showProposal.do?ID="&amp;ckAwdTable[[#This Row],[prop_id]],"eJ")</f>
        <v>eJ</v>
      </c>
      <c r="Q57" s="8" t="s">
        <v>224</v>
      </c>
      <c r="R57" t="s">
        <v>1292</v>
      </c>
      <c r="S57" t="s">
        <v>1293</v>
      </c>
      <c r="T57" t="s">
        <v>1294</v>
      </c>
      <c r="U57" s="8" t="s">
        <v>1295</v>
      </c>
      <c r="V57" t="s">
        <v>281</v>
      </c>
      <c r="W57" s="15" t="str">
        <f>HYPERLINK("mailto:"&amp; ckAwdTable[[#This Row],[email]]&amp;"&amp;subject=Your NSF Proposal:  "&amp;ckAwdTable[[#This Row],[prop_id]], ckAwdTable[[#This Row],[email]])</f>
        <v>francesco@cs.stonybrook.edu</v>
      </c>
      <c r="X57" s="30">
        <v>43101</v>
      </c>
      <c r="Y57">
        <v>36</v>
      </c>
      <c r="AA57" s="21" t="s">
        <v>13</v>
      </c>
      <c r="AB57" s="21" t="s">
        <v>972</v>
      </c>
      <c r="AC57"/>
      <c r="AD57" s="21" t="s">
        <v>13</v>
      </c>
      <c r="AE57" s="21" t="s">
        <v>274</v>
      </c>
      <c r="AF57" s="21" t="s">
        <v>965</v>
      </c>
      <c r="AG57" s="21" t="str">
        <f>IFERROR(IF(FIND("?",ckAwdTable[[#This Row],[abst_narr_txt]]),SummarizeQuestMarks(ckAwdTable[[#This Row],[abst_narr_txt]]),""),"")</f>
        <v/>
      </c>
      <c r="AH57" s="21" t="s">
        <v>1901</v>
      </c>
      <c r="AI57" s="13">
        <v>288482</v>
      </c>
      <c r="AJ57" s="21">
        <v>0</v>
      </c>
      <c r="AK57" s="1">
        <v>288482</v>
      </c>
      <c r="AL57" s="1"/>
      <c r="AM57" s="1">
        <v>7500</v>
      </c>
      <c r="AP57" s="21">
        <v>3</v>
      </c>
      <c r="AQ57" s="21">
        <v>3</v>
      </c>
      <c r="AR57" s="21">
        <v>3</v>
      </c>
      <c r="AS57" s="21"/>
      <c r="AT57" s="21"/>
      <c r="AU57" s="8" t="s">
        <v>2191</v>
      </c>
      <c r="AV57" t="s">
        <v>1286</v>
      </c>
      <c r="AW57" t="b">
        <f>AND(ckAwdTable[[#This Row],[ILN]]&gt;"M", SUBSTITUTE(ckAwdTable[[#This Row],[prop_titl_txt]]," ","")&lt;&gt;SUBSTITUTE(AV56," ",""))</f>
        <v>0</v>
      </c>
      <c r="AX57" s="8" t="s">
        <v>1296</v>
      </c>
      <c r="BB57"/>
      <c r="BC57"/>
      <c r="BD57"/>
      <c r="BI57" s="1"/>
      <c r="BL57"/>
      <c r="BM57" s="13"/>
      <c r="BP57"/>
    </row>
    <row r="58" spans="1:68" x14ac:dyDescent="0.4">
      <c r="A58" s="30">
        <v>42955.700150462966</v>
      </c>
      <c r="B58" s="30">
        <v>42809.642361111109</v>
      </c>
      <c r="C58" t="s">
        <v>1136</v>
      </c>
      <c r="D58" t="s">
        <v>222</v>
      </c>
      <c r="E58" t="s">
        <v>1137</v>
      </c>
      <c r="F58" t="s">
        <v>406</v>
      </c>
      <c r="G58" s="8" t="s">
        <v>976</v>
      </c>
      <c r="H58" s="8" t="s">
        <v>172</v>
      </c>
      <c r="I58" s="8" t="s">
        <v>962</v>
      </c>
      <c r="J58" t="s">
        <v>94</v>
      </c>
      <c r="K58" t="s">
        <v>1135</v>
      </c>
      <c r="L58" s="22">
        <v>42914.639050925929</v>
      </c>
      <c r="M58">
        <f xml:space="preserve"> M57+(ckAwdTable[ILN]&lt;"M")</f>
        <v>44</v>
      </c>
      <c r="N58" t="s">
        <v>96</v>
      </c>
      <c r="O58" t="s">
        <v>1297</v>
      </c>
      <c r="P58" s="15" t="str">
        <f>HYPERLINK("https://www.ejacket.nsf.gov/ej/showProposal.do?ID="&amp;ckAwdTable[[#This Row],[prop_id]],"eJ")</f>
        <v>eJ</v>
      </c>
      <c r="Q58" s="8" t="s">
        <v>224</v>
      </c>
      <c r="R58" t="s">
        <v>1297</v>
      </c>
      <c r="S58" t="s">
        <v>1298</v>
      </c>
      <c r="T58" t="s">
        <v>1299</v>
      </c>
      <c r="U58" s="8" t="s">
        <v>507</v>
      </c>
      <c r="V58" t="s">
        <v>508</v>
      </c>
      <c r="W58" s="15" t="str">
        <f>HYPERLINK("mailto:"&amp; ckAwdTable[[#This Row],[email]]&amp;"&amp;subject=Your NSF Proposal:  "&amp;ckAwdTable[[#This Row],[prop_id]], ckAwdTable[[#This Row],[email]])</f>
        <v>embree@vt.edu</v>
      </c>
      <c r="X58" s="30">
        <v>43009</v>
      </c>
      <c r="Y58">
        <v>36</v>
      </c>
      <c r="AA58" s="21" t="s">
        <v>13</v>
      </c>
      <c r="AB58" s="21" t="s">
        <v>972</v>
      </c>
      <c r="AC58"/>
      <c r="AD58" s="21" t="s">
        <v>13</v>
      </c>
      <c r="AF58" s="21" t="s">
        <v>965</v>
      </c>
      <c r="AG58" s="21" t="str">
        <f>IFERROR(IF(FIND("?",ckAwdTable[[#This Row],[abst_narr_txt]]),SummarizeQuestMarks(ckAwdTable[[#This Row],[abst_narr_txt]]),""),"")</f>
        <v/>
      </c>
      <c r="AI58" s="13">
        <v>1498424</v>
      </c>
      <c r="AJ58" s="21">
        <v>0</v>
      </c>
      <c r="AK58" s="1">
        <v>1498424</v>
      </c>
      <c r="AL58" s="1"/>
      <c r="AM58" s="1"/>
      <c r="AO58" s="1">
        <v>139899</v>
      </c>
      <c r="AP58" s="21">
        <v>16</v>
      </c>
      <c r="AQ58" s="21">
        <v>27</v>
      </c>
      <c r="AR58" s="21">
        <v>11.49</v>
      </c>
      <c r="AS58" s="21"/>
      <c r="AT58" s="21"/>
      <c r="AU58" s="8" t="s">
        <v>973</v>
      </c>
      <c r="AV58" t="s">
        <v>1301</v>
      </c>
      <c r="AW58" t="b">
        <f>AND(ckAwdTable[[#This Row],[ILN]]&gt;"M", SUBSTITUTE(ckAwdTable[[#This Row],[prop_titl_txt]]," ","")&lt;&gt;SUBSTITUTE(AV57," ",""))</f>
        <v>0</v>
      </c>
      <c r="AX58" s="8" t="s">
        <v>1300</v>
      </c>
      <c r="BB58"/>
      <c r="BC58"/>
      <c r="BD58"/>
      <c r="BI58" s="1"/>
      <c r="BL58"/>
      <c r="BM58" s="13"/>
      <c r="BP58"/>
    </row>
    <row r="59" spans="1:68" x14ac:dyDescent="0.4">
      <c r="A59" s="30">
        <v>42957.67931712963</v>
      </c>
      <c r="B59" s="30">
        <v>42809.648611111108</v>
      </c>
      <c r="C59" t="s">
        <v>1136</v>
      </c>
      <c r="D59" t="s">
        <v>222</v>
      </c>
      <c r="E59" t="s">
        <v>1137</v>
      </c>
      <c r="F59" t="s">
        <v>451</v>
      </c>
      <c r="G59" s="8" t="s">
        <v>976</v>
      </c>
      <c r="H59" s="8" t="s">
        <v>172</v>
      </c>
      <c r="I59" s="8" t="s">
        <v>962</v>
      </c>
      <c r="J59" t="s">
        <v>94</v>
      </c>
      <c r="K59" t="s">
        <v>1135</v>
      </c>
      <c r="L59" s="22">
        <v>42951.506886574076</v>
      </c>
      <c r="M59">
        <f xml:space="preserve"> M58+(ckAwdTable[ILN]&lt;"M")</f>
        <v>45</v>
      </c>
      <c r="N59" t="s">
        <v>96</v>
      </c>
      <c r="O59" t="s">
        <v>1302</v>
      </c>
      <c r="P59" s="15" t="str">
        <f>HYPERLINK("https://www.ejacket.nsf.gov/ej/showProposal.do?ID="&amp;ckAwdTable[[#This Row],[prop_id]],"eJ")</f>
        <v>eJ</v>
      </c>
      <c r="Q59" s="8" t="s">
        <v>224</v>
      </c>
      <c r="R59" t="s">
        <v>1302</v>
      </c>
      <c r="S59" t="s">
        <v>1303</v>
      </c>
      <c r="T59" t="s">
        <v>1304</v>
      </c>
      <c r="U59" s="8" t="s">
        <v>495</v>
      </c>
      <c r="V59" t="s">
        <v>282</v>
      </c>
      <c r="W59" s="15" t="str">
        <f>HYPERLINK("mailto:"&amp; ckAwdTable[[#This Row],[email]]&amp;"&amp;subject=Your NSF Proposal:  "&amp;ckAwdTable[[#This Row],[prop_id]], ckAwdTable[[#This Row],[email]])</f>
        <v>rvidal@cis.jhu.edu</v>
      </c>
      <c r="X59" s="30">
        <v>42979</v>
      </c>
      <c r="Y59">
        <v>36</v>
      </c>
      <c r="AA59" s="21" t="s">
        <v>13</v>
      </c>
      <c r="AB59" s="21" t="s">
        <v>972</v>
      </c>
      <c r="AC59"/>
      <c r="AD59" s="21" t="s">
        <v>13</v>
      </c>
      <c r="AF59" s="21" t="s">
        <v>965</v>
      </c>
      <c r="AG59" s="21" t="str">
        <f>IFERROR(IF(FIND("?",ckAwdTable[[#This Row],[abst_narr_txt]]),SummarizeQuestMarks(ckAwdTable[[#This Row],[abst_narr_txt]]),""),"")</f>
        <v/>
      </c>
      <c r="AI59" s="13">
        <v>1500000</v>
      </c>
      <c r="AJ59" s="21">
        <v>0</v>
      </c>
      <c r="AK59" s="1">
        <v>1500000</v>
      </c>
      <c r="AL59" s="1"/>
      <c r="AM59" s="1">
        <v>32145</v>
      </c>
      <c r="AO59" s="1">
        <v>209970</v>
      </c>
      <c r="AP59" s="21">
        <v>12</v>
      </c>
      <c r="AQ59" s="21">
        <v>21</v>
      </c>
      <c r="AR59" s="21"/>
      <c r="AS59" s="21"/>
      <c r="AT59" s="21">
        <v>9</v>
      </c>
      <c r="AU59" s="8" t="s">
        <v>973</v>
      </c>
      <c r="AV59" t="s">
        <v>1306</v>
      </c>
      <c r="AW59" t="b">
        <f>AND(ckAwdTable[[#This Row],[ILN]]&gt;"M", SUBSTITUTE(ckAwdTable[[#This Row],[prop_titl_txt]]," ","")&lt;&gt;SUBSTITUTE(AV58," ",""))</f>
        <v>0</v>
      </c>
      <c r="AX59" s="8" t="s">
        <v>1305</v>
      </c>
      <c r="BB59"/>
      <c r="BC59"/>
      <c r="BD59"/>
      <c r="BI59" s="1"/>
      <c r="BL59"/>
      <c r="BM59" s="13"/>
      <c r="BP59"/>
    </row>
    <row r="60" spans="1:68" x14ac:dyDescent="0.4">
      <c r="A60" s="30">
        <v>42957.620868055557</v>
      </c>
      <c r="B60" s="30">
        <v>42809.651388888888</v>
      </c>
      <c r="C60" t="s">
        <v>1136</v>
      </c>
      <c r="D60" t="s">
        <v>222</v>
      </c>
      <c r="E60" t="s">
        <v>1137</v>
      </c>
      <c r="F60" t="s">
        <v>451</v>
      </c>
      <c r="G60" s="8" t="s">
        <v>976</v>
      </c>
      <c r="H60" s="8" t="s">
        <v>172</v>
      </c>
      <c r="I60" s="8" t="s">
        <v>962</v>
      </c>
      <c r="J60" t="s">
        <v>94</v>
      </c>
      <c r="K60" t="s">
        <v>1135</v>
      </c>
      <c r="L60" s="22">
        <v>42957.618854166663</v>
      </c>
      <c r="M60">
        <f xml:space="preserve"> M59+(ckAwdTable[ILN]&lt;"M")</f>
        <v>46</v>
      </c>
      <c r="N60" t="s">
        <v>96</v>
      </c>
      <c r="O60" t="s">
        <v>1307</v>
      </c>
      <c r="P60" s="15" t="str">
        <f>HYPERLINK("https://www.ejacket.nsf.gov/ej/showProposal.do?ID="&amp;ckAwdTable[[#This Row],[prop_id]],"eJ")</f>
        <v>eJ</v>
      </c>
      <c r="Q60" s="8" t="s">
        <v>224</v>
      </c>
      <c r="R60" t="s">
        <v>1307</v>
      </c>
      <c r="S60" t="s">
        <v>1308</v>
      </c>
      <c r="T60" t="s">
        <v>1309</v>
      </c>
      <c r="U60" s="8" t="s">
        <v>490</v>
      </c>
      <c r="V60" t="s">
        <v>491</v>
      </c>
      <c r="W60" s="15" t="str">
        <f>HYPERLINK("mailto:"&amp; ckAwdTable[[#This Row],[email]]&amp;"&amp;subject=Your NSF Proposal:  "&amp;ckAwdTable[[#This Row],[prop_id]], ckAwdTable[[#This Row],[email]])</f>
        <v>sayan@stat.duke.edu</v>
      </c>
      <c r="X60" s="30">
        <v>42917</v>
      </c>
      <c r="Y60">
        <v>36</v>
      </c>
      <c r="AA60" s="21" t="s">
        <v>13</v>
      </c>
      <c r="AB60" s="21" t="s">
        <v>972</v>
      </c>
      <c r="AC60"/>
      <c r="AD60" s="21" t="s">
        <v>13</v>
      </c>
      <c r="AE60" s="21" t="s">
        <v>274</v>
      </c>
      <c r="AF60" s="21" t="s">
        <v>965</v>
      </c>
      <c r="AG60" s="21" t="str">
        <f>IFERROR(IF(FIND("?",ckAwdTable[[#This Row],[abst_narr_txt]]),SummarizeQuestMarks(ckAwdTable[[#This Row],[abst_narr_txt]]),""),"")</f>
        <v/>
      </c>
      <c r="AI60" s="13">
        <v>1497550</v>
      </c>
      <c r="AJ60" s="21">
        <v>0</v>
      </c>
      <c r="AK60" s="1">
        <v>1497550</v>
      </c>
      <c r="AL60" s="1"/>
      <c r="AM60" s="1">
        <v>2000</v>
      </c>
      <c r="AN60" s="1">
        <v>228252</v>
      </c>
      <c r="AP60" s="21">
        <v>10</v>
      </c>
      <c r="AQ60" s="21">
        <v>12</v>
      </c>
      <c r="AR60" s="21">
        <v>3</v>
      </c>
      <c r="AS60" s="21"/>
      <c r="AT60" s="21"/>
      <c r="AU60" s="8" t="s">
        <v>973</v>
      </c>
      <c r="AV60" t="s">
        <v>1312</v>
      </c>
      <c r="AW60" t="b">
        <f>AND(ckAwdTable[[#This Row],[ILN]]&gt;"M", SUBSTITUTE(ckAwdTable[[#This Row],[prop_titl_txt]]," ","")&lt;&gt;SUBSTITUTE(AV59," ",""))</f>
        <v>0</v>
      </c>
      <c r="AX60" s="8" t="s">
        <v>1310</v>
      </c>
      <c r="BB60"/>
      <c r="BC60"/>
      <c r="BD60"/>
      <c r="BI60" s="1"/>
      <c r="BL60"/>
      <c r="BM60" s="13"/>
      <c r="BP60"/>
    </row>
    <row r="61" spans="1:68" x14ac:dyDescent="0.4">
      <c r="A61" s="30">
        <v>42934.47079861111</v>
      </c>
      <c r="B61" s="30">
        <v>42809.65902777778</v>
      </c>
      <c r="C61" t="s">
        <v>1136</v>
      </c>
      <c r="D61" t="s">
        <v>222</v>
      </c>
      <c r="E61" t="s">
        <v>1137</v>
      </c>
      <c r="F61" t="s">
        <v>406</v>
      </c>
      <c r="G61" s="8" t="s">
        <v>976</v>
      </c>
      <c r="H61" s="8" t="s">
        <v>172</v>
      </c>
      <c r="I61" s="8" t="s">
        <v>962</v>
      </c>
      <c r="J61" t="s">
        <v>94</v>
      </c>
      <c r="K61" t="s">
        <v>1135</v>
      </c>
      <c r="L61" s="22">
        <v>42920.123148148145</v>
      </c>
      <c r="M61">
        <f xml:space="preserve"> M60+(ckAwdTable[ILN]&lt;"M")</f>
        <v>47</v>
      </c>
      <c r="N61" t="s">
        <v>96</v>
      </c>
      <c r="O61" t="s">
        <v>1313</v>
      </c>
      <c r="P61" s="15" t="str">
        <f>HYPERLINK("https://www.ejacket.nsf.gov/ej/showProposal.do?ID="&amp;ckAwdTable[[#This Row],[prop_id]],"eJ")</f>
        <v>eJ</v>
      </c>
      <c r="Q61" s="8" t="s">
        <v>224</v>
      </c>
      <c r="R61" t="s">
        <v>1313</v>
      </c>
      <c r="S61" t="s">
        <v>1314</v>
      </c>
      <c r="T61" t="s">
        <v>1315</v>
      </c>
      <c r="U61" s="8" t="s">
        <v>1316</v>
      </c>
      <c r="V61" t="s">
        <v>1317</v>
      </c>
      <c r="W61" s="15" t="str">
        <f>HYPERLINK("mailto:"&amp; ckAwdTable[[#This Row],[email]]&amp;"&amp;subject=Your NSF Proposal:  "&amp;ckAwdTable[[#This Row],[prop_id]], ckAwdTable[[#This Row],[email]])</f>
        <v>eabbe@princeton.edu</v>
      </c>
      <c r="X61" s="30">
        <v>42979</v>
      </c>
      <c r="Y61">
        <v>36</v>
      </c>
      <c r="AA61" s="21" t="s">
        <v>13</v>
      </c>
      <c r="AB61" s="21" t="s">
        <v>972</v>
      </c>
      <c r="AC61"/>
      <c r="AD61" s="21" t="s">
        <v>13</v>
      </c>
      <c r="AE61" s="21" t="s">
        <v>2144</v>
      </c>
      <c r="AF61" s="21" t="s">
        <v>965</v>
      </c>
      <c r="AG61" s="21" t="str">
        <f>IFERROR(IF(FIND("?",ckAwdTable[[#This Row],[abst_narr_txt]]),SummarizeQuestMarks(ckAwdTable[[#This Row],[abst_narr_txt]]),""),"")</f>
        <v/>
      </c>
      <c r="AI61" s="13">
        <v>1500000</v>
      </c>
      <c r="AJ61" s="21">
        <v>0</v>
      </c>
      <c r="AK61" s="1">
        <v>1500000</v>
      </c>
      <c r="AL61" s="1"/>
      <c r="AM61" s="1">
        <v>22284</v>
      </c>
      <c r="AN61" s="1">
        <v>339999</v>
      </c>
      <c r="AP61" s="21">
        <v>9</v>
      </c>
      <c r="AQ61" s="21"/>
      <c r="AR61" s="21"/>
      <c r="AS61" s="21"/>
      <c r="AT61" s="21"/>
      <c r="AU61" s="8" t="s">
        <v>973</v>
      </c>
      <c r="AV61" t="s">
        <v>1319</v>
      </c>
      <c r="AW61" t="b">
        <f>AND(ckAwdTable[[#This Row],[ILN]]&gt;"M", SUBSTITUTE(ckAwdTable[[#This Row],[prop_titl_txt]]," ","")&lt;&gt;SUBSTITUTE(AV60," ",""))</f>
        <v>0</v>
      </c>
      <c r="AX61" s="8" t="s">
        <v>1318</v>
      </c>
      <c r="BB61"/>
      <c r="BC61"/>
      <c r="BD61"/>
      <c r="BI61" s="1"/>
      <c r="BL61"/>
      <c r="BM61" s="13"/>
      <c r="BP61"/>
    </row>
    <row r="62" spans="1:68" x14ac:dyDescent="0.4">
      <c r="A62" s="30">
        <v>42956.380891203706</v>
      </c>
      <c r="B62" s="30">
        <v>42809.663888888892</v>
      </c>
      <c r="C62" t="s">
        <v>1136</v>
      </c>
      <c r="D62" t="s">
        <v>222</v>
      </c>
      <c r="E62" t="s">
        <v>1137</v>
      </c>
      <c r="F62" t="s">
        <v>451</v>
      </c>
      <c r="G62" s="8" t="s">
        <v>976</v>
      </c>
      <c r="H62" s="8" t="s">
        <v>172</v>
      </c>
      <c r="I62" s="8" t="s">
        <v>962</v>
      </c>
      <c r="J62" t="s">
        <v>94</v>
      </c>
      <c r="K62" t="s">
        <v>1135</v>
      </c>
      <c r="L62" s="22">
        <v>42951.594155092593</v>
      </c>
      <c r="M62">
        <f xml:space="preserve"> M61+(ckAwdTable[ILN]&lt;"M")</f>
        <v>48</v>
      </c>
      <c r="N62" t="s">
        <v>96</v>
      </c>
      <c r="O62" t="s">
        <v>1320</v>
      </c>
      <c r="P62" s="15" t="str">
        <f>HYPERLINK("https://www.ejacket.nsf.gov/ej/showProposal.do?ID="&amp;ckAwdTable[[#This Row],[prop_id]],"eJ")</f>
        <v>eJ</v>
      </c>
      <c r="Q62" s="8" t="s">
        <v>224</v>
      </c>
      <c r="R62" t="s">
        <v>1320</v>
      </c>
      <c r="S62" t="s">
        <v>1321</v>
      </c>
      <c r="T62" t="s">
        <v>273</v>
      </c>
      <c r="U62" s="8" t="s">
        <v>1322</v>
      </c>
      <c r="V62" t="s">
        <v>280</v>
      </c>
      <c r="W62" s="15" t="str">
        <f>HYPERLINK("mailto:"&amp; ckAwdTable[[#This Row],[email]]&amp;"&amp;subject=Your NSF Proposal:  "&amp;ckAwdTable[[#This Row],[prop_id]], ckAwdTable[[#This Row],[email]])</f>
        <v>michaelm@eecs.harvard.edu</v>
      </c>
      <c r="X62" s="30">
        <v>43101</v>
      </c>
      <c r="Y62">
        <v>36</v>
      </c>
      <c r="AA62" s="21" t="s">
        <v>13</v>
      </c>
      <c r="AB62" s="21" t="s">
        <v>972</v>
      </c>
      <c r="AC62"/>
      <c r="AD62" s="21" t="s">
        <v>13</v>
      </c>
      <c r="AF62" s="21" t="s">
        <v>965</v>
      </c>
      <c r="AG62" s="21" t="str">
        <f>IFERROR(IF(FIND("?",ckAwdTable[[#This Row],[abst_narr_txt]]),SummarizeQuestMarks(ckAwdTable[[#This Row],[abst_narr_txt]]),""),"")</f>
        <v/>
      </c>
      <c r="AI62" s="13">
        <v>1500000</v>
      </c>
      <c r="AJ62" s="21">
        <v>0</v>
      </c>
      <c r="AK62" s="1">
        <v>1500000</v>
      </c>
      <c r="AL62" s="1"/>
      <c r="AM62" s="1"/>
      <c r="AN62" s="1">
        <v>481201</v>
      </c>
      <c r="AP62" s="21">
        <v>2</v>
      </c>
      <c r="AQ62" s="21">
        <v>8</v>
      </c>
      <c r="AR62" s="21"/>
      <c r="AS62" s="21"/>
      <c r="AT62" s="21">
        <v>4</v>
      </c>
      <c r="AU62" s="8" t="s">
        <v>973</v>
      </c>
      <c r="AV62" t="s">
        <v>1325</v>
      </c>
      <c r="AW62" t="b">
        <f>AND(ckAwdTable[[#This Row],[ILN]]&gt;"M", SUBSTITUTE(ckAwdTable[[#This Row],[prop_titl_txt]]," ","")&lt;&gt;SUBSTITUTE(AV61," ",""))</f>
        <v>0</v>
      </c>
      <c r="AX62" s="8" t="s">
        <v>1323</v>
      </c>
      <c r="BB62"/>
      <c r="BC62"/>
      <c r="BD62"/>
      <c r="BI62" s="1"/>
      <c r="BL62"/>
      <c r="BM62" s="13"/>
      <c r="BP62"/>
    </row>
    <row r="63" spans="1:68" x14ac:dyDescent="0.4">
      <c r="A63" s="30">
        <v>42955.728993055556</v>
      </c>
      <c r="B63" s="30">
        <v>42809.663888888892</v>
      </c>
      <c r="C63" t="s">
        <v>1136</v>
      </c>
      <c r="D63" t="s">
        <v>222</v>
      </c>
      <c r="E63" t="s">
        <v>1137</v>
      </c>
      <c r="F63" t="s">
        <v>406</v>
      </c>
      <c r="G63" s="8" t="s">
        <v>976</v>
      </c>
      <c r="H63" s="8" t="s">
        <v>172</v>
      </c>
      <c r="I63" s="8" t="s">
        <v>962</v>
      </c>
      <c r="J63" t="s">
        <v>94</v>
      </c>
      <c r="K63" t="s">
        <v>1135</v>
      </c>
      <c r="L63" s="22">
        <v>42914.640648148146</v>
      </c>
      <c r="M63">
        <f xml:space="preserve"> M62+(ckAwdTable[ILN]&lt;"M")</f>
        <v>49</v>
      </c>
      <c r="N63" t="s">
        <v>1145</v>
      </c>
      <c r="O63" t="s">
        <v>1326</v>
      </c>
      <c r="P63" s="15" t="str">
        <f>HYPERLINK("https://www.ejacket.nsf.gov/ej/showProposal.do?ID="&amp;ckAwdTable[[#This Row],[prop_id]],"eJ")</f>
        <v>eJ</v>
      </c>
      <c r="Q63" s="8" t="s">
        <v>224</v>
      </c>
      <c r="R63" t="s">
        <v>1326</v>
      </c>
      <c r="S63" t="s">
        <v>1327</v>
      </c>
      <c r="T63" t="s">
        <v>1328</v>
      </c>
      <c r="U63" s="8" t="s">
        <v>1329</v>
      </c>
      <c r="V63" t="s">
        <v>281</v>
      </c>
      <c r="W63" s="15" t="str">
        <f>HYPERLINK("mailto:"&amp; ckAwdTable[[#This Row],[email]]&amp;"&amp;subject=Your NSF Proposal:  "&amp;ckAwdTable[[#This Row],[prop_id]], ckAwdTable[[#This Row],[email]])</f>
        <v>mishra@cs.nyu.edu</v>
      </c>
      <c r="X63" s="30">
        <v>42979</v>
      </c>
      <c r="Y63">
        <v>36</v>
      </c>
      <c r="AA63" s="21" t="s">
        <v>13</v>
      </c>
      <c r="AB63" s="21" t="s">
        <v>972</v>
      </c>
      <c r="AC63"/>
      <c r="AD63" s="21" t="s">
        <v>13</v>
      </c>
      <c r="AE63" s="21" t="s">
        <v>274</v>
      </c>
      <c r="AF63" s="21" t="s">
        <v>965</v>
      </c>
      <c r="AG63" s="21" t="str">
        <f>IFERROR(IF(FIND("?",ckAwdTable[[#This Row],[abst_narr_txt]]),SummarizeQuestMarks(ckAwdTable[[#This Row],[abst_narr_txt]]),""),"")</f>
        <v/>
      </c>
      <c r="AI63" s="13">
        <v>1050000</v>
      </c>
      <c r="AJ63" s="21">
        <v>0</v>
      </c>
      <c r="AK63" s="1">
        <v>1050000</v>
      </c>
      <c r="AL63" s="1"/>
      <c r="AM63" s="1">
        <v>11969</v>
      </c>
      <c r="AN63" s="1">
        <v>204914</v>
      </c>
      <c r="AP63" s="21">
        <v>11</v>
      </c>
      <c r="AQ63" s="21">
        <v>6</v>
      </c>
      <c r="AR63" s="21">
        <v>6</v>
      </c>
      <c r="AS63" s="21"/>
      <c r="AT63" s="21"/>
      <c r="AU63" s="8" t="s">
        <v>973</v>
      </c>
      <c r="AV63" t="s">
        <v>1332</v>
      </c>
      <c r="AW63" t="b">
        <f>AND(ckAwdTable[[#This Row],[ILN]]&gt;"M", SUBSTITUTE(ckAwdTable[[#This Row],[prop_titl_txt]]," ","")&lt;&gt;SUBSTITUTE(AV62," ",""))</f>
        <v>0</v>
      </c>
      <c r="AX63" s="8" t="s">
        <v>1330</v>
      </c>
      <c r="BB63"/>
      <c r="BC63"/>
      <c r="BD63"/>
      <c r="BI63" s="1"/>
      <c r="BL63"/>
      <c r="BM63" s="13"/>
      <c r="BP63"/>
    </row>
    <row r="64" spans="1:68" x14ac:dyDescent="0.4">
      <c r="A64" s="30">
        <v>42955.728993055556</v>
      </c>
      <c r="B64" s="30">
        <v>42809.627083333333</v>
      </c>
      <c r="C64" t="s">
        <v>1136</v>
      </c>
      <c r="D64" t="s">
        <v>222</v>
      </c>
      <c r="E64" t="s">
        <v>1137</v>
      </c>
      <c r="F64" t="s">
        <v>406</v>
      </c>
      <c r="G64" s="8" t="s">
        <v>976</v>
      </c>
      <c r="H64" s="8" t="s">
        <v>172</v>
      </c>
      <c r="I64" s="8" t="s">
        <v>962</v>
      </c>
      <c r="J64" t="s">
        <v>94</v>
      </c>
      <c r="K64" t="s">
        <v>1135</v>
      </c>
      <c r="L64" s="22">
        <v>42914.640648148146</v>
      </c>
      <c r="M64">
        <f xml:space="preserve"> M63+(ckAwdTable[ILN]&lt;"M")</f>
        <v>49</v>
      </c>
      <c r="N64" t="s">
        <v>965</v>
      </c>
      <c r="O64" t="s">
        <v>1326</v>
      </c>
      <c r="P64" s="15" t="str">
        <f>HYPERLINK("https://www.ejacket.nsf.gov/ej/showProposal.do?ID="&amp;ckAwdTable[[#This Row],[prop_id]],"eJ")</f>
        <v>eJ</v>
      </c>
      <c r="Q64" s="8" t="s">
        <v>224</v>
      </c>
      <c r="R64" t="s">
        <v>1333</v>
      </c>
      <c r="S64" t="s">
        <v>1334</v>
      </c>
      <c r="T64" t="s">
        <v>1335</v>
      </c>
      <c r="U64" s="8" t="s">
        <v>223</v>
      </c>
      <c r="V64" t="s">
        <v>280</v>
      </c>
      <c r="W64" s="15" t="str">
        <f>HYPERLINK("mailto:"&amp; ckAwdTable[[#This Row],[email]]&amp;"&amp;subject=Your NSF Proposal:  "&amp;ckAwdTable[[#This Row],[prop_id]], ckAwdTable[[#This Row],[email]])</f>
        <v>mitter@mit.edu</v>
      </c>
      <c r="X64" s="30">
        <v>42979</v>
      </c>
      <c r="Y64">
        <v>36</v>
      </c>
      <c r="AA64" s="21" t="s">
        <v>13</v>
      </c>
      <c r="AB64" s="21" t="s">
        <v>972</v>
      </c>
      <c r="AC64"/>
      <c r="AD64" s="21" t="s">
        <v>13</v>
      </c>
      <c r="AE64" s="21" t="s">
        <v>274</v>
      </c>
      <c r="AF64" s="21" t="s">
        <v>965</v>
      </c>
      <c r="AG64" s="21" t="str">
        <f>IFERROR(IF(FIND("?",ckAwdTable[[#This Row],[abst_narr_txt]]),SummarizeQuestMarks(ckAwdTable[[#This Row],[abst_narr_txt]]),""),"")</f>
        <v/>
      </c>
      <c r="AI64" s="13">
        <v>450000</v>
      </c>
      <c r="AJ64" s="21">
        <v>0</v>
      </c>
      <c r="AK64" s="1">
        <v>450000</v>
      </c>
      <c r="AL64" s="1"/>
      <c r="AM64" s="1">
        <v>12000</v>
      </c>
      <c r="AN64" s="1">
        <v>134870</v>
      </c>
      <c r="AP64" s="21"/>
      <c r="AQ64" s="21">
        <v>3</v>
      </c>
      <c r="AR64" s="21">
        <v>3</v>
      </c>
      <c r="AS64" s="21"/>
      <c r="AT64" s="21"/>
      <c r="AU64" s="8" t="s">
        <v>973</v>
      </c>
      <c r="AV64" t="s">
        <v>1332</v>
      </c>
      <c r="AW64" t="b">
        <f>AND(ckAwdTable[[#This Row],[ILN]]&gt;"M", SUBSTITUTE(ckAwdTable[[#This Row],[prop_titl_txt]]," ","")&lt;&gt;SUBSTITUTE(AV63," ",""))</f>
        <v>0</v>
      </c>
      <c r="AX64" s="8" t="s">
        <v>1336</v>
      </c>
      <c r="BB64"/>
      <c r="BC64"/>
      <c r="BD64"/>
      <c r="BI64" s="1"/>
      <c r="BL64"/>
      <c r="BM64" s="13"/>
      <c r="BP64"/>
    </row>
    <row r="65" spans="1:68" x14ac:dyDescent="0.4">
      <c r="A65" s="30">
        <v>42955.702997685185</v>
      </c>
      <c r="B65" s="30">
        <v>42809.665972222225</v>
      </c>
      <c r="C65" t="s">
        <v>1136</v>
      </c>
      <c r="D65" t="s">
        <v>222</v>
      </c>
      <c r="E65" t="s">
        <v>1137</v>
      </c>
      <c r="F65" t="s">
        <v>406</v>
      </c>
      <c r="G65" s="8" t="s">
        <v>976</v>
      </c>
      <c r="H65" s="8" t="s">
        <v>172</v>
      </c>
      <c r="I65" s="8" t="s">
        <v>962</v>
      </c>
      <c r="J65" t="s">
        <v>94</v>
      </c>
      <c r="K65" t="s">
        <v>1135</v>
      </c>
      <c r="L65" s="22">
        <v>42954.60597222222</v>
      </c>
      <c r="M65">
        <f xml:space="preserve"> M64+(ckAwdTable[ILN]&lt;"M")</f>
        <v>50</v>
      </c>
      <c r="N65" t="s">
        <v>96</v>
      </c>
      <c r="O65" t="s">
        <v>1337</v>
      </c>
      <c r="P65" s="15" t="str">
        <f>HYPERLINK("https://www.ejacket.nsf.gov/ej/showProposal.do?ID="&amp;ckAwdTable[[#This Row],[prop_id]],"eJ")</f>
        <v>eJ</v>
      </c>
      <c r="Q65" s="8" t="s">
        <v>224</v>
      </c>
      <c r="R65" t="s">
        <v>1337</v>
      </c>
      <c r="S65" t="s">
        <v>1338</v>
      </c>
      <c r="T65" t="s">
        <v>524</v>
      </c>
      <c r="U65" s="8" t="s">
        <v>1339</v>
      </c>
      <c r="V65" t="s">
        <v>122</v>
      </c>
      <c r="W65" s="15" t="str">
        <f>HYPERLINK("mailto:"&amp; ckAwdTable[[#This Row],[email]]&amp;"&amp;subject=Your NSF Proposal:  "&amp;ckAwdTable[[#This Row],[prop_id]], ckAwdTable[[#This Row],[email]])</f>
        <v>andersonpe2@cofc.edu</v>
      </c>
      <c r="X65" s="30">
        <v>43070</v>
      </c>
      <c r="Y65">
        <v>36</v>
      </c>
      <c r="AA65" s="21" t="s">
        <v>13</v>
      </c>
      <c r="AB65" s="21" t="s">
        <v>972</v>
      </c>
      <c r="AC65"/>
      <c r="AD65" s="21" t="s">
        <v>13</v>
      </c>
      <c r="AE65" s="21" t="s">
        <v>274</v>
      </c>
      <c r="AF65" s="21" t="s">
        <v>965</v>
      </c>
      <c r="AG65" s="21" t="str">
        <f>IFERROR(IF(FIND("?",ckAwdTable[[#This Row],[abst_narr_txt]]),SummarizeQuestMarks(ckAwdTable[[#This Row],[abst_narr_txt]]),""),"")</f>
        <v/>
      </c>
      <c r="AI65" s="13">
        <v>1500000</v>
      </c>
      <c r="AJ65" s="21">
        <v>0</v>
      </c>
      <c r="AK65" s="1">
        <v>1500000</v>
      </c>
      <c r="AL65" s="1"/>
      <c r="AM65" s="1">
        <v>2490</v>
      </c>
      <c r="AO65" s="1">
        <v>54825</v>
      </c>
      <c r="AP65" s="21"/>
      <c r="AQ65" s="21">
        <v>15</v>
      </c>
      <c r="AR65" s="21">
        <v>24</v>
      </c>
      <c r="AS65" s="21">
        <v>27.03</v>
      </c>
      <c r="AT65" s="21"/>
      <c r="AU65" s="8" t="s">
        <v>973</v>
      </c>
      <c r="AV65" t="s">
        <v>1342</v>
      </c>
      <c r="AW65" t="b">
        <f>AND(ckAwdTable[[#This Row],[ILN]]&gt;"M", SUBSTITUTE(ckAwdTable[[#This Row],[prop_titl_txt]]," ","")&lt;&gt;SUBSTITUTE(AV64," ",""))</f>
        <v>0</v>
      </c>
      <c r="AX65" s="8" t="s">
        <v>1340</v>
      </c>
      <c r="BB65"/>
      <c r="BC65"/>
      <c r="BD65"/>
      <c r="BI65" s="1"/>
      <c r="BL65"/>
      <c r="BM65" s="13"/>
      <c r="BP65"/>
    </row>
    <row r="66" spans="1:68" x14ac:dyDescent="0.4">
      <c r="A66" s="30">
        <v>42933.413645833331</v>
      </c>
      <c r="B66" s="30">
        <v>42809.683333333334</v>
      </c>
      <c r="C66" t="s">
        <v>1136</v>
      </c>
      <c r="D66" t="s">
        <v>222</v>
      </c>
      <c r="E66" t="s">
        <v>1137</v>
      </c>
      <c r="F66" t="s">
        <v>451</v>
      </c>
      <c r="G66" s="8" t="s">
        <v>992</v>
      </c>
      <c r="H66" s="8" t="s">
        <v>172</v>
      </c>
      <c r="I66" s="8" t="s">
        <v>962</v>
      </c>
      <c r="J66" t="s">
        <v>94</v>
      </c>
      <c r="K66" t="s">
        <v>1135</v>
      </c>
      <c r="L66" s="22">
        <v>42929.446134259262</v>
      </c>
      <c r="M66">
        <f xml:space="preserve"> M65+(ckAwdTable[ILN]&lt;"M")</f>
        <v>51</v>
      </c>
      <c r="N66" t="s">
        <v>96</v>
      </c>
      <c r="O66" t="s">
        <v>1343</v>
      </c>
      <c r="P66" s="15" t="str">
        <f>HYPERLINK("https://www.ejacket.nsf.gov/ej/showProposal.do?ID="&amp;ckAwdTable[[#This Row],[prop_id]],"eJ")</f>
        <v>eJ</v>
      </c>
      <c r="Q66" s="8" t="s">
        <v>224</v>
      </c>
      <c r="R66" t="s">
        <v>1343</v>
      </c>
      <c r="S66" t="s">
        <v>1344</v>
      </c>
      <c r="T66" t="s">
        <v>1345</v>
      </c>
      <c r="U66" s="8" t="s">
        <v>1346</v>
      </c>
      <c r="V66" t="s">
        <v>281</v>
      </c>
      <c r="W66" s="15" t="str">
        <f>HYPERLINK("mailto:"&amp; ckAwdTable[[#This Row],[email]]&amp;"&amp;subject=Your NSF Proposal:  "&amp;ckAwdTable[[#This Row],[prop_id]], ckAwdTable[[#This Row],[email]])</f>
        <v>kilianweinberger@cornell.edu</v>
      </c>
      <c r="X66" s="30">
        <v>43009</v>
      </c>
      <c r="Y66">
        <v>36</v>
      </c>
      <c r="AA66" s="21" t="s">
        <v>13</v>
      </c>
      <c r="AB66" s="21" t="s">
        <v>972</v>
      </c>
      <c r="AC66"/>
      <c r="AD66" s="21" t="s">
        <v>13</v>
      </c>
      <c r="AF66" s="21" t="s">
        <v>965</v>
      </c>
      <c r="AG66" s="21" t="str">
        <f>IFERROR(IF(FIND("?",ckAwdTable[[#This Row],[abst_narr_txt]]),SummarizeQuestMarks(ckAwdTable[[#This Row],[abst_narr_txt]]),""),"")</f>
        <v/>
      </c>
      <c r="AH66" s="21" t="s">
        <v>1950</v>
      </c>
      <c r="AI66" s="13">
        <v>1497238</v>
      </c>
      <c r="AJ66" s="21">
        <v>1</v>
      </c>
      <c r="AK66" s="1">
        <v>1496655</v>
      </c>
      <c r="AL66" s="1"/>
      <c r="AM66" s="1"/>
      <c r="AN66" s="1">
        <v>600680</v>
      </c>
      <c r="AO66" s="1">
        <v>24000</v>
      </c>
      <c r="AP66" s="21"/>
      <c r="AQ66" s="21"/>
      <c r="AR66" s="21"/>
      <c r="AS66" s="21"/>
      <c r="AT66" s="21"/>
      <c r="AU66" s="8" t="s">
        <v>991</v>
      </c>
      <c r="AV66" t="s">
        <v>1349</v>
      </c>
      <c r="AW66" t="b">
        <f>AND(ckAwdTable[[#This Row],[ILN]]&gt;"M", SUBSTITUTE(ckAwdTable[[#This Row],[prop_titl_txt]]," ","")&lt;&gt;SUBSTITUTE(AV65," ",""))</f>
        <v>0</v>
      </c>
      <c r="AX66" s="8" t="s">
        <v>1347</v>
      </c>
      <c r="BB66"/>
      <c r="BC66"/>
      <c r="BD66"/>
      <c r="BI66" s="1"/>
      <c r="BL66"/>
      <c r="BM66" s="13"/>
      <c r="BP66"/>
    </row>
    <row r="67" spans="1:68" x14ac:dyDescent="0.4">
      <c r="A67" s="30">
        <v>42934.469247685185</v>
      </c>
      <c r="B67" s="30">
        <v>42809.688888888886</v>
      </c>
      <c r="C67" t="s">
        <v>1136</v>
      </c>
      <c r="D67" t="s">
        <v>222</v>
      </c>
      <c r="E67" t="s">
        <v>1137</v>
      </c>
      <c r="F67" t="s">
        <v>406</v>
      </c>
      <c r="G67" s="8" t="s">
        <v>976</v>
      </c>
      <c r="H67" s="8" t="s">
        <v>172</v>
      </c>
      <c r="I67" s="8" t="s">
        <v>962</v>
      </c>
      <c r="J67" t="s">
        <v>94</v>
      </c>
      <c r="K67" t="s">
        <v>1135</v>
      </c>
      <c r="L67" s="22">
        <v>42920.120162037034</v>
      </c>
      <c r="M67">
        <f xml:space="preserve"> M66+(ckAwdTable[ILN]&lt;"M")</f>
        <v>52</v>
      </c>
      <c r="N67" t="s">
        <v>96</v>
      </c>
      <c r="O67" t="s">
        <v>1350</v>
      </c>
      <c r="P67" s="15" t="str">
        <f>HYPERLINK("https://www.ejacket.nsf.gov/ej/showProposal.do?ID="&amp;ckAwdTable[[#This Row],[prop_id]],"eJ")</f>
        <v>eJ</v>
      </c>
      <c r="Q67" s="8" t="s">
        <v>224</v>
      </c>
      <c r="R67" t="s">
        <v>1350</v>
      </c>
      <c r="S67" t="s">
        <v>1351</v>
      </c>
      <c r="T67" t="s">
        <v>1352</v>
      </c>
      <c r="U67" s="8" t="s">
        <v>1329</v>
      </c>
      <c r="V67" t="s">
        <v>281</v>
      </c>
      <c r="W67" s="15" t="str">
        <f>HYPERLINK("mailto:"&amp; ckAwdTable[[#This Row],[email]]&amp;"&amp;subject=Your NSF Proposal:  "&amp;ckAwdTable[[#This Row],[prop_id]], ckAwdTable[[#This Row],[email]])</f>
        <v>cfg3@nyu.edu</v>
      </c>
      <c r="X67" s="30">
        <v>42979</v>
      </c>
      <c r="Y67">
        <v>36</v>
      </c>
      <c r="AA67" s="21" t="s">
        <v>13</v>
      </c>
      <c r="AB67" s="21" t="s">
        <v>972</v>
      </c>
      <c r="AC67"/>
      <c r="AD67" s="21" t="s">
        <v>13</v>
      </c>
      <c r="AF67" s="21" t="s">
        <v>965</v>
      </c>
      <c r="AG67" s="21" t="str">
        <f>IFERROR(IF(FIND("?",ckAwdTable[[#This Row],[abst_narr_txt]]),SummarizeQuestMarks(ckAwdTable[[#This Row],[abst_narr_txt]]),""),"")</f>
        <v/>
      </c>
      <c r="AI67" s="13">
        <v>1473414</v>
      </c>
      <c r="AJ67" s="21">
        <v>0</v>
      </c>
      <c r="AK67" s="1">
        <v>1473414</v>
      </c>
      <c r="AL67" s="1"/>
      <c r="AM67" s="1"/>
      <c r="AN67" s="1">
        <v>299875</v>
      </c>
      <c r="AO67" s="1">
        <v>120000</v>
      </c>
      <c r="AP67" s="21">
        <v>6</v>
      </c>
      <c r="AQ67" s="21">
        <v>12</v>
      </c>
      <c r="AR67" s="21">
        <v>10.68</v>
      </c>
      <c r="AS67" s="21"/>
      <c r="AT67" s="21"/>
      <c r="AU67" s="8" t="s">
        <v>973</v>
      </c>
      <c r="AV67" t="s">
        <v>1355</v>
      </c>
      <c r="AW67" t="b">
        <f>AND(ckAwdTable[[#This Row],[ILN]]&gt;"M", SUBSTITUTE(ckAwdTable[[#This Row],[prop_titl_txt]]," ","")&lt;&gt;SUBSTITUTE(AV66," ",""))</f>
        <v>0</v>
      </c>
      <c r="AX67" s="8" t="s">
        <v>1353</v>
      </c>
      <c r="BB67"/>
      <c r="BC67"/>
      <c r="BD67"/>
      <c r="BI67" s="1"/>
      <c r="BL67"/>
      <c r="BM67" s="13"/>
      <c r="BP67"/>
    </row>
    <row r="68" spans="1:68" x14ac:dyDescent="0.4">
      <c r="A68" s="30">
        <v>42955.710752314815</v>
      </c>
      <c r="B68" s="30">
        <v>42809.693749999999</v>
      </c>
      <c r="C68" t="s">
        <v>1136</v>
      </c>
      <c r="D68" t="s">
        <v>222</v>
      </c>
      <c r="E68" t="s">
        <v>1137</v>
      </c>
      <c r="F68" t="s">
        <v>406</v>
      </c>
      <c r="G68" s="8" t="s">
        <v>976</v>
      </c>
      <c r="H68" s="8" t="s">
        <v>172</v>
      </c>
      <c r="I68" s="8" t="s">
        <v>962</v>
      </c>
      <c r="J68" t="s">
        <v>94</v>
      </c>
      <c r="K68" t="s">
        <v>1135</v>
      </c>
      <c r="L68" s="22">
        <v>42914.639224537037</v>
      </c>
      <c r="M68">
        <f xml:space="preserve"> M67+(ckAwdTable[ILN]&lt;"M")</f>
        <v>53</v>
      </c>
      <c r="N68" t="s">
        <v>96</v>
      </c>
      <c r="O68" t="s">
        <v>1356</v>
      </c>
      <c r="P68" s="15" t="str">
        <f>HYPERLINK("https://www.ejacket.nsf.gov/ej/showProposal.do?ID="&amp;ckAwdTable[[#This Row],[prop_id]],"eJ")</f>
        <v>eJ</v>
      </c>
      <c r="Q68" s="8" t="s">
        <v>224</v>
      </c>
      <c r="R68" t="s">
        <v>1356</v>
      </c>
      <c r="S68" t="s">
        <v>1357</v>
      </c>
      <c r="T68" t="s">
        <v>1219</v>
      </c>
      <c r="U68" s="8" t="s">
        <v>1075</v>
      </c>
      <c r="V68" t="s">
        <v>280</v>
      </c>
      <c r="W68" s="15" t="str">
        <f>HYPERLINK("mailto:"&amp; ckAwdTable[[#This Row],[email]]&amp;"&amp;subject=Your NSF Proposal:  "&amp;ckAwdTable[[#This Row],[prop_id]], ckAwdTable[[#This Row],[email]])</f>
        <v>mcgregor@cs.umass.edu</v>
      </c>
      <c r="X68" s="30">
        <v>42979</v>
      </c>
      <c r="Y68">
        <v>36</v>
      </c>
      <c r="AA68" s="21" t="s">
        <v>13</v>
      </c>
      <c r="AB68" s="21" t="s">
        <v>972</v>
      </c>
      <c r="AC68"/>
      <c r="AD68" s="21" t="s">
        <v>13</v>
      </c>
      <c r="AF68" s="21" t="s">
        <v>965</v>
      </c>
      <c r="AG68" s="21" t="str">
        <f>IFERROR(IF(FIND("?",ckAwdTable[[#This Row],[abst_narr_txt]]),SummarizeQuestMarks(ckAwdTable[[#This Row],[abst_narr_txt]]),""),"")</f>
        <v/>
      </c>
      <c r="AI68" s="13">
        <v>1499733</v>
      </c>
      <c r="AJ68" s="21">
        <v>0</v>
      </c>
      <c r="AK68" s="1">
        <v>1499733</v>
      </c>
      <c r="AL68" s="1"/>
      <c r="AM68" s="1"/>
      <c r="AN68" s="1">
        <v>543589</v>
      </c>
      <c r="AO68" s="1">
        <v>78000</v>
      </c>
      <c r="AP68" s="21"/>
      <c r="AQ68" s="21">
        <v>15</v>
      </c>
      <c r="AR68" s="21">
        <v>14.5</v>
      </c>
      <c r="AS68" s="21"/>
      <c r="AT68" s="21"/>
      <c r="AU68" s="8" t="s">
        <v>973</v>
      </c>
      <c r="AV68" t="s">
        <v>1359</v>
      </c>
      <c r="AW68" t="b">
        <f>AND(ckAwdTable[[#This Row],[ILN]]&gt;"M", SUBSTITUTE(ckAwdTable[[#This Row],[prop_titl_txt]]," ","")&lt;&gt;SUBSTITUTE(AV67," ",""))</f>
        <v>0</v>
      </c>
      <c r="AX68" s="8" t="s">
        <v>1358</v>
      </c>
      <c r="BB68"/>
      <c r="BC68"/>
      <c r="BD68"/>
      <c r="BI68" s="1"/>
      <c r="BL68"/>
      <c r="BM68" s="13"/>
      <c r="BP68"/>
    </row>
    <row r="69" spans="1:68" x14ac:dyDescent="0.4">
      <c r="A69" s="30">
        <v>42955.712395833332</v>
      </c>
      <c r="B69" s="30">
        <v>42809.695138888892</v>
      </c>
      <c r="C69" t="s">
        <v>1136</v>
      </c>
      <c r="D69" t="s">
        <v>222</v>
      </c>
      <c r="E69" t="s">
        <v>1137</v>
      </c>
      <c r="F69" t="s">
        <v>406</v>
      </c>
      <c r="G69" s="8" t="s">
        <v>976</v>
      </c>
      <c r="H69" s="8" t="s">
        <v>172</v>
      </c>
      <c r="I69" s="8" t="s">
        <v>962</v>
      </c>
      <c r="J69" t="s">
        <v>94</v>
      </c>
      <c r="K69" t="s">
        <v>1135</v>
      </c>
      <c r="L69" s="22">
        <v>42914.639282407406</v>
      </c>
      <c r="M69">
        <f xml:space="preserve"> M68+(ckAwdTable[ILN]&lt;"M")</f>
        <v>54</v>
      </c>
      <c r="N69" t="s">
        <v>96</v>
      </c>
      <c r="O69" t="s">
        <v>1360</v>
      </c>
      <c r="P69" s="15" t="str">
        <f>HYPERLINK("https://www.ejacket.nsf.gov/ej/showProposal.do?ID="&amp;ckAwdTable[[#This Row],[prop_id]],"eJ")</f>
        <v>eJ</v>
      </c>
      <c r="Q69" s="8" t="s">
        <v>224</v>
      </c>
      <c r="R69" t="s">
        <v>1360</v>
      </c>
      <c r="S69" t="s">
        <v>1361</v>
      </c>
      <c r="T69" t="s">
        <v>1362</v>
      </c>
      <c r="U69" s="8" t="s">
        <v>1363</v>
      </c>
      <c r="V69" t="s">
        <v>282</v>
      </c>
      <c r="W69" s="15" t="str">
        <f>HYPERLINK("mailto:"&amp; ckAwdTable[[#This Row],[email]]&amp;"&amp;subject=Your NSF Proposal:  "&amp;ckAwdTable[[#This Row],[prop_id]], ckAwdTable[[#This Row],[email]])</f>
        <v>plahiri@umd.edu</v>
      </c>
      <c r="X69" s="30">
        <v>42979</v>
      </c>
      <c r="Y69">
        <v>36</v>
      </c>
      <c r="AA69" s="21" t="s">
        <v>13</v>
      </c>
      <c r="AB69" s="21" t="s">
        <v>972</v>
      </c>
      <c r="AC69"/>
      <c r="AD69" s="21" t="s">
        <v>13</v>
      </c>
      <c r="AE69" s="21" t="s">
        <v>274</v>
      </c>
      <c r="AF69" s="21" t="s">
        <v>965</v>
      </c>
      <c r="AG69" s="21" t="str">
        <f>IFERROR(IF(FIND("?",ckAwdTable[[#This Row],[abst_narr_txt]]),SummarizeQuestMarks(ckAwdTable[[#This Row],[abst_narr_txt]]),""),"")</f>
        <v/>
      </c>
      <c r="AI69" s="13">
        <v>1499984</v>
      </c>
      <c r="AJ69" s="21">
        <v>0</v>
      </c>
      <c r="AK69" s="1">
        <v>1499984</v>
      </c>
      <c r="AL69" s="1"/>
      <c r="AM69" s="1">
        <v>21000</v>
      </c>
      <c r="AP69" s="21">
        <v>15</v>
      </c>
      <c r="AQ69" s="21">
        <v>24</v>
      </c>
      <c r="AR69" s="21">
        <v>13.5</v>
      </c>
      <c r="AS69" s="21"/>
      <c r="AT69" s="21">
        <v>9</v>
      </c>
      <c r="AU69" s="8" t="s">
        <v>973</v>
      </c>
      <c r="AV69" t="s">
        <v>1366</v>
      </c>
      <c r="AW69" t="b">
        <f>AND(ckAwdTable[[#This Row],[ILN]]&gt;"M", SUBSTITUTE(ckAwdTable[[#This Row],[prop_titl_txt]]," ","")&lt;&gt;SUBSTITUTE(AV68," ",""))</f>
        <v>0</v>
      </c>
      <c r="AX69" s="8" t="s">
        <v>1364</v>
      </c>
      <c r="BB69"/>
      <c r="BC69"/>
      <c r="BD69"/>
      <c r="BI69" s="1"/>
      <c r="BL69"/>
      <c r="BM69" s="13"/>
      <c r="BP69"/>
    </row>
    <row r="70" spans="1:68" x14ac:dyDescent="0.4">
      <c r="A70" s="30">
        <v>42956.384513888886</v>
      </c>
      <c r="B70" s="30">
        <v>42809.700694444444</v>
      </c>
      <c r="C70" t="s">
        <v>1136</v>
      </c>
      <c r="D70" t="s">
        <v>222</v>
      </c>
      <c r="E70" t="s">
        <v>1137</v>
      </c>
      <c r="F70" t="s">
        <v>451</v>
      </c>
      <c r="G70" s="8" t="s">
        <v>976</v>
      </c>
      <c r="H70" s="8" t="s">
        <v>172</v>
      </c>
      <c r="I70" s="8" t="s">
        <v>962</v>
      </c>
      <c r="J70" t="s">
        <v>94</v>
      </c>
      <c r="K70" t="s">
        <v>1135</v>
      </c>
      <c r="L70" s="22">
        <v>42951.541817129626</v>
      </c>
      <c r="M70">
        <f xml:space="preserve"> M69+(ckAwdTable[ILN]&lt;"M")</f>
        <v>55</v>
      </c>
      <c r="N70" t="s">
        <v>96</v>
      </c>
      <c r="O70" t="s">
        <v>1367</v>
      </c>
      <c r="P70" s="15" t="str">
        <f>HYPERLINK("https://www.ejacket.nsf.gov/ej/showProposal.do?ID="&amp;ckAwdTable[[#This Row],[prop_id]],"eJ")</f>
        <v>eJ</v>
      </c>
      <c r="Q70" s="8" t="s">
        <v>224</v>
      </c>
      <c r="R70" t="s">
        <v>1367</v>
      </c>
      <c r="S70" t="s">
        <v>1368</v>
      </c>
      <c r="T70" t="s">
        <v>1369</v>
      </c>
      <c r="U70" s="8" t="s">
        <v>559</v>
      </c>
      <c r="V70" t="s">
        <v>560</v>
      </c>
      <c r="W70" s="15" t="str">
        <f>HYPERLINK("mailto:"&amp; ckAwdTable[[#This Row],[email]]&amp;"&amp;subject=Your NSF Proposal:  "&amp;ckAwdTable[[#This Row],[prop_id]], ckAwdTable[[#This Row],[email]])</f>
        <v>ram@usf.edu</v>
      </c>
      <c r="X70" s="30">
        <v>43101</v>
      </c>
      <c r="Y70">
        <v>36</v>
      </c>
      <c r="AA70" s="21" t="s">
        <v>13</v>
      </c>
      <c r="AB70" s="21" t="s">
        <v>972</v>
      </c>
      <c r="AC70"/>
      <c r="AD70" s="21" t="s">
        <v>13</v>
      </c>
      <c r="AE70" s="21" t="s">
        <v>2145</v>
      </c>
      <c r="AF70" s="21" t="s">
        <v>965</v>
      </c>
      <c r="AG70" s="21" t="str">
        <f>IFERROR(IF(FIND("?",ckAwdTable[[#This Row],[abst_narr_txt]]),SummarizeQuestMarks(ckAwdTable[[#This Row],[abst_narr_txt]]),""),"")</f>
        <v/>
      </c>
      <c r="AI70" s="13">
        <v>1464858</v>
      </c>
      <c r="AJ70" s="21">
        <v>0</v>
      </c>
      <c r="AK70" s="1">
        <v>1464858</v>
      </c>
      <c r="AL70" s="1"/>
      <c r="AM70" s="1">
        <v>26500</v>
      </c>
      <c r="AO70" s="1">
        <v>68400</v>
      </c>
      <c r="AP70" s="21">
        <v>15</v>
      </c>
      <c r="AQ70" s="21">
        <v>15</v>
      </c>
      <c r="AR70" s="21">
        <v>15</v>
      </c>
      <c r="AS70" s="21"/>
      <c r="AT70" s="21"/>
      <c r="AU70" s="8" t="s">
        <v>973</v>
      </c>
      <c r="AV70" t="s">
        <v>1372</v>
      </c>
      <c r="AW70" t="b">
        <f>AND(ckAwdTable[[#This Row],[ILN]]&gt;"M", SUBSTITUTE(ckAwdTable[[#This Row],[prop_titl_txt]]," ","")&lt;&gt;SUBSTITUTE(AV69," ",""))</f>
        <v>0</v>
      </c>
      <c r="AX70" s="8" t="s">
        <v>1370</v>
      </c>
      <c r="BB70"/>
      <c r="BC70"/>
      <c r="BD70"/>
      <c r="BI70" s="1"/>
      <c r="BL70"/>
      <c r="BM70" s="13"/>
      <c r="BP70"/>
    </row>
    <row r="71" spans="1:68" x14ac:dyDescent="0.4">
      <c r="A71" s="30">
        <v>42930.561608796299</v>
      </c>
      <c r="B71" s="30">
        <v>42809.702777777777</v>
      </c>
      <c r="C71" t="s">
        <v>1136</v>
      </c>
      <c r="D71" t="s">
        <v>222</v>
      </c>
      <c r="E71" t="s">
        <v>1137</v>
      </c>
      <c r="F71" t="s">
        <v>1241</v>
      </c>
      <c r="G71" s="8" t="s">
        <v>992</v>
      </c>
      <c r="H71" s="8" t="s">
        <v>172</v>
      </c>
      <c r="I71" s="8" t="s">
        <v>2135</v>
      </c>
      <c r="J71" t="s">
        <v>94</v>
      </c>
      <c r="K71" t="s">
        <v>1135</v>
      </c>
      <c r="L71" s="22">
        <v>42929.336412037039</v>
      </c>
      <c r="M71">
        <f xml:space="preserve"> M70+(ckAwdTable[ILN]&lt;"M")</f>
        <v>56</v>
      </c>
      <c r="N71" t="s">
        <v>96</v>
      </c>
      <c r="O71" t="s">
        <v>1373</v>
      </c>
      <c r="P71" s="15" t="str">
        <f>HYPERLINK("https://www.ejacket.nsf.gov/ej/showProposal.do?ID="&amp;ckAwdTable[[#This Row],[prop_id]],"eJ")</f>
        <v>eJ</v>
      </c>
      <c r="Q71" s="8" t="s">
        <v>224</v>
      </c>
      <c r="R71" t="s">
        <v>1373</v>
      </c>
      <c r="S71" t="s">
        <v>1374</v>
      </c>
      <c r="T71" t="s">
        <v>1214</v>
      </c>
      <c r="U71" s="8" t="s">
        <v>1220</v>
      </c>
      <c r="V71" t="s">
        <v>281</v>
      </c>
      <c r="W71" s="15" t="str">
        <f>HYPERLINK("mailto:"&amp; ckAwdTable[[#This Row],[email]]&amp;"&amp;subject=Your NSF Proposal:  "&amp;ckAwdTable[[#This Row],[prop_id]], ckAwdTable[[#This Row],[email]])</f>
        <v>jw2966@columbia.edu</v>
      </c>
      <c r="X71" s="30">
        <v>42979</v>
      </c>
      <c r="Y71">
        <v>36</v>
      </c>
      <c r="AA71" s="21" t="s">
        <v>13</v>
      </c>
      <c r="AB71" s="21" t="s">
        <v>972</v>
      </c>
      <c r="AC71"/>
      <c r="AD71" s="21" t="s">
        <v>13</v>
      </c>
      <c r="AF71" s="21" t="s">
        <v>965</v>
      </c>
      <c r="AG71" s="21" t="str">
        <f>IFERROR(IF(FIND("?",ckAwdTable[[#This Row],[abst_narr_txt]]),SummarizeQuestMarks(ckAwdTable[[#This Row],[abst_narr_txt]]),""),"")</f>
        <v/>
      </c>
      <c r="AH71" s="21" t="s">
        <v>1986</v>
      </c>
      <c r="AI71" s="13">
        <v>1500000</v>
      </c>
      <c r="AJ71" s="21">
        <v>0</v>
      </c>
      <c r="AK71" s="1">
        <v>1500000</v>
      </c>
      <c r="AL71" s="1"/>
      <c r="AM71" s="1"/>
      <c r="AN71" s="1">
        <v>185454</v>
      </c>
      <c r="AO71" s="1">
        <v>32274</v>
      </c>
      <c r="AP71" s="21">
        <v>6</v>
      </c>
      <c r="AQ71" s="21">
        <v>15</v>
      </c>
      <c r="AR71" s="21">
        <v>3.75</v>
      </c>
      <c r="AS71" s="21"/>
      <c r="AT71" s="21"/>
      <c r="AU71" s="8" t="s">
        <v>991</v>
      </c>
      <c r="AV71" t="s">
        <v>1377</v>
      </c>
      <c r="AW71" t="b">
        <f>AND(ckAwdTable[[#This Row],[ILN]]&gt;"M", SUBSTITUTE(ckAwdTable[[#This Row],[prop_titl_txt]]," ","")&lt;&gt;SUBSTITUTE(AV70," ",""))</f>
        <v>0</v>
      </c>
      <c r="AX71" s="8" t="s">
        <v>1375</v>
      </c>
      <c r="BB71"/>
      <c r="BC71"/>
      <c r="BD71"/>
      <c r="BI71" s="1"/>
      <c r="BL71"/>
      <c r="BM71" s="13"/>
      <c r="BP71"/>
    </row>
    <row r="72" spans="1:68" x14ac:dyDescent="0.4">
      <c r="A72" s="30">
        <v>42934.468009259261</v>
      </c>
      <c r="B72" s="30">
        <v>42809.705555555556</v>
      </c>
      <c r="C72" t="s">
        <v>1136</v>
      </c>
      <c r="D72" t="s">
        <v>222</v>
      </c>
      <c r="E72" t="s">
        <v>1137</v>
      </c>
      <c r="F72" t="s">
        <v>406</v>
      </c>
      <c r="G72" s="8" t="s">
        <v>976</v>
      </c>
      <c r="H72" s="8" t="s">
        <v>172</v>
      </c>
      <c r="I72" s="8" t="s">
        <v>962</v>
      </c>
      <c r="J72" t="s">
        <v>94</v>
      </c>
      <c r="K72" t="s">
        <v>1135</v>
      </c>
      <c r="L72" s="22">
        <v>42920.135023148148</v>
      </c>
      <c r="M72">
        <f xml:space="preserve"> M71+(ckAwdTable[ILN]&lt;"M")</f>
        <v>57</v>
      </c>
      <c r="N72" t="s">
        <v>96</v>
      </c>
      <c r="O72" t="s">
        <v>1378</v>
      </c>
      <c r="P72" s="15" t="str">
        <f>HYPERLINK("https://www.ejacket.nsf.gov/ej/showProposal.do?ID="&amp;ckAwdTable[[#This Row],[prop_id]],"eJ")</f>
        <v>eJ</v>
      </c>
      <c r="Q72" s="8" t="s">
        <v>224</v>
      </c>
      <c r="R72" t="s">
        <v>1378</v>
      </c>
      <c r="S72" t="s">
        <v>1379</v>
      </c>
      <c r="T72" t="s">
        <v>1380</v>
      </c>
      <c r="U72" s="8" t="s">
        <v>1381</v>
      </c>
      <c r="V72" t="s">
        <v>1317</v>
      </c>
      <c r="W72" s="15" t="str">
        <f>HYPERLINK("mailto:"&amp; ckAwdTable[[#This Row],[email]]&amp;"&amp;subject=Your NSF Proposal:  "&amp;ckAwdTable[[#This Row],[prop_id]], ckAwdTable[[#This Row],[email]])</f>
        <v>mischaik@math.rutgers.edu</v>
      </c>
      <c r="X72" s="30">
        <v>43009</v>
      </c>
      <c r="Y72">
        <v>36</v>
      </c>
      <c r="AA72" s="21" t="s">
        <v>13</v>
      </c>
      <c r="AB72" s="21" t="s">
        <v>972</v>
      </c>
      <c r="AC72"/>
      <c r="AD72" s="21" t="s">
        <v>13</v>
      </c>
      <c r="AF72" s="21" t="s">
        <v>965</v>
      </c>
      <c r="AG72" s="21" t="str">
        <f>IFERROR(IF(FIND("?",ckAwdTable[[#This Row],[abst_narr_txt]]),SummarizeQuestMarks(ckAwdTable[[#This Row],[abst_narr_txt]]),""),"")</f>
        <v/>
      </c>
      <c r="AI72" s="13">
        <v>1499998</v>
      </c>
      <c r="AJ72" s="21">
        <v>0</v>
      </c>
      <c r="AK72" s="1">
        <v>1499998</v>
      </c>
      <c r="AL72" s="1"/>
      <c r="AM72" s="1"/>
      <c r="AO72" s="1">
        <v>801248</v>
      </c>
      <c r="AP72" s="21"/>
      <c r="AQ72" s="21">
        <v>12</v>
      </c>
      <c r="AR72" s="21">
        <v>2</v>
      </c>
      <c r="AS72" s="21">
        <v>4.4000000000000004</v>
      </c>
      <c r="AT72" s="21">
        <v>0.3</v>
      </c>
      <c r="AU72" s="8" t="s">
        <v>973</v>
      </c>
      <c r="AV72" t="s">
        <v>1383</v>
      </c>
      <c r="AW72" t="b">
        <f>AND(ckAwdTable[[#This Row],[ILN]]&gt;"M", SUBSTITUTE(ckAwdTable[[#This Row],[prop_titl_txt]]," ","")&lt;&gt;SUBSTITUTE(AV71," ",""))</f>
        <v>0</v>
      </c>
      <c r="AX72" s="8" t="s">
        <v>1382</v>
      </c>
      <c r="BB72"/>
      <c r="BC72"/>
      <c r="BD72"/>
      <c r="BI72" s="1"/>
      <c r="BL72"/>
      <c r="BM72" s="13"/>
      <c r="BP72"/>
    </row>
    <row r="73" spans="1:68" x14ac:dyDescent="0.4">
      <c r="A73" s="30">
        <v>42956.385439814818</v>
      </c>
      <c r="B73" s="30">
        <v>42809.706250000003</v>
      </c>
      <c r="C73" t="s">
        <v>1136</v>
      </c>
      <c r="D73" t="s">
        <v>222</v>
      </c>
      <c r="E73" t="s">
        <v>1137</v>
      </c>
      <c r="F73" t="s">
        <v>451</v>
      </c>
      <c r="G73" s="8" t="s">
        <v>976</v>
      </c>
      <c r="H73" s="8" t="s">
        <v>172</v>
      </c>
      <c r="I73" s="8" t="s">
        <v>962</v>
      </c>
      <c r="J73" t="s">
        <v>94</v>
      </c>
      <c r="K73" t="s">
        <v>1135</v>
      </c>
      <c r="L73" s="22">
        <v>42951.589386574073</v>
      </c>
      <c r="M73">
        <f xml:space="preserve"> M72+(ckAwdTable[ILN]&lt;"M")</f>
        <v>58</v>
      </c>
      <c r="N73" t="s">
        <v>96</v>
      </c>
      <c r="O73" t="s">
        <v>1384</v>
      </c>
      <c r="P73" s="15" t="str">
        <f>HYPERLINK("https://www.ejacket.nsf.gov/ej/showProposal.do?ID="&amp;ckAwdTable[[#This Row],[prop_id]],"eJ")</f>
        <v>eJ</v>
      </c>
      <c r="Q73" s="8" t="s">
        <v>224</v>
      </c>
      <c r="R73" t="s">
        <v>1384</v>
      </c>
      <c r="S73" t="s">
        <v>1385</v>
      </c>
      <c r="T73" t="s">
        <v>1386</v>
      </c>
      <c r="U73" s="8" t="s">
        <v>501</v>
      </c>
      <c r="V73" t="s">
        <v>280</v>
      </c>
      <c r="W73" s="15" t="str">
        <f>HYPERLINK("mailto:"&amp; ckAwdTable[[#This Row],[email]]&amp;"&amp;subject=Your NSF Proposal:  "&amp;ckAwdTable[[#This Row],[prop_id]], ckAwdTable[[#This Row],[email]])</f>
        <v>orecchia@bu.edu</v>
      </c>
      <c r="X73" s="30">
        <v>43101</v>
      </c>
      <c r="Y73">
        <v>36</v>
      </c>
      <c r="AA73" s="21" t="s">
        <v>13</v>
      </c>
      <c r="AB73" s="21" t="s">
        <v>972</v>
      </c>
      <c r="AC73"/>
      <c r="AD73" s="21" t="s">
        <v>13</v>
      </c>
      <c r="AF73" s="21" t="s">
        <v>965</v>
      </c>
      <c r="AG73" s="21" t="str">
        <f>IFERROR(IF(FIND("?",ckAwdTable[[#This Row],[abst_narr_txt]]),SummarizeQuestMarks(ckAwdTable[[#This Row],[abst_narr_txt]]),""),"")</f>
        <v/>
      </c>
      <c r="AI73" s="13">
        <v>1493907</v>
      </c>
      <c r="AJ73" s="21">
        <v>0</v>
      </c>
      <c r="AK73" s="1">
        <v>1493907</v>
      </c>
      <c r="AL73" s="1"/>
      <c r="AM73" s="1"/>
      <c r="AO73" s="1">
        <v>956970</v>
      </c>
      <c r="AP73" s="21"/>
      <c r="AQ73" s="21">
        <v>30</v>
      </c>
      <c r="AR73" s="21">
        <v>7.35</v>
      </c>
      <c r="AS73" s="21"/>
      <c r="AT73" s="21"/>
      <c r="AU73" s="8" t="s">
        <v>973</v>
      </c>
      <c r="AV73" t="s">
        <v>1388</v>
      </c>
      <c r="AW73" t="b">
        <f>AND(ckAwdTable[[#This Row],[ILN]]&gt;"M", SUBSTITUTE(ckAwdTable[[#This Row],[prop_titl_txt]]," ","")&lt;&gt;SUBSTITUTE(AV72," ",""))</f>
        <v>0</v>
      </c>
      <c r="AX73" s="8" t="s">
        <v>1387</v>
      </c>
      <c r="BB73"/>
      <c r="BC73"/>
      <c r="BD73"/>
      <c r="BI73" s="1"/>
      <c r="BL73"/>
      <c r="BM73" s="13"/>
      <c r="BP73"/>
    </row>
    <row r="74" spans="1:68" x14ac:dyDescent="0.4">
      <c r="A74" s="30">
        <v>42954.675567129627</v>
      </c>
      <c r="B74" s="30">
        <v>42810.679861111108</v>
      </c>
      <c r="C74" t="s">
        <v>1136</v>
      </c>
      <c r="D74" t="s">
        <v>222</v>
      </c>
      <c r="E74" t="s">
        <v>1137</v>
      </c>
      <c r="F74" t="s">
        <v>451</v>
      </c>
      <c r="G74" s="8" t="s">
        <v>976</v>
      </c>
      <c r="H74" s="8" t="s">
        <v>172</v>
      </c>
      <c r="I74" s="8" t="s">
        <v>962</v>
      </c>
      <c r="J74" t="s">
        <v>94</v>
      </c>
      <c r="K74" t="s">
        <v>1135</v>
      </c>
      <c r="L74" s="22">
        <v>42951.484560185185</v>
      </c>
      <c r="M74">
        <f xml:space="preserve"> M73+(ckAwdTable[ILN]&lt;"M")</f>
        <v>59</v>
      </c>
      <c r="N74" t="s">
        <v>1145</v>
      </c>
      <c r="O74" t="s">
        <v>1389</v>
      </c>
      <c r="P74" s="15" t="str">
        <f>HYPERLINK("https://www.ejacket.nsf.gov/ej/showProposal.do?ID="&amp;ckAwdTable[[#This Row],[prop_id]],"eJ")</f>
        <v>eJ</v>
      </c>
      <c r="Q74" s="8" t="s">
        <v>224</v>
      </c>
      <c r="R74" t="s">
        <v>1389</v>
      </c>
      <c r="S74" t="s">
        <v>1390</v>
      </c>
      <c r="T74" t="s">
        <v>1391</v>
      </c>
      <c r="U74" s="8" t="s">
        <v>1392</v>
      </c>
      <c r="V74" t="s">
        <v>281</v>
      </c>
      <c r="W74" s="15" t="str">
        <f>HYPERLINK("mailto:"&amp; ckAwdTable[[#This Row],[email]]&amp;"&amp;subject=Your NSF Proposal:  "&amp;ckAwdTable[[#This Row],[prop_id]], ckAwdTable[[#This Row],[email]])</f>
        <v>byener@gmail.com</v>
      </c>
      <c r="X74" s="30">
        <v>42978</v>
      </c>
      <c r="Y74">
        <v>36</v>
      </c>
      <c r="AA74" s="21" t="s">
        <v>13</v>
      </c>
      <c r="AB74" s="21" t="s">
        <v>972</v>
      </c>
      <c r="AC74"/>
      <c r="AD74" s="21" t="s">
        <v>13</v>
      </c>
      <c r="AF74" s="21" t="s">
        <v>965</v>
      </c>
      <c r="AG74" s="21" t="str">
        <f>IFERROR(IF(FIND("?",ckAwdTable[[#This Row],[abst_narr_txt]]),SummarizeQuestMarks(ckAwdTable[[#This Row],[abst_narr_txt]]),""),"")</f>
        <v/>
      </c>
      <c r="AI74" s="13">
        <v>1277934</v>
      </c>
      <c r="AJ74" s="21">
        <v>0</v>
      </c>
      <c r="AK74" s="1">
        <v>1277934</v>
      </c>
      <c r="AL74" s="1">
        <v>60000</v>
      </c>
      <c r="AM74" s="1"/>
      <c r="AP74" s="21">
        <v>9</v>
      </c>
      <c r="AQ74" s="21">
        <v>12</v>
      </c>
      <c r="AR74" s="21">
        <v>6.75</v>
      </c>
      <c r="AS74" s="21"/>
      <c r="AT74" s="21">
        <v>3.6</v>
      </c>
      <c r="AU74" s="8" t="s">
        <v>973</v>
      </c>
      <c r="AV74" t="s">
        <v>1395</v>
      </c>
      <c r="AW74" t="b">
        <f>AND(ckAwdTable[[#This Row],[ILN]]&gt;"M", SUBSTITUTE(ckAwdTable[[#This Row],[prop_titl_txt]]," ","")&lt;&gt;SUBSTITUTE(AV73," ",""))</f>
        <v>0</v>
      </c>
      <c r="AX74" s="8" t="s">
        <v>1393</v>
      </c>
      <c r="BB74"/>
      <c r="BC74"/>
      <c r="BD74"/>
      <c r="BI74" s="1"/>
      <c r="BL74"/>
      <c r="BM74" s="13"/>
      <c r="BP74"/>
    </row>
    <row r="75" spans="1:68" x14ac:dyDescent="0.4">
      <c r="A75" s="30">
        <v>42954.675567129627</v>
      </c>
      <c r="B75" s="30">
        <v>42809.634027777778</v>
      </c>
      <c r="C75" t="s">
        <v>1136</v>
      </c>
      <c r="D75" t="s">
        <v>222</v>
      </c>
      <c r="E75" t="s">
        <v>1137</v>
      </c>
      <c r="F75" t="s">
        <v>451</v>
      </c>
      <c r="G75" s="8" t="s">
        <v>976</v>
      </c>
      <c r="H75" s="8" t="s">
        <v>172</v>
      </c>
      <c r="I75" s="8" t="s">
        <v>962</v>
      </c>
      <c r="J75" t="s">
        <v>94</v>
      </c>
      <c r="K75" t="s">
        <v>1135</v>
      </c>
      <c r="L75" s="22">
        <v>42951.484560185185</v>
      </c>
      <c r="M75">
        <f xml:space="preserve"> M74+(ckAwdTable[ILN]&lt;"M")</f>
        <v>59</v>
      </c>
      <c r="N75" t="s">
        <v>965</v>
      </c>
      <c r="O75" t="s">
        <v>1389</v>
      </c>
      <c r="P75" s="15" t="str">
        <f>HYPERLINK("https://www.ejacket.nsf.gov/ej/showProposal.do?ID="&amp;ckAwdTable[[#This Row],[prop_id]],"eJ")</f>
        <v>eJ</v>
      </c>
      <c r="Q75" s="8" t="s">
        <v>224</v>
      </c>
      <c r="R75" t="s">
        <v>1396</v>
      </c>
      <c r="S75" t="s">
        <v>1397</v>
      </c>
      <c r="T75" t="s">
        <v>1398</v>
      </c>
      <c r="U75" s="8" t="s">
        <v>1399</v>
      </c>
      <c r="V75" t="s">
        <v>508</v>
      </c>
      <c r="W75" s="15" t="str">
        <f>HYPERLINK("mailto:"&amp; ckAwdTable[[#This Row],[email]]&amp;"&amp;subject=Your NSF Proposal:  "&amp;ckAwdTable[[#This Row],[prop_id]], ckAwdTable[[#This Row],[email]])</f>
        <v>kk3ab@virginia.edu</v>
      </c>
      <c r="X75" s="30">
        <v>42978</v>
      </c>
      <c r="Y75">
        <v>36</v>
      </c>
      <c r="AA75" s="21" t="s">
        <v>13</v>
      </c>
      <c r="AB75" s="21" t="s">
        <v>972</v>
      </c>
      <c r="AC75"/>
      <c r="AD75" s="21" t="s">
        <v>13</v>
      </c>
      <c r="AF75" s="21" t="s">
        <v>965</v>
      </c>
      <c r="AG75" s="21" t="str">
        <f>IFERROR(IF(FIND("?",ckAwdTable[[#This Row],[abst_narr_txt]]),SummarizeQuestMarks(ckAwdTable[[#This Row],[abst_narr_txt]]),""),"")</f>
        <v/>
      </c>
      <c r="AI75" s="13">
        <v>222063</v>
      </c>
      <c r="AJ75" s="21">
        <v>0</v>
      </c>
      <c r="AK75" s="1">
        <v>222063</v>
      </c>
      <c r="AL75" s="1"/>
      <c r="AM75" s="1"/>
      <c r="AP75" s="21">
        <v>3</v>
      </c>
      <c r="AQ75" s="21">
        <v>3</v>
      </c>
      <c r="AR75" s="21">
        <v>3</v>
      </c>
      <c r="AS75" s="21"/>
      <c r="AT75" s="21"/>
      <c r="AU75" s="8" t="s">
        <v>973</v>
      </c>
      <c r="AV75" t="s">
        <v>1395</v>
      </c>
      <c r="AW75" t="b">
        <f>AND(ckAwdTable[[#This Row],[ILN]]&gt;"M", SUBSTITUTE(ckAwdTable[[#This Row],[prop_titl_txt]]," ","")&lt;&gt;SUBSTITUTE(AV74," ",""))</f>
        <v>0</v>
      </c>
      <c r="AX75" s="8" t="s">
        <v>1400</v>
      </c>
      <c r="BB75"/>
      <c r="BC75"/>
      <c r="BD75"/>
      <c r="BI75" s="1"/>
      <c r="BL75"/>
      <c r="BM75" s="13"/>
      <c r="BP75"/>
    </row>
    <row r="76" spans="1:68" x14ac:dyDescent="0.4">
      <c r="B76" s="30">
        <v>42930.554166666669</v>
      </c>
      <c r="C76" t="s">
        <v>256</v>
      </c>
      <c r="D76" t="s">
        <v>222</v>
      </c>
      <c r="E76" t="s">
        <v>405</v>
      </c>
      <c r="F76" t="s">
        <v>406</v>
      </c>
      <c r="G76" s="8" t="s">
        <v>174</v>
      </c>
      <c r="H76" s="8" t="s">
        <v>172</v>
      </c>
      <c r="I76" s="8" t="s">
        <v>962</v>
      </c>
      <c r="J76" t="s">
        <v>94</v>
      </c>
      <c r="K76" t="s">
        <v>404</v>
      </c>
      <c r="L76" s="22"/>
      <c r="M76">
        <f xml:space="preserve"> M75+(ckAwdTable[ILN]&lt;"M")</f>
        <v>60</v>
      </c>
      <c r="N76" t="s">
        <v>96</v>
      </c>
      <c r="O76" t="s">
        <v>354</v>
      </c>
      <c r="P76" s="15" t="str">
        <f>HYPERLINK("https://www.ejacket.nsf.gov/ej/showProposal.do?ID="&amp;ckAwdTable[[#This Row],[prop_id]],"eJ")</f>
        <v>eJ</v>
      </c>
      <c r="Q76" s="8" t="s">
        <v>224</v>
      </c>
      <c r="R76" t="s">
        <v>354</v>
      </c>
      <c r="S76" t="s">
        <v>407</v>
      </c>
      <c r="T76" t="s">
        <v>408</v>
      </c>
      <c r="U76" s="8" t="s">
        <v>409</v>
      </c>
      <c r="V76" t="s">
        <v>275</v>
      </c>
      <c r="W76" s="15" t="str">
        <f>HYPERLINK("mailto:"&amp; ckAwdTable[[#This Row],[email]]&amp;"&amp;subject=Your NSF Proposal:  "&amp;ckAwdTable[[#This Row],[prop_id]], ckAwdTable[[#This Row],[email]])</f>
        <v>steffen.borgwardt@ucdenver.edu</v>
      </c>
      <c r="X76" s="30">
        <v>43101</v>
      </c>
      <c r="Y76">
        <v>60</v>
      </c>
      <c r="AA76" s="21" t="s">
        <v>13</v>
      </c>
      <c r="AB76" s="21" t="s">
        <v>972</v>
      </c>
      <c r="AC76"/>
      <c r="AD76" s="21" t="s">
        <v>13</v>
      </c>
      <c r="AE76" s="21" t="s">
        <v>274</v>
      </c>
      <c r="AF76" s="21" t="s">
        <v>965</v>
      </c>
      <c r="AG76" s="21" t="str">
        <f>IFERROR(IF(FIND("?",ckAwdTable[[#This Row],[abst_narr_txt]]),SummarizeQuestMarks(ckAwdTable[[#This Row],[abst_narr_txt]]),""),"")</f>
        <v/>
      </c>
      <c r="AI76" s="13">
        <v>470400</v>
      </c>
      <c r="AJ76" s="21">
        <v>0</v>
      </c>
      <c r="AK76" s="1">
        <v>470400</v>
      </c>
      <c r="AL76" s="1"/>
      <c r="AM76" s="1">
        <v>9600</v>
      </c>
      <c r="AP76" s="21">
        <v>5</v>
      </c>
      <c r="AQ76" s="21">
        <v>5</v>
      </c>
      <c r="AR76" s="21">
        <v>7.5</v>
      </c>
      <c r="AS76" s="21"/>
      <c r="AT76" s="21"/>
      <c r="AU76" s="8" t="s">
        <v>175</v>
      </c>
      <c r="AV76" t="s">
        <v>413</v>
      </c>
      <c r="AW76" t="b">
        <f>AND(ckAwdTable[[#This Row],[ILN]]&gt;"M", SUBSTITUTE(ckAwdTable[[#This Row],[prop_titl_txt]]," ","")&lt;&gt;SUBSTITUTE(AV75," ",""))</f>
        <v>0</v>
      </c>
      <c r="AX76" s="8" t="s">
        <v>410</v>
      </c>
      <c r="BB76"/>
      <c r="BC76"/>
      <c r="BD76"/>
      <c r="BI76" s="1"/>
      <c r="BL76"/>
      <c r="BM76" s="13"/>
      <c r="BP76"/>
    </row>
    <row r="77" spans="1:68" x14ac:dyDescent="0.4">
      <c r="B77" s="30">
        <v>42933.547222222223</v>
      </c>
      <c r="C77" t="s">
        <v>256</v>
      </c>
      <c r="D77" t="s">
        <v>222</v>
      </c>
      <c r="E77" t="s">
        <v>405</v>
      </c>
      <c r="F77" t="s">
        <v>406</v>
      </c>
      <c r="G77" s="8" t="s">
        <v>174</v>
      </c>
      <c r="H77" s="8" t="s">
        <v>172</v>
      </c>
      <c r="I77" s="8" t="s">
        <v>962</v>
      </c>
      <c r="J77" t="s">
        <v>94</v>
      </c>
      <c r="K77" t="s">
        <v>404</v>
      </c>
      <c r="L77" s="22"/>
      <c r="M77">
        <f xml:space="preserve"> M76+(ckAwdTable[ILN]&lt;"M")</f>
        <v>61</v>
      </c>
      <c r="N77" t="s">
        <v>96</v>
      </c>
      <c r="O77" t="s">
        <v>355</v>
      </c>
      <c r="P77" s="15" t="str">
        <f>HYPERLINK("https://www.ejacket.nsf.gov/ej/showProposal.do?ID="&amp;ckAwdTable[[#This Row],[prop_id]],"eJ")</f>
        <v>eJ</v>
      </c>
      <c r="Q77" s="8" t="s">
        <v>224</v>
      </c>
      <c r="R77" t="s">
        <v>355</v>
      </c>
      <c r="S77" t="s">
        <v>414</v>
      </c>
      <c r="T77" t="s">
        <v>415</v>
      </c>
      <c r="U77" s="8" t="s">
        <v>416</v>
      </c>
      <c r="V77" t="s">
        <v>417</v>
      </c>
      <c r="W77" s="15" t="str">
        <f>HYPERLINK("mailto:"&amp; ckAwdTable[[#This Row],[email]]&amp;"&amp;subject=Your NSF Proposal:  "&amp;ckAwdTable[[#This Row],[prop_id]], ckAwdTable[[#This Row],[email]])</f>
        <v>haitao.wang@usu.edu</v>
      </c>
      <c r="X77" s="30">
        <v>43221</v>
      </c>
      <c r="Y77">
        <v>60</v>
      </c>
      <c r="AA77" s="21" t="s">
        <v>13</v>
      </c>
      <c r="AB77" s="21" t="s">
        <v>972</v>
      </c>
      <c r="AC77"/>
      <c r="AD77" s="21" t="s">
        <v>13</v>
      </c>
      <c r="AE77" s="21" t="s">
        <v>966</v>
      </c>
      <c r="AF77" s="21" t="s">
        <v>965</v>
      </c>
      <c r="AG77" s="21" t="str">
        <f>IFERROR(IF(FIND("?",ckAwdTable[[#This Row],[abst_narr_txt]]),SummarizeQuestMarks(ckAwdTable[[#This Row],[abst_narr_txt]]),""),"")</f>
        <v/>
      </c>
      <c r="AI77" s="13">
        <v>524898</v>
      </c>
      <c r="AJ77" s="21">
        <v>0</v>
      </c>
      <c r="AK77" s="1">
        <v>524898</v>
      </c>
      <c r="AL77" s="1"/>
      <c r="AM77" s="1">
        <v>15000</v>
      </c>
      <c r="AP77" s="21">
        <v>10</v>
      </c>
      <c r="AQ77" s="21">
        <v>5</v>
      </c>
      <c r="AR77" s="21">
        <v>5</v>
      </c>
      <c r="AS77" s="21"/>
      <c r="AT77" s="21"/>
      <c r="AU77" s="8" t="s">
        <v>175</v>
      </c>
      <c r="AV77" t="s">
        <v>421</v>
      </c>
      <c r="AW77" t="b">
        <f>AND(ckAwdTable[[#This Row],[ILN]]&gt;"M", SUBSTITUTE(ckAwdTable[[#This Row],[prop_titl_txt]]," ","")&lt;&gt;SUBSTITUTE(AV76," ",""))</f>
        <v>0</v>
      </c>
      <c r="AX77" s="8" t="s">
        <v>418</v>
      </c>
      <c r="BB77"/>
      <c r="BC77"/>
      <c r="BD77"/>
      <c r="BI77" s="1"/>
      <c r="BL77"/>
      <c r="BM77" s="13"/>
      <c r="BP77"/>
    </row>
    <row r="78" spans="1:68" x14ac:dyDescent="0.4">
      <c r="B78" s="30">
        <v>42933.579861111109</v>
      </c>
      <c r="C78" t="s">
        <v>256</v>
      </c>
      <c r="D78" t="s">
        <v>222</v>
      </c>
      <c r="E78" t="s">
        <v>405</v>
      </c>
      <c r="F78" t="s">
        <v>422</v>
      </c>
      <c r="G78" s="8" t="s">
        <v>174</v>
      </c>
      <c r="H78" s="8" t="s">
        <v>172</v>
      </c>
      <c r="I78" s="8" t="s">
        <v>962</v>
      </c>
      <c r="J78" t="s">
        <v>94</v>
      </c>
      <c r="K78" t="s">
        <v>404</v>
      </c>
      <c r="L78" s="22"/>
      <c r="M78">
        <f xml:space="preserve"> M77+(ckAwdTable[ILN]&lt;"M")</f>
        <v>62</v>
      </c>
      <c r="N78" t="s">
        <v>96</v>
      </c>
      <c r="O78" t="s">
        <v>356</v>
      </c>
      <c r="P78" s="15" t="str">
        <f>HYPERLINK("https://www.ejacket.nsf.gov/ej/showProposal.do?ID="&amp;ckAwdTable[[#This Row],[prop_id]],"eJ")</f>
        <v>eJ</v>
      </c>
      <c r="Q78" s="8" t="s">
        <v>224</v>
      </c>
      <c r="R78" t="s">
        <v>356</v>
      </c>
      <c r="S78" t="s">
        <v>423</v>
      </c>
      <c r="T78" t="s">
        <v>262</v>
      </c>
      <c r="U78" s="8" t="s">
        <v>424</v>
      </c>
      <c r="V78" t="s">
        <v>276</v>
      </c>
      <c r="W78" s="15" t="str">
        <f>HYPERLINK("mailto:"&amp; ckAwdTable[[#This Row],[email]]&amp;"&amp;subject=Your NSF Proposal:  "&amp;ckAwdTable[[#This Row],[prop_id]], ckAwdTable[[#This Row],[email]])</f>
        <v>bmoseley@seas.wustl.edu</v>
      </c>
      <c r="X78" s="30">
        <v>43282</v>
      </c>
      <c r="Y78">
        <v>60</v>
      </c>
      <c r="AA78" s="21" t="s">
        <v>13</v>
      </c>
      <c r="AB78" s="21" t="s">
        <v>972</v>
      </c>
      <c r="AC78"/>
      <c r="AD78" s="21" t="s">
        <v>13</v>
      </c>
      <c r="AF78" s="21" t="s">
        <v>965</v>
      </c>
      <c r="AG78" s="21" t="str">
        <f>IFERROR(IF(FIND("?",ckAwdTable[[#This Row],[abst_narr_txt]]),SummarizeQuestMarks(ckAwdTable[[#This Row],[abst_narr_txt]]),""),"")</f>
        <v/>
      </c>
      <c r="AI78" s="13">
        <v>545000</v>
      </c>
      <c r="AJ78" s="21">
        <v>0</v>
      </c>
      <c r="AK78" s="1">
        <v>545000</v>
      </c>
      <c r="AL78" s="1"/>
      <c r="AM78" s="1"/>
      <c r="AO78" s="1">
        <v>8000</v>
      </c>
      <c r="AP78" s="21">
        <v>5</v>
      </c>
      <c r="AQ78" s="21">
        <v>5</v>
      </c>
      <c r="AR78" s="21">
        <v>6.5</v>
      </c>
      <c r="AS78" s="21"/>
      <c r="AT78" s="21"/>
      <c r="AU78" s="8" t="s">
        <v>175</v>
      </c>
      <c r="AV78" t="s">
        <v>428</v>
      </c>
      <c r="AW78" t="b">
        <f>AND(ckAwdTable[[#This Row],[ILN]]&gt;"M", SUBSTITUTE(ckAwdTable[[#This Row],[prop_titl_txt]]," ","")&lt;&gt;SUBSTITUTE(AV77," ",""))</f>
        <v>0</v>
      </c>
      <c r="AX78" s="8" t="s">
        <v>425</v>
      </c>
      <c r="BB78"/>
      <c r="BC78"/>
      <c r="BD78"/>
      <c r="BI78" s="1"/>
      <c r="BL78"/>
      <c r="BM78" s="13"/>
      <c r="BP78"/>
    </row>
    <row r="79" spans="1:68" x14ac:dyDescent="0.4">
      <c r="B79" s="30">
        <v>42933.713888888888</v>
      </c>
      <c r="C79" t="s">
        <v>256</v>
      </c>
      <c r="D79" t="s">
        <v>222</v>
      </c>
      <c r="E79" t="s">
        <v>405</v>
      </c>
      <c r="F79" t="s">
        <v>406</v>
      </c>
      <c r="G79" s="8" t="s">
        <v>174</v>
      </c>
      <c r="H79" s="8" t="s">
        <v>172</v>
      </c>
      <c r="I79" s="8" t="s">
        <v>962</v>
      </c>
      <c r="J79" t="s">
        <v>94</v>
      </c>
      <c r="K79" t="s">
        <v>404</v>
      </c>
      <c r="L79" s="22"/>
      <c r="M79">
        <f xml:space="preserve"> M78+(ckAwdTable[ILN]&lt;"M")</f>
        <v>63</v>
      </c>
      <c r="N79" t="s">
        <v>96</v>
      </c>
      <c r="O79" t="s">
        <v>357</v>
      </c>
      <c r="P79" s="15" t="str">
        <f>HYPERLINK("https://www.ejacket.nsf.gov/ej/showProposal.do?ID="&amp;ckAwdTable[[#This Row],[prop_id]],"eJ")</f>
        <v>eJ</v>
      </c>
      <c r="Q79" s="8" t="s">
        <v>224</v>
      </c>
      <c r="R79" t="s">
        <v>357</v>
      </c>
      <c r="S79" t="s">
        <v>429</v>
      </c>
      <c r="T79" t="s">
        <v>430</v>
      </c>
      <c r="U79" s="8" t="s">
        <v>261</v>
      </c>
      <c r="V79" t="s">
        <v>277</v>
      </c>
      <c r="W79" s="15" t="str">
        <f>HYPERLINK("mailto:"&amp; ckAwdTable[[#This Row],[email]]&amp;"&amp;subject=Your NSF Proposal:  "&amp;ckAwdTable[[#This Row],[prop_id]], ckAwdTable[[#This Row],[email]])</f>
        <v>delpia@wisc.edu</v>
      </c>
      <c r="X79" s="30">
        <v>43344</v>
      </c>
      <c r="Y79">
        <v>60</v>
      </c>
      <c r="AA79" s="21" t="s">
        <v>13</v>
      </c>
      <c r="AB79" s="21" t="s">
        <v>972</v>
      </c>
      <c r="AC79"/>
      <c r="AD79" s="21" t="s">
        <v>13</v>
      </c>
      <c r="AE79" s="21" t="s">
        <v>274</v>
      </c>
      <c r="AF79" s="21" t="s">
        <v>965</v>
      </c>
      <c r="AG79" s="21" t="str">
        <f>IFERROR(IF(FIND("?",ckAwdTable[[#This Row],[abst_narr_txt]]),SummarizeQuestMarks(ckAwdTable[[#This Row],[abst_narr_txt]]),""),"")</f>
        <v/>
      </c>
      <c r="AI79" s="13">
        <v>500000</v>
      </c>
      <c r="AJ79" s="21">
        <v>0</v>
      </c>
      <c r="AK79" s="1">
        <v>500000</v>
      </c>
      <c r="AL79" s="1"/>
      <c r="AM79" s="1">
        <v>12416</v>
      </c>
      <c r="AP79" s="21">
        <v>5</v>
      </c>
      <c r="AQ79" s="21">
        <v>5</v>
      </c>
      <c r="AR79" s="21">
        <v>5</v>
      </c>
      <c r="AS79" s="21"/>
      <c r="AT79" s="21"/>
      <c r="AU79" s="8" t="s">
        <v>175</v>
      </c>
      <c r="AV79" t="s">
        <v>433</v>
      </c>
      <c r="AW79" t="b">
        <f>AND(ckAwdTable[[#This Row],[ILN]]&gt;"M", SUBSTITUTE(ckAwdTable[[#This Row],[prop_titl_txt]]," ","")&lt;&gt;SUBSTITUTE(AV78," ",""))</f>
        <v>0</v>
      </c>
      <c r="AX79" s="8" t="s">
        <v>431</v>
      </c>
      <c r="BB79"/>
      <c r="BC79"/>
      <c r="BD79"/>
      <c r="BI79" s="1"/>
      <c r="BL79"/>
      <c r="BM79" s="13"/>
      <c r="BP79"/>
    </row>
    <row r="80" spans="1:68" x14ac:dyDescent="0.4">
      <c r="B80" s="30">
        <v>42933.820138888892</v>
      </c>
      <c r="C80" t="s">
        <v>256</v>
      </c>
      <c r="D80" t="s">
        <v>222</v>
      </c>
      <c r="E80" t="s">
        <v>405</v>
      </c>
      <c r="F80" t="s">
        <v>406</v>
      </c>
      <c r="G80" s="8" t="s">
        <v>174</v>
      </c>
      <c r="H80" s="8" t="s">
        <v>172</v>
      </c>
      <c r="I80" s="8" t="s">
        <v>962</v>
      </c>
      <c r="J80" t="s">
        <v>94</v>
      </c>
      <c r="K80" t="s">
        <v>404</v>
      </c>
      <c r="L80" s="22"/>
      <c r="M80">
        <f xml:space="preserve"> M79+(ckAwdTable[ILN]&lt;"M")</f>
        <v>64</v>
      </c>
      <c r="N80" t="s">
        <v>96</v>
      </c>
      <c r="O80" t="s">
        <v>358</v>
      </c>
      <c r="P80" s="15" t="str">
        <f>HYPERLINK("https://www.ejacket.nsf.gov/ej/showProposal.do?ID="&amp;ckAwdTable[[#This Row],[prop_id]],"eJ")</f>
        <v>eJ</v>
      </c>
      <c r="Q80" s="8" t="s">
        <v>224</v>
      </c>
      <c r="R80" t="s">
        <v>358</v>
      </c>
      <c r="S80" t="s">
        <v>434</v>
      </c>
      <c r="T80" t="s">
        <v>435</v>
      </c>
      <c r="U80" s="8" t="s">
        <v>258</v>
      </c>
      <c r="V80" t="s">
        <v>278</v>
      </c>
      <c r="W80" s="15" t="str">
        <f>HYPERLINK("mailto:"&amp; ckAwdTable[[#This Row],[email]]&amp;"&amp;subject=Your NSF Proposal:  "&amp;ckAwdTable[[#This Row],[prop_id]], ckAwdTable[[#This Row],[email]])</f>
        <v>yintat@uw.edu</v>
      </c>
      <c r="X80" s="30">
        <v>43175</v>
      </c>
      <c r="Y80">
        <v>60</v>
      </c>
      <c r="AA80" s="21" t="s">
        <v>13</v>
      </c>
      <c r="AB80" s="21" t="s">
        <v>972</v>
      </c>
      <c r="AC80"/>
      <c r="AD80" s="21" t="s">
        <v>13</v>
      </c>
      <c r="AF80" s="21" t="s">
        <v>965</v>
      </c>
      <c r="AG80" s="21" t="str">
        <f>IFERROR(IF(FIND("?",ckAwdTable[[#This Row],[abst_narr_txt]]),SummarizeQuestMarks(ckAwdTable[[#This Row],[abst_narr_txt]]),""),"")</f>
        <v/>
      </c>
      <c r="AI80" s="13">
        <v>549841</v>
      </c>
      <c r="AJ80" s="21">
        <v>0</v>
      </c>
      <c r="AK80" s="1">
        <v>549841</v>
      </c>
      <c r="AL80" s="1"/>
      <c r="AM80" s="1"/>
      <c r="AP80" s="21">
        <v>5</v>
      </c>
      <c r="AQ80" s="21">
        <v>5</v>
      </c>
      <c r="AR80" s="21">
        <v>2.5</v>
      </c>
      <c r="AS80" s="21"/>
      <c r="AT80" s="21">
        <v>2.5</v>
      </c>
      <c r="AU80" s="8" t="s">
        <v>175</v>
      </c>
      <c r="AV80" t="s">
        <v>438</v>
      </c>
      <c r="AW80" t="b">
        <f>AND(ckAwdTable[[#This Row],[ILN]]&gt;"M", SUBSTITUTE(ckAwdTable[[#This Row],[prop_titl_txt]]," ","")&lt;&gt;SUBSTITUTE(AV79," ",""))</f>
        <v>0</v>
      </c>
      <c r="AX80" s="8" t="s">
        <v>436</v>
      </c>
      <c r="BB80"/>
      <c r="BC80"/>
      <c r="BD80"/>
      <c r="BI80" s="1"/>
      <c r="BL80"/>
      <c r="BM80" s="13"/>
      <c r="BP80"/>
    </row>
    <row r="81" spans="2:68" x14ac:dyDescent="0.4">
      <c r="B81" s="30">
        <v>42934.453472222223</v>
      </c>
      <c r="C81" t="s">
        <v>256</v>
      </c>
      <c r="D81" t="s">
        <v>222</v>
      </c>
      <c r="E81" t="s">
        <v>405</v>
      </c>
      <c r="F81" t="s">
        <v>422</v>
      </c>
      <c r="G81" s="8" t="s">
        <v>174</v>
      </c>
      <c r="H81" s="8" t="s">
        <v>172</v>
      </c>
      <c r="I81" s="8" t="s">
        <v>962</v>
      </c>
      <c r="J81" t="s">
        <v>94</v>
      </c>
      <c r="K81" t="s">
        <v>404</v>
      </c>
      <c r="L81" s="22"/>
      <c r="M81">
        <f xml:space="preserve"> M80+(ckAwdTable[ILN]&lt;"M")</f>
        <v>65</v>
      </c>
      <c r="N81" t="s">
        <v>96</v>
      </c>
      <c r="O81" t="s">
        <v>359</v>
      </c>
      <c r="P81" s="15" t="str">
        <f>HYPERLINK("https://www.ejacket.nsf.gov/ej/showProposal.do?ID="&amp;ckAwdTable[[#This Row],[prop_id]],"eJ")</f>
        <v>eJ</v>
      </c>
      <c r="Q81" s="8" t="s">
        <v>224</v>
      </c>
      <c r="R81" t="s">
        <v>359</v>
      </c>
      <c r="S81" t="s">
        <v>439</v>
      </c>
      <c r="T81" t="s">
        <v>440</v>
      </c>
      <c r="U81" s="8" t="s">
        <v>441</v>
      </c>
      <c r="V81" t="s">
        <v>279</v>
      </c>
      <c r="W81" s="15" t="str">
        <f>HYPERLINK("mailto:"&amp; ckAwdTable[[#This Row],[email]]&amp;"&amp;subject=Your NSF Proposal:  "&amp;ckAwdTable[[#This Row],[prop_id]], ckAwdTable[[#This Row],[email]])</f>
        <v>sim3@ucmerced.edu</v>
      </c>
      <c r="X81" s="30">
        <v>43282</v>
      </c>
      <c r="Y81">
        <v>60</v>
      </c>
      <c r="AA81" s="21" t="s">
        <v>13</v>
      </c>
      <c r="AB81" s="21" t="s">
        <v>972</v>
      </c>
      <c r="AC81"/>
      <c r="AD81" s="21" t="s">
        <v>13</v>
      </c>
      <c r="AF81" s="21" t="s">
        <v>965</v>
      </c>
      <c r="AG81" s="21" t="str">
        <f>IFERROR(IF(FIND("?",ckAwdTable[[#This Row],[abst_narr_txt]]),SummarizeQuestMarks(ckAwdTable[[#This Row],[abst_narr_txt]]),""),"")</f>
        <v/>
      </c>
      <c r="AI81" s="13">
        <v>514477</v>
      </c>
      <c r="AJ81" s="21">
        <v>0</v>
      </c>
      <c r="AK81" s="1">
        <v>514477</v>
      </c>
      <c r="AL81" s="1"/>
      <c r="AM81" s="1"/>
      <c r="AP81" s="21">
        <v>10</v>
      </c>
      <c r="AQ81" s="21">
        <v>4</v>
      </c>
      <c r="AR81" s="21">
        <v>7</v>
      </c>
      <c r="AS81" s="21"/>
      <c r="AT81" s="21"/>
      <c r="AU81" s="8" t="s">
        <v>175</v>
      </c>
      <c r="AV81" t="s">
        <v>444</v>
      </c>
      <c r="AW81" t="b">
        <f>AND(ckAwdTable[[#This Row],[ILN]]&gt;"M", SUBSTITUTE(ckAwdTable[[#This Row],[prop_titl_txt]]," ","")&lt;&gt;SUBSTITUTE(AV80," ",""))</f>
        <v>0</v>
      </c>
      <c r="AX81" s="8" t="s">
        <v>442</v>
      </c>
      <c r="BB81"/>
      <c r="BC81"/>
      <c r="BD81"/>
      <c r="BI81" s="1"/>
      <c r="BL81"/>
      <c r="BM81" s="13"/>
      <c r="BP81"/>
    </row>
    <row r="82" spans="2:68" x14ac:dyDescent="0.4">
      <c r="B82" s="30">
        <v>42934.507638888892</v>
      </c>
      <c r="C82" t="s">
        <v>256</v>
      </c>
      <c r="D82" t="s">
        <v>222</v>
      </c>
      <c r="E82" t="s">
        <v>405</v>
      </c>
      <c r="F82" t="s">
        <v>422</v>
      </c>
      <c r="G82" s="8" t="s">
        <v>174</v>
      </c>
      <c r="H82" s="8" t="s">
        <v>172</v>
      </c>
      <c r="I82" s="8" t="s">
        <v>962</v>
      </c>
      <c r="J82" t="s">
        <v>94</v>
      </c>
      <c r="K82" t="s">
        <v>404</v>
      </c>
      <c r="L82" s="22"/>
      <c r="M82">
        <f xml:space="preserve"> M81+(ckAwdTable[ILN]&lt;"M")</f>
        <v>66</v>
      </c>
      <c r="N82" t="s">
        <v>96</v>
      </c>
      <c r="O82" t="s">
        <v>360</v>
      </c>
      <c r="P82" s="15" t="str">
        <f>HYPERLINK("https://www.ejacket.nsf.gov/ej/showProposal.do?ID="&amp;ckAwdTable[[#This Row],[prop_id]],"eJ")</f>
        <v>eJ</v>
      </c>
      <c r="Q82" s="8" t="s">
        <v>224</v>
      </c>
      <c r="R82" t="s">
        <v>360</v>
      </c>
      <c r="S82" t="s">
        <v>445</v>
      </c>
      <c r="T82" t="s">
        <v>446</v>
      </c>
      <c r="U82" s="8" t="s">
        <v>447</v>
      </c>
      <c r="V82" t="s">
        <v>279</v>
      </c>
      <c r="W82" s="15" t="str">
        <f>HYPERLINK("mailto:"&amp; ckAwdTable[[#This Row],[email]]&amp;"&amp;subject=Your NSF Proposal:  "&amp;ckAwdTable[[#This Row],[prop_id]], ckAwdTable[[#This Row],[email]])</f>
        <v>sidford@stanford.edu</v>
      </c>
      <c r="X82" s="30">
        <v>43009</v>
      </c>
      <c r="Y82">
        <v>60</v>
      </c>
      <c r="AA82" s="21" t="s">
        <v>13</v>
      </c>
      <c r="AB82" s="21" t="s">
        <v>972</v>
      </c>
      <c r="AC82"/>
      <c r="AD82" s="21" t="s">
        <v>13</v>
      </c>
      <c r="AF82" s="21" t="s">
        <v>965</v>
      </c>
      <c r="AG82" s="21" t="str">
        <f>IFERROR(IF(FIND("?",ckAwdTable[[#This Row],[abst_narr_txt]]),SummarizeQuestMarks(ckAwdTable[[#This Row],[abst_narr_txt]]),""),"")</f>
        <v/>
      </c>
      <c r="AI82" s="13">
        <v>500000</v>
      </c>
      <c r="AJ82" s="21">
        <v>0</v>
      </c>
      <c r="AK82" s="1">
        <v>500000</v>
      </c>
      <c r="AL82" s="1"/>
      <c r="AM82" s="1"/>
      <c r="AO82" s="1">
        <v>7500</v>
      </c>
      <c r="AP82" s="21">
        <v>5</v>
      </c>
      <c r="AQ82" s="21">
        <v>5</v>
      </c>
      <c r="AR82" s="21">
        <v>6.75</v>
      </c>
      <c r="AS82" s="21"/>
      <c r="AT82" s="21"/>
      <c r="AU82" s="8" t="s">
        <v>175</v>
      </c>
      <c r="AV82" t="s">
        <v>450</v>
      </c>
      <c r="AW82" t="b">
        <f>AND(ckAwdTable[[#This Row],[ILN]]&gt;"M", SUBSTITUTE(ckAwdTable[[#This Row],[prop_titl_txt]]," ","")&lt;&gt;SUBSTITUTE(AV81," ",""))</f>
        <v>0</v>
      </c>
      <c r="AX82" s="8" t="s">
        <v>448</v>
      </c>
      <c r="BB82"/>
      <c r="BC82"/>
      <c r="BD82"/>
      <c r="BI82" s="1"/>
      <c r="BL82"/>
      <c r="BM82" s="13"/>
      <c r="BP82"/>
    </row>
    <row r="83" spans="2:68" x14ac:dyDescent="0.4">
      <c r="B83" s="30">
        <v>42934.524305555555</v>
      </c>
      <c r="C83" t="s">
        <v>256</v>
      </c>
      <c r="D83" t="s">
        <v>222</v>
      </c>
      <c r="E83" t="s">
        <v>405</v>
      </c>
      <c r="F83" t="s">
        <v>451</v>
      </c>
      <c r="G83" s="8" t="s">
        <v>174</v>
      </c>
      <c r="H83" s="8" t="s">
        <v>172</v>
      </c>
      <c r="I83" s="8" t="s">
        <v>962</v>
      </c>
      <c r="J83" t="s">
        <v>94</v>
      </c>
      <c r="K83" t="s">
        <v>404</v>
      </c>
      <c r="L83" s="22"/>
      <c r="M83">
        <f xml:space="preserve"> M82+(ckAwdTable[ILN]&lt;"M")</f>
        <v>67</v>
      </c>
      <c r="N83" t="s">
        <v>96</v>
      </c>
      <c r="O83" t="s">
        <v>361</v>
      </c>
      <c r="P83" s="15" t="str">
        <f>HYPERLINK("https://www.ejacket.nsf.gov/ej/showProposal.do?ID="&amp;ckAwdTable[[#This Row],[prop_id]],"eJ")</f>
        <v>eJ</v>
      </c>
      <c r="Q83" s="8" t="s">
        <v>224</v>
      </c>
      <c r="R83" t="s">
        <v>361</v>
      </c>
      <c r="S83" t="s">
        <v>452</v>
      </c>
      <c r="T83" t="s">
        <v>453</v>
      </c>
      <c r="U83" s="8" t="s">
        <v>454</v>
      </c>
      <c r="V83" t="s">
        <v>455</v>
      </c>
      <c r="W83" s="15" t="str">
        <f>HYPERLINK("mailto:"&amp; ckAwdTable[[#This Row],[email]]&amp;"&amp;subject=Your NSF Proposal:  "&amp;ckAwdTable[[#This Row],[prop_id]], ckAwdTable[[#This Row],[email]])</f>
        <v>karthe@illinois.edu</v>
      </c>
      <c r="X83" s="30">
        <v>43115</v>
      </c>
      <c r="Y83">
        <v>60</v>
      </c>
      <c r="AA83" s="21" t="s">
        <v>13</v>
      </c>
      <c r="AB83" s="21" t="s">
        <v>972</v>
      </c>
      <c r="AC83"/>
      <c r="AD83" s="21" t="s">
        <v>13</v>
      </c>
      <c r="AE83" s="21" t="s">
        <v>274</v>
      </c>
      <c r="AF83" s="21" t="s">
        <v>965</v>
      </c>
      <c r="AG83" s="21" t="str">
        <f>IFERROR(IF(FIND("?",ckAwdTable[[#This Row],[abst_narr_txt]]),SummarizeQuestMarks(ckAwdTable[[#This Row],[abst_narr_txt]]),""),"")</f>
        <v/>
      </c>
      <c r="AI83" s="13">
        <v>446040</v>
      </c>
      <c r="AJ83" s="21">
        <v>0</v>
      </c>
      <c r="AK83" s="1">
        <v>446040</v>
      </c>
      <c r="AL83" s="1"/>
      <c r="AM83" s="1">
        <v>20000</v>
      </c>
      <c r="AP83" s="21">
        <v>5</v>
      </c>
      <c r="AQ83" s="21">
        <v>5</v>
      </c>
      <c r="AR83" s="21">
        <v>5</v>
      </c>
      <c r="AS83" s="21"/>
      <c r="AT83" s="21"/>
      <c r="AU83" s="8" t="s">
        <v>175</v>
      </c>
      <c r="AV83" t="s">
        <v>458</v>
      </c>
      <c r="AW83" t="b">
        <f>AND(ckAwdTable[[#This Row],[ILN]]&gt;"M", SUBSTITUTE(ckAwdTable[[#This Row],[prop_titl_txt]]," ","")&lt;&gt;SUBSTITUTE(AV82," ",""))</f>
        <v>0</v>
      </c>
      <c r="AX83" s="8" t="s">
        <v>456</v>
      </c>
      <c r="BB83"/>
      <c r="BC83"/>
      <c r="BD83"/>
      <c r="BI83" s="1"/>
      <c r="BL83"/>
      <c r="BM83" s="13"/>
      <c r="BP83"/>
    </row>
    <row r="84" spans="2:68" x14ac:dyDescent="0.4">
      <c r="B84" s="30">
        <v>42934.695138888892</v>
      </c>
      <c r="C84" t="s">
        <v>256</v>
      </c>
      <c r="D84" t="s">
        <v>222</v>
      </c>
      <c r="E84" t="s">
        <v>405</v>
      </c>
      <c r="F84" t="s">
        <v>406</v>
      </c>
      <c r="G84" s="8" t="s">
        <v>174</v>
      </c>
      <c r="H84" s="8" t="s">
        <v>172</v>
      </c>
      <c r="I84" s="8" t="s">
        <v>962</v>
      </c>
      <c r="J84" t="s">
        <v>94</v>
      </c>
      <c r="K84" t="s">
        <v>404</v>
      </c>
      <c r="L84" s="22"/>
      <c r="M84">
        <f xml:space="preserve"> M83+(ckAwdTable[ILN]&lt;"M")</f>
        <v>68</v>
      </c>
      <c r="N84" t="s">
        <v>96</v>
      </c>
      <c r="O84" t="s">
        <v>362</v>
      </c>
      <c r="P84" s="15" t="str">
        <f>HYPERLINK("https://www.ejacket.nsf.gov/ej/showProposal.do?ID="&amp;ckAwdTable[[#This Row],[prop_id]],"eJ")</f>
        <v>eJ</v>
      </c>
      <c r="Q84" s="8" t="s">
        <v>224</v>
      </c>
      <c r="R84" t="s">
        <v>362</v>
      </c>
      <c r="S84" t="s">
        <v>459</v>
      </c>
      <c r="T84" t="s">
        <v>460</v>
      </c>
      <c r="U84" s="8" t="s">
        <v>223</v>
      </c>
      <c r="V84" t="s">
        <v>280</v>
      </c>
      <c r="W84" s="15" t="str">
        <f>HYPERLINK("mailto:"&amp; ckAwdTable[[#This Row],[email]]&amp;"&amp;subject=Your NSF Proposal:  "&amp;ckAwdTable[[#This Row],[prop_id]], ckAwdTable[[#This Row],[email]])</f>
        <v>jsolomon@mit.edu</v>
      </c>
      <c r="X84" s="30">
        <v>43101</v>
      </c>
      <c r="Y84">
        <v>60</v>
      </c>
      <c r="AA84" s="21" t="s">
        <v>13</v>
      </c>
      <c r="AB84" s="21" t="s">
        <v>972</v>
      </c>
      <c r="AC84"/>
      <c r="AD84" s="21" t="s">
        <v>13</v>
      </c>
      <c r="AF84" s="21" t="s">
        <v>965</v>
      </c>
      <c r="AG84" s="21" t="str">
        <f>IFERROR(IF(FIND("?",ckAwdTable[[#This Row],[abst_narr_txt]]),SummarizeQuestMarks(ckAwdTable[[#This Row],[abst_narr_txt]]),""),"")</f>
        <v/>
      </c>
      <c r="AI84" s="13">
        <v>550000</v>
      </c>
      <c r="AJ84" s="21">
        <v>0</v>
      </c>
      <c r="AK84" s="1">
        <v>550000</v>
      </c>
      <c r="AL84" s="1"/>
      <c r="AM84" s="1"/>
      <c r="AP84" s="21">
        <v>5</v>
      </c>
      <c r="AQ84" s="21">
        <v>5</v>
      </c>
      <c r="AR84" s="21">
        <v>2.5</v>
      </c>
      <c r="AS84" s="21"/>
      <c r="AT84" s="21"/>
      <c r="AU84" s="8" t="s">
        <v>175</v>
      </c>
      <c r="AV84" t="s">
        <v>463</v>
      </c>
      <c r="AW84" t="b">
        <f>AND(ckAwdTable[[#This Row],[ILN]]&gt;"M", SUBSTITUTE(ckAwdTable[[#This Row],[prop_titl_txt]]," ","")&lt;&gt;SUBSTITUTE(AV83," ",""))</f>
        <v>0</v>
      </c>
      <c r="AX84" s="8" t="s">
        <v>461</v>
      </c>
      <c r="BB84"/>
      <c r="BC84"/>
      <c r="BD84"/>
      <c r="BI84" s="1"/>
      <c r="BL84"/>
      <c r="BM84" s="13"/>
      <c r="BP84"/>
    </row>
    <row r="85" spans="2:68" x14ac:dyDescent="0.4">
      <c r="B85" s="30">
        <v>42934.737500000003</v>
      </c>
      <c r="C85" t="s">
        <v>256</v>
      </c>
      <c r="D85" t="s">
        <v>222</v>
      </c>
      <c r="E85" t="s">
        <v>405</v>
      </c>
      <c r="F85" t="s">
        <v>451</v>
      </c>
      <c r="G85" s="8" t="s">
        <v>174</v>
      </c>
      <c r="H85" s="8" t="s">
        <v>172</v>
      </c>
      <c r="I85" s="8" t="s">
        <v>962</v>
      </c>
      <c r="J85" t="s">
        <v>94</v>
      </c>
      <c r="K85" t="s">
        <v>404</v>
      </c>
      <c r="L85" s="22"/>
      <c r="M85">
        <f xml:space="preserve"> M84+(ckAwdTable[ILN]&lt;"M")</f>
        <v>69</v>
      </c>
      <c r="N85" t="s">
        <v>96</v>
      </c>
      <c r="O85" t="s">
        <v>363</v>
      </c>
      <c r="P85" s="15" t="str">
        <f>HYPERLINK("https://www.ejacket.nsf.gov/ej/showProposal.do?ID="&amp;ckAwdTable[[#This Row],[prop_id]],"eJ")</f>
        <v>eJ</v>
      </c>
      <c r="Q85" s="8" t="s">
        <v>224</v>
      </c>
      <c r="R85" t="s">
        <v>363</v>
      </c>
      <c r="S85" t="s">
        <v>464</v>
      </c>
      <c r="T85" t="s">
        <v>465</v>
      </c>
      <c r="U85" s="8" t="s">
        <v>454</v>
      </c>
      <c r="V85" t="s">
        <v>455</v>
      </c>
      <c r="W85" s="15" t="str">
        <f>HYPERLINK("mailto:"&amp; ckAwdTable[[#This Row],[email]]&amp;"&amp;subject=Your NSF Proposal:  "&amp;ckAwdTable[[#This Row],[prop_id]], ckAwdTable[[#This Row],[email]])</f>
        <v>solomon2@illinois.edu</v>
      </c>
      <c r="X85" s="30">
        <v>43132</v>
      </c>
      <c r="Y85">
        <v>60</v>
      </c>
      <c r="AA85" s="21" t="s">
        <v>13</v>
      </c>
      <c r="AB85" s="21" t="s">
        <v>972</v>
      </c>
      <c r="AC85"/>
      <c r="AD85" s="21" t="s">
        <v>13</v>
      </c>
      <c r="AE85" s="21" t="s">
        <v>274</v>
      </c>
      <c r="AF85" s="21" t="s">
        <v>965</v>
      </c>
      <c r="AG85" s="21" t="str">
        <f>IFERROR(IF(FIND("?",ckAwdTable[[#This Row],[abst_narr_txt]]),SummarizeQuestMarks(ckAwdTable[[#This Row],[abst_narr_txt]]),""),"")</f>
        <v/>
      </c>
      <c r="AI85" s="13">
        <v>524117</v>
      </c>
      <c r="AJ85" s="21">
        <v>0</v>
      </c>
      <c r="AK85" s="1">
        <v>524117</v>
      </c>
      <c r="AL85" s="1"/>
      <c r="AM85" s="1">
        <v>11250</v>
      </c>
      <c r="AP85" s="21">
        <v>5</v>
      </c>
      <c r="AQ85" s="21">
        <v>5</v>
      </c>
      <c r="AR85" s="21">
        <v>2.5</v>
      </c>
      <c r="AS85" s="21"/>
      <c r="AT85" s="21"/>
      <c r="AU85" s="8" t="s">
        <v>175</v>
      </c>
      <c r="AV85" t="s">
        <v>468</v>
      </c>
      <c r="AW85" t="b">
        <f>AND(ckAwdTable[[#This Row],[ILN]]&gt;"M", SUBSTITUTE(ckAwdTable[[#This Row],[prop_titl_txt]]," ","")&lt;&gt;SUBSTITUTE(AV84," ",""))</f>
        <v>0</v>
      </c>
      <c r="AX85" s="8" t="s">
        <v>466</v>
      </c>
      <c r="BB85"/>
      <c r="BC85"/>
      <c r="BD85"/>
      <c r="BI85" s="1"/>
      <c r="BL85"/>
      <c r="BM85" s="13"/>
      <c r="BP85"/>
    </row>
    <row r="86" spans="2:68" x14ac:dyDescent="0.4">
      <c r="B86" s="30">
        <v>42934.808333333334</v>
      </c>
      <c r="C86" t="s">
        <v>256</v>
      </c>
      <c r="D86" t="s">
        <v>222</v>
      </c>
      <c r="E86" t="s">
        <v>405</v>
      </c>
      <c r="F86" t="s">
        <v>406</v>
      </c>
      <c r="G86" s="8" t="s">
        <v>174</v>
      </c>
      <c r="H86" s="8" t="s">
        <v>172</v>
      </c>
      <c r="I86" s="8" t="s">
        <v>962</v>
      </c>
      <c r="J86" t="s">
        <v>94</v>
      </c>
      <c r="K86" t="s">
        <v>404</v>
      </c>
      <c r="L86" s="22"/>
      <c r="M86">
        <f xml:space="preserve"> M85+(ckAwdTable[ILN]&lt;"M")</f>
        <v>70</v>
      </c>
      <c r="N86" t="s">
        <v>96</v>
      </c>
      <c r="O86" t="s">
        <v>364</v>
      </c>
      <c r="P86" s="15" t="str">
        <f>HYPERLINK("https://www.ejacket.nsf.gov/ej/showProposal.do?ID="&amp;ckAwdTable[[#This Row],[prop_id]],"eJ")</f>
        <v>eJ</v>
      </c>
      <c r="Q86" s="8" t="s">
        <v>224</v>
      </c>
      <c r="R86" t="s">
        <v>364</v>
      </c>
      <c r="S86" t="s">
        <v>469</v>
      </c>
      <c r="T86" t="s">
        <v>470</v>
      </c>
      <c r="U86" s="8" t="s">
        <v>471</v>
      </c>
      <c r="V86" t="s">
        <v>279</v>
      </c>
      <c r="W86" s="15" t="str">
        <f>HYPERLINK("mailto:"&amp; ckAwdTable[[#This Row],[email]]&amp;"&amp;subject=Your NSF Proposal:  "&amp;ckAwdTable[[#This Row],[prop_id]], ckAwdTable[[#This Row],[email]])</f>
        <v>craig@ucr.edu</v>
      </c>
      <c r="X86" s="30">
        <v>43101</v>
      </c>
      <c r="Y86">
        <v>60</v>
      </c>
      <c r="AA86" s="21" t="s">
        <v>13</v>
      </c>
      <c r="AB86" s="21" t="s">
        <v>972</v>
      </c>
      <c r="AC86"/>
      <c r="AD86" s="21" t="s">
        <v>13</v>
      </c>
      <c r="AF86" s="21" t="s">
        <v>965</v>
      </c>
      <c r="AG86" s="21" t="str">
        <f>IFERROR(IF(FIND("?",ckAwdTable[[#This Row],[abst_narr_txt]]),SummarizeQuestMarks(ckAwdTable[[#This Row],[abst_narr_txt]]),""),"")</f>
        <v/>
      </c>
      <c r="AI86" s="13">
        <v>440331</v>
      </c>
      <c r="AJ86" s="21">
        <v>0</v>
      </c>
      <c r="AK86" s="1">
        <v>440331</v>
      </c>
      <c r="AL86" s="1"/>
      <c r="AM86" s="1"/>
      <c r="AP86" s="21">
        <v>5</v>
      </c>
      <c r="AQ86" s="21">
        <v>5</v>
      </c>
      <c r="AR86" s="21">
        <v>5</v>
      </c>
      <c r="AS86" s="21"/>
      <c r="AT86" s="21"/>
      <c r="AU86" s="8" t="s">
        <v>175</v>
      </c>
      <c r="AV86" t="s">
        <v>475</v>
      </c>
      <c r="AW86" t="b">
        <f>AND(ckAwdTable[[#This Row],[ILN]]&gt;"M", SUBSTITUTE(ckAwdTable[[#This Row],[prop_titl_txt]]," ","")&lt;&gt;SUBSTITUTE(AV85," ",""))</f>
        <v>0</v>
      </c>
      <c r="AX86" s="8" t="s">
        <v>472</v>
      </c>
      <c r="BB86"/>
      <c r="BC86"/>
      <c r="BD86"/>
      <c r="BI86" s="1"/>
      <c r="BL86"/>
      <c r="BM86" s="13"/>
      <c r="BP86"/>
    </row>
    <row r="87" spans="2:68" x14ac:dyDescent="0.4">
      <c r="B87" s="30">
        <v>42935.359027777777</v>
      </c>
      <c r="C87" t="s">
        <v>256</v>
      </c>
      <c r="D87" t="s">
        <v>222</v>
      </c>
      <c r="E87" t="s">
        <v>405</v>
      </c>
      <c r="F87" t="s">
        <v>422</v>
      </c>
      <c r="G87" s="8" t="s">
        <v>174</v>
      </c>
      <c r="H87" s="8" t="s">
        <v>172</v>
      </c>
      <c r="I87" s="8" t="s">
        <v>962</v>
      </c>
      <c r="J87" t="s">
        <v>94</v>
      </c>
      <c r="K87" t="s">
        <v>404</v>
      </c>
      <c r="L87" s="22"/>
      <c r="M87">
        <f xml:space="preserve"> M86+(ckAwdTable[ILN]&lt;"M")</f>
        <v>71</v>
      </c>
      <c r="N87" t="s">
        <v>96</v>
      </c>
      <c r="O87" t="s">
        <v>365</v>
      </c>
      <c r="P87" s="15" t="str">
        <f>HYPERLINK("https://www.ejacket.nsf.gov/ej/showProposal.do?ID="&amp;ckAwdTable[[#This Row],[prop_id]],"eJ")</f>
        <v>eJ</v>
      </c>
      <c r="Q87" s="8" t="s">
        <v>224</v>
      </c>
      <c r="R87" t="s">
        <v>365</v>
      </c>
      <c r="S87" t="s">
        <v>476</v>
      </c>
      <c r="T87" t="s">
        <v>477</v>
      </c>
      <c r="U87" s="8" t="s">
        <v>220</v>
      </c>
      <c r="V87" t="s">
        <v>281</v>
      </c>
      <c r="W87" s="15" t="str">
        <f>HYPERLINK("mailto:"&amp; ckAwdTable[[#This Row],[email]]&amp;"&amp;subject=Your NSF Proposal:  "&amp;ckAwdTable[[#This Row],[prop_id]], ckAwdTable[[#This Row],[email]])</f>
        <v>shil@buffalo.edu</v>
      </c>
      <c r="X87" s="30">
        <v>43344</v>
      </c>
      <c r="Y87">
        <v>60</v>
      </c>
      <c r="AA87" s="21" t="s">
        <v>13</v>
      </c>
      <c r="AB87" s="21" t="s">
        <v>972</v>
      </c>
      <c r="AC87"/>
      <c r="AD87" s="21" t="s">
        <v>13</v>
      </c>
      <c r="AE87" s="21" t="s">
        <v>967</v>
      </c>
      <c r="AF87" s="21" t="s">
        <v>965</v>
      </c>
      <c r="AG87" s="21" t="str">
        <f>IFERROR(IF(FIND("?",ckAwdTable[[#This Row],[abst_narr_txt]]),SummarizeQuestMarks(ckAwdTable[[#This Row],[abst_narr_txt]]),""),"")</f>
        <v/>
      </c>
      <c r="AI87" s="13">
        <v>530842</v>
      </c>
      <c r="AJ87" s="21">
        <v>0</v>
      </c>
      <c r="AK87" s="1">
        <v>530842</v>
      </c>
      <c r="AL87" s="1"/>
      <c r="AM87" s="1">
        <v>10000</v>
      </c>
      <c r="AP87" s="21">
        <v>5</v>
      </c>
      <c r="AQ87" s="21">
        <v>5</v>
      </c>
      <c r="AR87" s="21">
        <v>5</v>
      </c>
      <c r="AS87" s="21"/>
      <c r="AT87" s="21"/>
      <c r="AU87" s="8" t="s">
        <v>175</v>
      </c>
      <c r="AV87" t="s">
        <v>480</v>
      </c>
      <c r="AW87" t="b">
        <f>AND(ckAwdTable[[#This Row],[ILN]]&gt;"M", SUBSTITUTE(ckAwdTable[[#This Row],[prop_titl_txt]]," ","")&lt;&gt;SUBSTITUTE(AV86," ",""))</f>
        <v>0</v>
      </c>
      <c r="AX87" s="8" t="s">
        <v>478</v>
      </c>
      <c r="BB87"/>
      <c r="BC87"/>
      <c r="BD87"/>
      <c r="BI87" s="1"/>
      <c r="BL87"/>
      <c r="BM87" s="13"/>
      <c r="BP87"/>
    </row>
    <row r="88" spans="2:68" x14ac:dyDescent="0.4">
      <c r="B88" s="30">
        <v>42935.374305555553</v>
      </c>
      <c r="C88" t="s">
        <v>256</v>
      </c>
      <c r="D88" t="s">
        <v>222</v>
      </c>
      <c r="E88" t="s">
        <v>405</v>
      </c>
      <c r="F88" t="s">
        <v>422</v>
      </c>
      <c r="G88" s="8" t="s">
        <v>174</v>
      </c>
      <c r="H88" s="8" t="s">
        <v>172</v>
      </c>
      <c r="I88" s="8" t="s">
        <v>962</v>
      </c>
      <c r="J88" t="s">
        <v>94</v>
      </c>
      <c r="K88" t="s">
        <v>404</v>
      </c>
      <c r="L88" s="22"/>
      <c r="M88">
        <f xml:space="preserve"> M87+(ckAwdTable[ILN]&lt;"M")</f>
        <v>72</v>
      </c>
      <c r="N88" t="s">
        <v>96</v>
      </c>
      <c r="O88" t="s">
        <v>366</v>
      </c>
      <c r="P88" s="15" t="str">
        <f>HYPERLINK("https://www.ejacket.nsf.gov/ej/showProposal.do?ID="&amp;ckAwdTable[[#This Row],[prop_id]],"eJ")</f>
        <v>eJ</v>
      </c>
      <c r="Q88" s="8" t="s">
        <v>224</v>
      </c>
      <c r="R88" t="s">
        <v>366</v>
      </c>
      <c r="S88" t="s">
        <v>481</v>
      </c>
      <c r="T88" t="s">
        <v>482</v>
      </c>
      <c r="U88" s="8" t="s">
        <v>483</v>
      </c>
      <c r="V88" t="s">
        <v>484</v>
      </c>
      <c r="W88" s="15" t="str">
        <f>HYPERLINK("mailto:"&amp; ckAwdTable[[#This Row],[email]]&amp;"&amp;subject=Your NSF Proposal:  "&amp;ckAwdTable[[#This Row],[prop_id]], ckAwdTable[[#This Row],[email]])</f>
        <v>viswa@umich.edu</v>
      </c>
      <c r="X88" s="30">
        <v>43221</v>
      </c>
      <c r="Y88">
        <v>60</v>
      </c>
      <c r="AA88" s="21" t="s">
        <v>13</v>
      </c>
      <c r="AB88" s="21" t="s">
        <v>972</v>
      </c>
      <c r="AC88"/>
      <c r="AD88" s="21" t="s">
        <v>13</v>
      </c>
      <c r="AF88" s="21" t="s">
        <v>965</v>
      </c>
      <c r="AG88" s="21" t="str">
        <f>IFERROR(IF(FIND("?",ckAwdTable[[#This Row],[abst_narr_txt]]),SummarizeQuestMarks(ckAwdTable[[#This Row],[abst_narr_txt]]),""),"")</f>
        <v/>
      </c>
      <c r="AI88" s="13">
        <v>524840</v>
      </c>
      <c r="AJ88" s="21">
        <v>0</v>
      </c>
      <c r="AK88" s="1">
        <v>524840</v>
      </c>
      <c r="AL88" s="1"/>
      <c r="AM88" s="1"/>
      <c r="AO88" s="1">
        <v>3000</v>
      </c>
      <c r="AP88" s="21">
        <v>5</v>
      </c>
      <c r="AQ88" s="21">
        <v>5</v>
      </c>
      <c r="AR88" s="21">
        <v>5</v>
      </c>
      <c r="AS88" s="21"/>
      <c r="AT88" s="21"/>
      <c r="AU88" s="8" t="s">
        <v>175</v>
      </c>
      <c r="AV88" t="s">
        <v>487</v>
      </c>
      <c r="AW88" t="b">
        <f>AND(ckAwdTable[[#This Row],[ILN]]&gt;"M", SUBSTITUTE(ckAwdTable[[#This Row],[prop_titl_txt]]," ","")&lt;&gt;SUBSTITUTE(AV87," ",""))</f>
        <v>0</v>
      </c>
      <c r="AX88" s="8" t="s">
        <v>485</v>
      </c>
      <c r="BB88"/>
      <c r="BC88"/>
      <c r="BD88"/>
      <c r="BI88" s="1"/>
      <c r="BL88"/>
      <c r="BM88" s="13"/>
      <c r="BP88"/>
    </row>
    <row r="89" spans="2:68" x14ac:dyDescent="0.4">
      <c r="B89" s="30">
        <v>42935.387499999997</v>
      </c>
      <c r="C89" t="s">
        <v>256</v>
      </c>
      <c r="D89" t="s">
        <v>222</v>
      </c>
      <c r="E89" t="s">
        <v>405</v>
      </c>
      <c r="F89" t="s">
        <v>422</v>
      </c>
      <c r="G89" s="8" t="s">
        <v>174</v>
      </c>
      <c r="H89" s="8" t="s">
        <v>172</v>
      </c>
      <c r="I89" s="8" t="s">
        <v>962</v>
      </c>
      <c r="J89" t="s">
        <v>94</v>
      </c>
      <c r="K89" t="s">
        <v>404</v>
      </c>
      <c r="L89" s="22"/>
      <c r="M89">
        <f xml:space="preserve"> M88+(ckAwdTable[ILN]&lt;"M")</f>
        <v>73</v>
      </c>
      <c r="N89" t="s">
        <v>96</v>
      </c>
      <c r="O89" t="s">
        <v>367</v>
      </c>
      <c r="P89" s="15" t="str">
        <f>HYPERLINK("https://www.ejacket.nsf.gov/ej/showProposal.do?ID="&amp;ckAwdTable[[#This Row],[prop_id]],"eJ")</f>
        <v>eJ</v>
      </c>
      <c r="Q89" s="8" t="s">
        <v>224</v>
      </c>
      <c r="R89" t="s">
        <v>367</v>
      </c>
      <c r="S89" t="s">
        <v>488</v>
      </c>
      <c r="T89" t="s">
        <v>489</v>
      </c>
      <c r="U89" s="8" t="s">
        <v>490</v>
      </c>
      <c r="V89" t="s">
        <v>491</v>
      </c>
      <c r="W89" s="15" t="str">
        <f>HYPERLINK("mailto:"&amp; ckAwdTable[[#This Row],[email]]&amp;"&amp;subject=Your NSF Proposal:  "&amp;ckAwdTable[[#This Row],[prop_id]], ckAwdTable[[#This Row],[email]])</f>
        <v>debmalya.panigrahi@gmail.com</v>
      </c>
      <c r="X89" s="30">
        <v>43160</v>
      </c>
      <c r="Y89">
        <v>60</v>
      </c>
      <c r="AA89" s="21" t="s">
        <v>13</v>
      </c>
      <c r="AB89" s="21" t="s">
        <v>972</v>
      </c>
      <c r="AC89"/>
      <c r="AD89" s="21" t="s">
        <v>13</v>
      </c>
      <c r="AE89" s="21" t="s">
        <v>274</v>
      </c>
      <c r="AF89" s="21" t="s">
        <v>965</v>
      </c>
      <c r="AG89" s="21" t="str">
        <f>IFERROR(IF(FIND("?",ckAwdTable[[#This Row],[abst_narr_txt]]),SummarizeQuestMarks(ckAwdTable[[#This Row],[abst_narr_txt]]),""),"")</f>
        <v/>
      </c>
      <c r="AI89" s="13">
        <v>602288</v>
      </c>
      <c r="AJ89" s="21">
        <v>0</v>
      </c>
      <c r="AK89" s="1">
        <v>602288</v>
      </c>
      <c r="AL89" s="1"/>
      <c r="AM89" s="1">
        <v>21026</v>
      </c>
      <c r="AO89" s="1">
        <v>16000</v>
      </c>
      <c r="AP89" s="21">
        <v>5</v>
      </c>
      <c r="AQ89" s="21">
        <v>5</v>
      </c>
      <c r="AR89" s="21">
        <v>7</v>
      </c>
      <c r="AS89" s="21"/>
      <c r="AT89" s="21"/>
      <c r="AU89" s="8" t="s">
        <v>175</v>
      </c>
      <c r="AV89" t="s">
        <v>493</v>
      </c>
      <c r="AW89" t="b">
        <f>AND(ckAwdTable[[#This Row],[ILN]]&gt;"M", SUBSTITUTE(ckAwdTable[[#This Row],[prop_titl_txt]]," ","")&lt;&gt;SUBSTITUTE(AV88," ",""))</f>
        <v>0</v>
      </c>
      <c r="AX89" s="8" t="s">
        <v>492</v>
      </c>
      <c r="BB89"/>
      <c r="BC89"/>
      <c r="BD89"/>
      <c r="BI89" s="1"/>
      <c r="BL89"/>
      <c r="BM89" s="13"/>
      <c r="BP89"/>
    </row>
    <row r="90" spans="2:68" x14ac:dyDescent="0.4">
      <c r="B90" s="30">
        <v>42935.475694444445</v>
      </c>
      <c r="C90" t="s">
        <v>256</v>
      </c>
      <c r="D90" t="s">
        <v>222</v>
      </c>
      <c r="E90" t="s">
        <v>405</v>
      </c>
      <c r="F90" t="s">
        <v>422</v>
      </c>
      <c r="G90" s="8" t="s">
        <v>174</v>
      </c>
      <c r="H90" s="8" t="s">
        <v>172</v>
      </c>
      <c r="I90" s="8" t="s">
        <v>962</v>
      </c>
      <c r="J90" t="s">
        <v>94</v>
      </c>
      <c r="K90" t="s">
        <v>404</v>
      </c>
      <c r="L90" s="22"/>
      <c r="M90">
        <f xml:space="preserve"> M89+(ckAwdTable[ILN]&lt;"M")</f>
        <v>74</v>
      </c>
      <c r="N90" t="s">
        <v>96</v>
      </c>
      <c r="O90" t="s">
        <v>368</v>
      </c>
      <c r="P90" s="15" t="str">
        <f>HYPERLINK("https://www.ejacket.nsf.gov/ej/showProposal.do?ID="&amp;ckAwdTable[[#This Row],[prop_id]],"eJ")</f>
        <v>eJ</v>
      </c>
      <c r="Q90" s="8" t="s">
        <v>224</v>
      </c>
      <c r="R90" t="s">
        <v>368</v>
      </c>
      <c r="S90" t="s">
        <v>494</v>
      </c>
      <c r="T90" t="s">
        <v>273</v>
      </c>
      <c r="U90" s="8" t="s">
        <v>495</v>
      </c>
      <c r="V90" t="s">
        <v>282</v>
      </c>
      <c r="W90" s="15" t="str">
        <f>HYPERLINK("mailto:"&amp; ckAwdTable[[#This Row],[email]]&amp;"&amp;subject=Your NSF Proposal:  "&amp;ckAwdTable[[#This Row],[prop_id]], ckAwdTable[[#This Row],[email]])</f>
        <v>mdinitz@cs.jhu.edu</v>
      </c>
      <c r="X90" s="30">
        <v>43282</v>
      </c>
      <c r="Y90">
        <v>60</v>
      </c>
      <c r="AA90" s="21" t="s">
        <v>13</v>
      </c>
      <c r="AB90" s="21" t="s">
        <v>972</v>
      </c>
      <c r="AC90"/>
      <c r="AD90" s="21" t="s">
        <v>13</v>
      </c>
      <c r="AE90" s="21" t="s">
        <v>274</v>
      </c>
      <c r="AF90" s="21" t="s">
        <v>965</v>
      </c>
      <c r="AG90" s="21" t="str">
        <f>IFERROR(IF(FIND("?",ckAwdTable[[#This Row],[abst_narr_txt]]),SummarizeQuestMarks(ckAwdTable[[#This Row],[abst_narr_txt]]),""),"")</f>
        <v/>
      </c>
      <c r="AI90" s="13">
        <v>507459</v>
      </c>
      <c r="AJ90" s="21">
        <v>0</v>
      </c>
      <c r="AK90" s="1">
        <v>507459</v>
      </c>
      <c r="AL90" s="1"/>
      <c r="AM90" s="1">
        <v>4200</v>
      </c>
      <c r="AP90" s="21">
        <v>5</v>
      </c>
      <c r="AQ90" s="21">
        <v>5</v>
      </c>
      <c r="AR90" s="21"/>
      <c r="AS90" s="21"/>
      <c r="AT90" s="21">
        <v>5</v>
      </c>
      <c r="AU90" s="8" t="s">
        <v>175</v>
      </c>
      <c r="AV90" t="s">
        <v>498</v>
      </c>
      <c r="AW90" t="b">
        <f>AND(ckAwdTable[[#This Row],[ILN]]&gt;"M", SUBSTITUTE(ckAwdTable[[#This Row],[prop_titl_txt]]," ","")&lt;&gt;SUBSTITUTE(AV89," ",""))</f>
        <v>0</v>
      </c>
      <c r="AX90" s="8" t="s">
        <v>496</v>
      </c>
      <c r="BB90"/>
      <c r="BC90"/>
      <c r="BD90"/>
      <c r="BI90" s="1"/>
      <c r="BL90"/>
      <c r="BM90" s="13"/>
      <c r="BP90"/>
    </row>
    <row r="91" spans="2:68" x14ac:dyDescent="0.4">
      <c r="B91" s="30">
        <v>42935.488888888889</v>
      </c>
      <c r="C91" t="s">
        <v>256</v>
      </c>
      <c r="D91" t="s">
        <v>222</v>
      </c>
      <c r="E91" t="s">
        <v>405</v>
      </c>
      <c r="F91" t="s">
        <v>422</v>
      </c>
      <c r="G91" s="8" t="s">
        <v>174</v>
      </c>
      <c r="H91" s="8" t="s">
        <v>172</v>
      </c>
      <c r="I91" s="8" t="s">
        <v>962</v>
      </c>
      <c r="J91" t="s">
        <v>94</v>
      </c>
      <c r="K91" t="s">
        <v>404</v>
      </c>
      <c r="L91" s="22"/>
      <c r="M91">
        <f xml:space="preserve"> M90+(ckAwdTable[ILN]&lt;"M")</f>
        <v>75</v>
      </c>
      <c r="N91" t="s">
        <v>96</v>
      </c>
      <c r="O91" t="s">
        <v>369</v>
      </c>
      <c r="P91" s="15" t="str">
        <f>HYPERLINK("https://www.ejacket.nsf.gov/ej/showProposal.do?ID="&amp;ckAwdTable[[#This Row],[prop_id]],"eJ")</f>
        <v>eJ</v>
      </c>
      <c r="Q91" s="8" t="s">
        <v>224</v>
      </c>
      <c r="R91" t="s">
        <v>369</v>
      </c>
      <c r="S91" t="s">
        <v>499</v>
      </c>
      <c r="T91" t="s">
        <v>500</v>
      </c>
      <c r="U91" s="8" t="s">
        <v>501</v>
      </c>
      <c r="V91" t="s">
        <v>280</v>
      </c>
      <c r="W91" s="15" t="str">
        <f>HYPERLINK("mailto:"&amp; ckAwdTable[[#This Row],[email]]&amp;"&amp;subject=Your NSF Proposal:  "&amp;ckAwdTable[[#This Row],[prop_id]], ckAwdTable[[#This Row],[email]])</f>
        <v>aene@bu.edu</v>
      </c>
      <c r="X91" s="30">
        <v>43101</v>
      </c>
      <c r="Y91">
        <v>60</v>
      </c>
      <c r="AA91" s="21" t="s">
        <v>13</v>
      </c>
      <c r="AB91" s="21" t="s">
        <v>972</v>
      </c>
      <c r="AC91"/>
      <c r="AD91" s="21" t="s">
        <v>13</v>
      </c>
      <c r="AE91" s="21" t="s">
        <v>274</v>
      </c>
      <c r="AF91" s="21" t="s">
        <v>965</v>
      </c>
      <c r="AG91" s="21" t="str">
        <f>IFERROR(IF(FIND("?",ckAwdTable[[#This Row],[abst_narr_txt]]),SummarizeQuestMarks(ckAwdTable[[#This Row],[abst_narr_txt]]),""),"")</f>
        <v/>
      </c>
      <c r="AI91" s="13">
        <v>507423</v>
      </c>
      <c r="AJ91" s="21">
        <v>0</v>
      </c>
      <c r="AK91" s="1">
        <v>507423</v>
      </c>
      <c r="AL91" s="1"/>
      <c r="AM91" s="1">
        <v>15000</v>
      </c>
      <c r="AP91" s="21">
        <v>5</v>
      </c>
      <c r="AQ91" s="21">
        <v>5</v>
      </c>
      <c r="AR91" s="21">
        <v>5</v>
      </c>
      <c r="AS91" s="21"/>
      <c r="AT91" s="21"/>
      <c r="AU91" s="8" t="s">
        <v>175</v>
      </c>
      <c r="AV91" t="s">
        <v>504</v>
      </c>
      <c r="AW91" t="b">
        <f>AND(ckAwdTable[[#This Row],[ILN]]&gt;"M", SUBSTITUTE(ckAwdTable[[#This Row],[prop_titl_txt]]," ","")&lt;&gt;SUBSTITUTE(AV90," ",""))</f>
        <v>0</v>
      </c>
      <c r="AX91" s="8" t="s">
        <v>502</v>
      </c>
      <c r="BB91"/>
      <c r="BC91"/>
      <c r="BD91"/>
      <c r="BI91" s="1"/>
      <c r="BL91"/>
      <c r="BM91" s="13"/>
      <c r="BP91"/>
    </row>
    <row r="92" spans="2:68" x14ac:dyDescent="0.4">
      <c r="B92" s="30">
        <v>42935.54583333333</v>
      </c>
      <c r="C92" t="s">
        <v>256</v>
      </c>
      <c r="D92" t="s">
        <v>222</v>
      </c>
      <c r="E92" t="s">
        <v>405</v>
      </c>
      <c r="F92" t="s">
        <v>422</v>
      </c>
      <c r="G92" s="8" t="s">
        <v>174</v>
      </c>
      <c r="H92" s="8" t="s">
        <v>172</v>
      </c>
      <c r="I92" s="8" t="s">
        <v>962</v>
      </c>
      <c r="J92" t="s">
        <v>94</v>
      </c>
      <c r="K92" t="s">
        <v>404</v>
      </c>
      <c r="L92" s="22"/>
      <c r="M92">
        <f xml:space="preserve"> M91+(ckAwdTable[ILN]&lt;"M")</f>
        <v>76</v>
      </c>
      <c r="N92" t="s">
        <v>96</v>
      </c>
      <c r="O92" t="s">
        <v>370</v>
      </c>
      <c r="P92" s="15" t="str">
        <f>HYPERLINK("https://www.ejacket.nsf.gov/ej/showProposal.do?ID="&amp;ckAwdTable[[#This Row],[prop_id]],"eJ")</f>
        <v>eJ</v>
      </c>
      <c r="Q92" s="8" t="s">
        <v>224</v>
      </c>
      <c r="R92" t="s">
        <v>370</v>
      </c>
      <c r="S92" t="s">
        <v>505</v>
      </c>
      <c r="T92" t="s">
        <v>506</v>
      </c>
      <c r="U92" s="8" t="s">
        <v>507</v>
      </c>
      <c r="V92" t="s">
        <v>508</v>
      </c>
      <c r="W92" s="15" t="str">
        <f>HYPERLINK("mailto:"&amp; ckAwdTable[[#This Row],[email]]&amp;"&amp;subject=Your NSF Proposal:  "&amp;ckAwdTable[[#This Row],[prop_id]], ckAwdTable[[#This Row],[email]])</f>
        <v>sharathr@vt.edu</v>
      </c>
      <c r="X92" s="30">
        <v>43110</v>
      </c>
      <c r="Y92">
        <v>60</v>
      </c>
      <c r="AA92" s="21" t="s">
        <v>13</v>
      </c>
      <c r="AB92" s="21" t="s">
        <v>972</v>
      </c>
      <c r="AC92"/>
      <c r="AD92" s="21" t="s">
        <v>13</v>
      </c>
      <c r="AE92" s="21" t="s">
        <v>274</v>
      </c>
      <c r="AF92" s="21" t="s">
        <v>965</v>
      </c>
      <c r="AG92" s="21" t="str">
        <f>IFERROR(IF(FIND("?",ckAwdTable[[#This Row],[abst_narr_txt]]),SummarizeQuestMarks(ckAwdTable[[#This Row],[abst_narr_txt]]),""),"")</f>
        <v/>
      </c>
      <c r="AI92" s="13">
        <v>533991</v>
      </c>
      <c r="AJ92" s="21">
        <v>0</v>
      </c>
      <c r="AK92" s="1">
        <v>533991</v>
      </c>
      <c r="AL92" s="1"/>
      <c r="AM92" s="1">
        <v>7500</v>
      </c>
      <c r="AP92" s="21">
        <v>5</v>
      </c>
      <c r="AQ92" s="21">
        <v>5</v>
      </c>
      <c r="AR92" s="21">
        <v>6.5</v>
      </c>
      <c r="AS92" s="21"/>
      <c r="AT92" s="21"/>
      <c r="AU92" s="8" t="s">
        <v>175</v>
      </c>
      <c r="AV92" t="s">
        <v>511</v>
      </c>
      <c r="AW92" t="b">
        <f>AND(ckAwdTable[[#This Row],[ILN]]&gt;"M", SUBSTITUTE(ckAwdTable[[#This Row],[prop_titl_txt]]," ","")&lt;&gt;SUBSTITUTE(AV91," ",""))</f>
        <v>0</v>
      </c>
      <c r="AX92" s="8" t="s">
        <v>509</v>
      </c>
      <c r="BB92"/>
      <c r="BC92"/>
      <c r="BD92"/>
      <c r="BI92" s="1"/>
      <c r="BL92"/>
      <c r="BM92" s="13"/>
      <c r="BP92"/>
    </row>
    <row r="93" spans="2:68" x14ac:dyDescent="0.4">
      <c r="B93" s="30">
        <v>42935.633333333331</v>
      </c>
      <c r="C93" t="s">
        <v>256</v>
      </c>
      <c r="D93" t="s">
        <v>222</v>
      </c>
      <c r="E93" t="s">
        <v>405</v>
      </c>
      <c r="F93" t="s">
        <v>406</v>
      </c>
      <c r="G93" s="8" t="s">
        <v>174</v>
      </c>
      <c r="H93" s="8" t="s">
        <v>172</v>
      </c>
      <c r="I93" s="8" t="s">
        <v>962</v>
      </c>
      <c r="J93" t="s">
        <v>94</v>
      </c>
      <c r="K93" t="s">
        <v>404</v>
      </c>
      <c r="L93" s="22"/>
      <c r="M93">
        <f xml:space="preserve"> M92+(ckAwdTable[ILN]&lt;"M")</f>
        <v>77</v>
      </c>
      <c r="N93" t="s">
        <v>96</v>
      </c>
      <c r="O93" t="s">
        <v>371</v>
      </c>
      <c r="P93" s="15" t="str">
        <f>HYPERLINK("https://www.ejacket.nsf.gov/ej/showProposal.do?ID="&amp;ckAwdTable[[#This Row],[prop_id]],"eJ")</f>
        <v>eJ</v>
      </c>
      <c r="Q93" s="8" t="s">
        <v>224</v>
      </c>
      <c r="R93" t="s">
        <v>371</v>
      </c>
      <c r="S93" t="s">
        <v>512</v>
      </c>
      <c r="T93" t="s">
        <v>262</v>
      </c>
      <c r="U93" s="8" t="s">
        <v>513</v>
      </c>
      <c r="V93" t="s">
        <v>514</v>
      </c>
      <c r="W93" s="15" t="str">
        <f>HYPERLINK("mailto:"&amp; ckAwdTable[[#This Row],[email]]&amp;"&amp;subject=Your NSF Proposal:  "&amp;ckAwdTable[[#This Row],[prop_id]], ckAwdTable[[#This Row],[email]])</f>
        <v>Benjamin.Raichel@utdallas.edu</v>
      </c>
      <c r="X93" s="30">
        <v>43344</v>
      </c>
      <c r="Y93">
        <v>60</v>
      </c>
      <c r="AA93" s="21" t="s">
        <v>13</v>
      </c>
      <c r="AB93" s="21" t="s">
        <v>972</v>
      </c>
      <c r="AC93"/>
      <c r="AD93" s="21" t="s">
        <v>13</v>
      </c>
      <c r="AE93" s="21" t="s">
        <v>274</v>
      </c>
      <c r="AF93" s="21" t="s">
        <v>965</v>
      </c>
      <c r="AG93" s="21" t="str">
        <f>IFERROR(IF(FIND("?",ckAwdTable[[#This Row],[abst_narr_txt]]),SummarizeQuestMarks(ckAwdTable[[#This Row],[abst_narr_txt]]),""),"")</f>
        <v/>
      </c>
      <c r="AI93" s="13">
        <v>582785</v>
      </c>
      <c r="AJ93" s="21">
        <v>0</v>
      </c>
      <c r="AK93" s="1">
        <v>582785</v>
      </c>
      <c r="AL93" s="1"/>
      <c r="AM93" s="1">
        <v>7500</v>
      </c>
      <c r="AP93" s="21">
        <v>10</v>
      </c>
      <c r="AQ93" s="21">
        <v>5</v>
      </c>
      <c r="AR93" s="21">
        <v>5</v>
      </c>
      <c r="AS93" s="21"/>
      <c r="AT93" s="21"/>
      <c r="AU93" s="8" t="s">
        <v>175</v>
      </c>
      <c r="AV93" t="s">
        <v>516</v>
      </c>
      <c r="AW93" t="b">
        <f>AND(ckAwdTable[[#This Row],[ILN]]&gt;"M", SUBSTITUTE(ckAwdTable[[#This Row],[prop_titl_txt]]," ","")&lt;&gt;SUBSTITUTE(AV92," ",""))</f>
        <v>0</v>
      </c>
      <c r="AX93" s="8" t="s">
        <v>515</v>
      </c>
      <c r="BB93"/>
      <c r="BC93"/>
      <c r="BD93"/>
      <c r="BI93" s="1"/>
      <c r="BL93"/>
      <c r="BM93" s="13"/>
      <c r="BP93"/>
    </row>
    <row r="94" spans="2:68" x14ac:dyDescent="0.4">
      <c r="B94" s="30">
        <v>42935.680555555555</v>
      </c>
      <c r="C94" t="s">
        <v>256</v>
      </c>
      <c r="D94" t="s">
        <v>222</v>
      </c>
      <c r="E94" t="s">
        <v>405</v>
      </c>
      <c r="F94" t="s">
        <v>406</v>
      </c>
      <c r="G94" s="8" t="s">
        <v>174</v>
      </c>
      <c r="H94" s="8" t="s">
        <v>172</v>
      </c>
      <c r="I94" s="8" t="s">
        <v>962</v>
      </c>
      <c r="J94" t="s">
        <v>94</v>
      </c>
      <c r="K94" t="s">
        <v>404</v>
      </c>
      <c r="L94" s="22"/>
      <c r="M94">
        <f xml:space="preserve"> M93+(ckAwdTable[ILN]&lt;"M")</f>
        <v>78</v>
      </c>
      <c r="N94" t="s">
        <v>96</v>
      </c>
      <c r="O94" t="s">
        <v>372</v>
      </c>
      <c r="P94" s="15" t="str">
        <f>HYPERLINK("https://www.ejacket.nsf.gov/ej/showProposal.do?ID="&amp;ckAwdTable[[#This Row],[prop_id]],"eJ")</f>
        <v>eJ</v>
      </c>
      <c r="Q94" s="8" t="s">
        <v>224</v>
      </c>
      <c r="R94" t="s">
        <v>372</v>
      </c>
      <c r="S94" t="s">
        <v>517</v>
      </c>
      <c r="T94" t="s">
        <v>518</v>
      </c>
      <c r="U94" s="8" t="s">
        <v>519</v>
      </c>
      <c r="V94" t="s">
        <v>514</v>
      </c>
      <c r="W94" s="15" t="str">
        <f>HYPERLINK("mailto:"&amp; ckAwdTable[[#This Row],[email]]&amp;"&amp;subject=Your NSF Proposal:  "&amp;ckAwdTable[[#This Row],[prop_id]], ckAwdTable[[#This Row],[email]])</f>
        <v>MATTHEW.GIBSON@UTSA.EDU</v>
      </c>
      <c r="X94" s="30">
        <v>43132</v>
      </c>
      <c r="Y94">
        <v>60</v>
      </c>
      <c r="AA94" s="21" t="s">
        <v>13</v>
      </c>
      <c r="AB94" s="21" t="s">
        <v>972</v>
      </c>
      <c r="AC94"/>
      <c r="AD94" s="21" t="s">
        <v>13</v>
      </c>
      <c r="AE94" s="21" t="s">
        <v>274</v>
      </c>
      <c r="AF94" s="21" t="s">
        <v>965</v>
      </c>
      <c r="AG94" s="21" t="str">
        <f>IFERROR(IF(FIND("?",ckAwdTable[[#This Row],[abst_narr_txt]]),SummarizeQuestMarks(ckAwdTable[[#This Row],[abst_narr_txt]]),""),"")</f>
        <v/>
      </c>
      <c r="AI94" s="13">
        <v>415497</v>
      </c>
      <c r="AJ94" s="21">
        <v>0</v>
      </c>
      <c r="AK94" s="1">
        <v>415497</v>
      </c>
      <c r="AL94" s="1"/>
      <c r="AM94" s="1">
        <v>12250</v>
      </c>
      <c r="AO94" s="1">
        <v>16000</v>
      </c>
      <c r="AP94" s="21">
        <v>5</v>
      </c>
      <c r="AQ94" s="21">
        <v>5</v>
      </c>
      <c r="AR94" s="21">
        <v>5</v>
      </c>
      <c r="AS94" s="21"/>
      <c r="AT94" s="21"/>
      <c r="AU94" s="8" t="s">
        <v>175</v>
      </c>
      <c r="AV94" t="s">
        <v>522</v>
      </c>
      <c r="AW94" t="b">
        <f>AND(ckAwdTable[[#This Row],[ILN]]&gt;"M", SUBSTITUTE(ckAwdTable[[#This Row],[prop_titl_txt]]," ","")&lt;&gt;SUBSTITUTE(AV93," ",""))</f>
        <v>0</v>
      </c>
      <c r="AX94" s="8" t="s">
        <v>520</v>
      </c>
      <c r="BB94"/>
      <c r="BC94"/>
      <c r="BD94"/>
      <c r="BI94" s="1"/>
      <c r="BL94"/>
      <c r="BM94" s="13"/>
      <c r="BP94"/>
    </row>
    <row r="95" spans="2:68" x14ac:dyDescent="0.4">
      <c r="B95" s="30">
        <v>42935.69027777778</v>
      </c>
      <c r="C95" t="s">
        <v>256</v>
      </c>
      <c r="D95" t="s">
        <v>222</v>
      </c>
      <c r="E95" t="s">
        <v>405</v>
      </c>
      <c r="F95" t="s">
        <v>406</v>
      </c>
      <c r="G95" s="8" t="s">
        <v>174</v>
      </c>
      <c r="H95" s="8" t="s">
        <v>172</v>
      </c>
      <c r="I95" s="8" t="s">
        <v>962</v>
      </c>
      <c r="J95" t="s">
        <v>94</v>
      </c>
      <c r="K95" t="s">
        <v>404</v>
      </c>
      <c r="L95" s="22"/>
      <c r="M95">
        <f xml:space="preserve"> M94+(ckAwdTable[ILN]&lt;"M")</f>
        <v>79</v>
      </c>
      <c r="N95" t="s">
        <v>96</v>
      </c>
      <c r="O95" t="s">
        <v>373</v>
      </c>
      <c r="P95" s="15" t="str">
        <f>HYPERLINK("https://www.ejacket.nsf.gov/ej/showProposal.do?ID="&amp;ckAwdTable[[#This Row],[prop_id]],"eJ")</f>
        <v>eJ</v>
      </c>
      <c r="Q95" s="8" t="s">
        <v>224</v>
      </c>
      <c r="R95" t="s">
        <v>373</v>
      </c>
      <c r="S95" t="s">
        <v>523</v>
      </c>
      <c r="T95" t="s">
        <v>524</v>
      </c>
      <c r="U95" s="8" t="s">
        <v>525</v>
      </c>
      <c r="V95" t="s">
        <v>514</v>
      </c>
      <c r="W95" s="15" t="str">
        <f>HYPERLINK("mailto:"&amp; ckAwdTable[[#This Row],[email]]&amp;"&amp;subject=Your NSF Proposal:  "&amp;ckAwdTable[[#This Row],[prop_id]], ckAwdTable[[#This Row],[email]])</f>
        <v>evouga@cs.utexas.edu</v>
      </c>
      <c r="X95" s="30">
        <v>43344</v>
      </c>
      <c r="Y95">
        <v>60</v>
      </c>
      <c r="AA95" s="21" t="s">
        <v>13</v>
      </c>
      <c r="AB95" s="21" t="s">
        <v>972</v>
      </c>
      <c r="AC95"/>
      <c r="AD95" s="21" t="s">
        <v>13</v>
      </c>
      <c r="AE95" s="21" t="s">
        <v>274</v>
      </c>
      <c r="AF95" s="21" t="s">
        <v>965</v>
      </c>
      <c r="AG95" s="21" t="str">
        <f>IFERROR(IF(FIND("?",ckAwdTable[[#This Row],[abst_narr_txt]]),SummarizeQuestMarks(ckAwdTable[[#This Row],[abst_narr_txt]]),""),"")</f>
        <v/>
      </c>
      <c r="AI95" s="13">
        <v>523537</v>
      </c>
      <c r="AJ95" s="21">
        <v>0</v>
      </c>
      <c r="AK95" s="1">
        <v>523537</v>
      </c>
      <c r="AL95" s="1"/>
      <c r="AM95" s="1">
        <v>15000</v>
      </c>
      <c r="AP95" s="21">
        <v>7</v>
      </c>
      <c r="AQ95" s="21">
        <v>5</v>
      </c>
      <c r="AR95" s="21">
        <v>2</v>
      </c>
      <c r="AS95" s="21"/>
      <c r="AT95" s="21"/>
      <c r="AU95" s="8" t="s">
        <v>175</v>
      </c>
      <c r="AV95" t="s">
        <v>527</v>
      </c>
      <c r="AW95" t="b">
        <f>AND(ckAwdTable[[#This Row],[ILN]]&gt;"M", SUBSTITUTE(ckAwdTable[[#This Row],[prop_titl_txt]]," ","")&lt;&gt;SUBSTITUTE(AV94," ",""))</f>
        <v>0</v>
      </c>
      <c r="AX95" s="8" t="s">
        <v>526</v>
      </c>
      <c r="BB95"/>
      <c r="BC95"/>
      <c r="BD95"/>
      <c r="BI95" s="1"/>
      <c r="BL95"/>
      <c r="BM95" s="13"/>
      <c r="BP95"/>
    </row>
    <row r="96" spans="2:68" x14ac:dyDescent="0.4">
      <c r="B96" s="30">
        <v>42935.696527777778</v>
      </c>
      <c r="C96" t="s">
        <v>256</v>
      </c>
      <c r="D96" t="s">
        <v>222</v>
      </c>
      <c r="E96" t="s">
        <v>405</v>
      </c>
      <c r="F96" t="s">
        <v>406</v>
      </c>
      <c r="G96" s="8" t="s">
        <v>174</v>
      </c>
      <c r="H96" s="8" t="s">
        <v>172</v>
      </c>
      <c r="I96" s="8" t="s">
        <v>962</v>
      </c>
      <c r="J96" t="s">
        <v>94</v>
      </c>
      <c r="K96" t="s">
        <v>404</v>
      </c>
      <c r="L96" s="22"/>
      <c r="M96">
        <f xml:space="preserve"> M95+(ckAwdTable[ILN]&lt;"M")</f>
        <v>80</v>
      </c>
      <c r="N96" t="s">
        <v>96</v>
      </c>
      <c r="O96" t="s">
        <v>374</v>
      </c>
      <c r="P96" s="15" t="str">
        <f>HYPERLINK("https://www.ejacket.nsf.gov/ej/showProposal.do?ID="&amp;ckAwdTable[[#This Row],[prop_id]],"eJ")</f>
        <v>eJ</v>
      </c>
      <c r="Q96" s="8" t="s">
        <v>224</v>
      </c>
      <c r="R96" t="s">
        <v>374</v>
      </c>
      <c r="S96" t="s">
        <v>528</v>
      </c>
      <c r="T96" t="s">
        <v>529</v>
      </c>
      <c r="U96" s="8" t="s">
        <v>530</v>
      </c>
      <c r="V96" t="s">
        <v>531</v>
      </c>
      <c r="W96" s="15" t="str">
        <f>HYPERLINK("mailto:"&amp; ckAwdTable[[#This Row],[email]]&amp;"&amp;subject=Your NSF Proposal:  "&amp;ckAwdTable[[#This Row],[prop_id]], ckAwdTable[[#This Row],[email]])</f>
        <v>nayyeria@eecs.oregonstate.edu</v>
      </c>
      <c r="X96" s="30">
        <v>43344</v>
      </c>
      <c r="Y96">
        <v>60</v>
      </c>
      <c r="AA96" s="21" t="s">
        <v>13</v>
      </c>
      <c r="AB96" s="21" t="s">
        <v>972</v>
      </c>
      <c r="AC96"/>
      <c r="AD96" s="21" t="s">
        <v>13</v>
      </c>
      <c r="AE96" s="21" t="s">
        <v>274</v>
      </c>
      <c r="AF96" s="21" t="s">
        <v>965</v>
      </c>
      <c r="AG96" s="21" t="str">
        <f>IFERROR(IF(FIND("?",ckAwdTable[[#This Row],[abst_narr_txt]]),SummarizeQuestMarks(ckAwdTable[[#This Row],[abst_narr_txt]]),""),"")</f>
        <v/>
      </c>
      <c r="AI96" s="13">
        <v>607459</v>
      </c>
      <c r="AJ96" s="21">
        <v>0</v>
      </c>
      <c r="AK96" s="1">
        <v>607459</v>
      </c>
      <c r="AL96" s="1"/>
      <c r="AM96" s="1">
        <v>23133</v>
      </c>
      <c r="AO96" s="1">
        <v>5500</v>
      </c>
      <c r="AP96" s="21">
        <v>5</v>
      </c>
      <c r="AQ96" s="21">
        <v>5</v>
      </c>
      <c r="AR96" s="21">
        <v>4.5</v>
      </c>
      <c r="AS96" s="21"/>
      <c r="AT96" s="21"/>
      <c r="AU96" s="8" t="s">
        <v>175</v>
      </c>
      <c r="AV96" t="s">
        <v>534</v>
      </c>
      <c r="AW96" t="b">
        <f>AND(ckAwdTable[[#This Row],[ILN]]&gt;"M", SUBSTITUTE(ckAwdTable[[#This Row],[prop_titl_txt]]," ","")&lt;&gt;SUBSTITUTE(AV95," ",""))</f>
        <v>0</v>
      </c>
      <c r="AX96" s="8" t="s">
        <v>532</v>
      </c>
      <c r="BB96"/>
      <c r="BC96"/>
      <c r="BD96"/>
      <c r="BI96" s="1"/>
      <c r="BL96"/>
      <c r="BM96" s="13"/>
      <c r="BP96"/>
    </row>
    <row r="97" spans="2:68" x14ac:dyDescent="0.4">
      <c r="B97" s="30">
        <v>42935.723611111112</v>
      </c>
      <c r="C97" t="s">
        <v>256</v>
      </c>
      <c r="D97" t="s">
        <v>222</v>
      </c>
      <c r="E97" t="s">
        <v>405</v>
      </c>
      <c r="F97" t="s">
        <v>451</v>
      </c>
      <c r="G97" s="8" t="s">
        <v>174</v>
      </c>
      <c r="H97" s="8" t="s">
        <v>172</v>
      </c>
      <c r="I97" s="8" t="s">
        <v>962</v>
      </c>
      <c r="J97" t="s">
        <v>94</v>
      </c>
      <c r="K97" t="s">
        <v>404</v>
      </c>
      <c r="L97" s="22"/>
      <c r="M97">
        <f xml:space="preserve"> M96+(ckAwdTable[ILN]&lt;"M")</f>
        <v>81</v>
      </c>
      <c r="N97" t="s">
        <v>96</v>
      </c>
      <c r="O97" t="s">
        <v>375</v>
      </c>
      <c r="P97" s="15" t="str">
        <f>HYPERLINK("https://www.ejacket.nsf.gov/ej/showProposal.do?ID="&amp;ckAwdTable[[#This Row],[prop_id]],"eJ")</f>
        <v>eJ</v>
      </c>
      <c r="Q97" s="8" t="s">
        <v>224</v>
      </c>
      <c r="R97" t="s">
        <v>375</v>
      </c>
      <c r="S97" t="s">
        <v>535</v>
      </c>
      <c r="T97" t="s">
        <v>536</v>
      </c>
      <c r="U97" s="8" t="s">
        <v>537</v>
      </c>
      <c r="V97" t="s">
        <v>114</v>
      </c>
      <c r="W97" s="15" t="str">
        <f>HYPERLINK("mailto:"&amp; ckAwdTable[[#This Row],[email]]&amp;"&amp;subject=Your NSF Proposal:  "&amp;ckAwdTable[[#This Row],[prop_id]], ckAwdTable[[#This Row],[email]])</f>
        <v>brittany@cs.montana.edu</v>
      </c>
      <c r="X97" s="30">
        <v>43344</v>
      </c>
      <c r="Y97">
        <v>60</v>
      </c>
      <c r="Z97" t="s">
        <v>968</v>
      </c>
      <c r="AA97" s="21" t="s">
        <v>13</v>
      </c>
      <c r="AB97" s="21" t="s">
        <v>972</v>
      </c>
      <c r="AC97"/>
      <c r="AD97" s="21" t="s">
        <v>13</v>
      </c>
      <c r="AE97" s="21" t="s">
        <v>969</v>
      </c>
      <c r="AF97" s="21" t="s">
        <v>965</v>
      </c>
      <c r="AG97" s="21" t="str">
        <f>IFERROR(IF(FIND("?",ckAwdTable[[#This Row],[abst_narr_txt]]),SummarizeQuestMarks(ckAwdTable[[#This Row],[abst_narr_txt]]),""),"")</f>
        <v/>
      </c>
      <c r="AI97" s="13">
        <v>552355</v>
      </c>
      <c r="AJ97" s="21">
        <v>0</v>
      </c>
      <c r="AK97" s="1">
        <v>552355</v>
      </c>
      <c r="AL97" s="1"/>
      <c r="AM97" s="1">
        <v>13000</v>
      </c>
      <c r="AP97" s="21">
        <v>12</v>
      </c>
      <c r="AQ97" s="21">
        <v>5</v>
      </c>
      <c r="AR97" s="21">
        <v>5</v>
      </c>
      <c r="AS97" s="21"/>
      <c r="AT97" s="21"/>
      <c r="AU97" s="8" t="s">
        <v>175</v>
      </c>
      <c r="AV97" t="s">
        <v>540</v>
      </c>
      <c r="AW97" t="b">
        <f>AND(ckAwdTable[[#This Row],[ILN]]&gt;"M", SUBSTITUTE(ckAwdTable[[#This Row],[prop_titl_txt]]," ","")&lt;&gt;SUBSTITUTE(AV96," ",""))</f>
        <v>0</v>
      </c>
      <c r="AX97" s="8" t="s">
        <v>538</v>
      </c>
      <c r="BB97"/>
      <c r="BC97"/>
      <c r="BD97"/>
      <c r="BI97" s="1"/>
      <c r="BL97"/>
      <c r="BM97" s="13"/>
      <c r="BP97"/>
    </row>
    <row r="98" spans="2:68" x14ac:dyDescent="0.4">
      <c r="B98" s="30">
        <v>42935.851388888892</v>
      </c>
      <c r="C98" t="s">
        <v>256</v>
      </c>
      <c r="D98" t="s">
        <v>222</v>
      </c>
      <c r="E98" t="s">
        <v>405</v>
      </c>
      <c r="F98" t="s">
        <v>422</v>
      </c>
      <c r="G98" s="8" t="s">
        <v>174</v>
      </c>
      <c r="H98" s="8" t="s">
        <v>172</v>
      </c>
      <c r="I98" s="8" t="s">
        <v>962</v>
      </c>
      <c r="J98" t="s">
        <v>94</v>
      </c>
      <c r="K98" t="s">
        <v>404</v>
      </c>
      <c r="L98" s="22"/>
      <c r="M98">
        <f xml:space="preserve"> M97+(ckAwdTable[ILN]&lt;"M")</f>
        <v>82</v>
      </c>
      <c r="N98" t="s">
        <v>96</v>
      </c>
      <c r="O98" t="s">
        <v>376</v>
      </c>
      <c r="P98" s="15" t="str">
        <f>HYPERLINK("https://www.ejacket.nsf.gov/ej/showProposal.do?ID="&amp;ckAwdTable[[#This Row],[prop_id]],"eJ")</f>
        <v>eJ</v>
      </c>
      <c r="Q98" s="8" t="s">
        <v>224</v>
      </c>
      <c r="R98" t="s">
        <v>376</v>
      </c>
      <c r="S98" t="s">
        <v>541</v>
      </c>
      <c r="T98" t="s">
        <v>542</v>
      </c>
      <c r="U98" s="8" t="s">
        <v>543</v>
      </c>
      <c r="V98" t="s">
        <v>101</v>
      </c>
      <c r="W98" s="15" t="str">
        <f>HYPERLINK("mailto:"&amp; ckAwdTable[[#This Row],[email]]&amp;"&amp;subject=Your NSF Proposal:  "&amp;ckAwdTable[[#This Row],[prop_id]], ckAwdTable[[#This Row],[email]])</f>
        <v>nodari@hawaii.edu</v>
      </c>
      <c r="X98" s="30">
        <v>43160</v>
      </c>
      <c r="Y98">
        <v>60</v>
      </c>
      <c r="AA98" s="21" t="s">
        <v>13</v>
      </c>
      <c r="AB98" s="21" t="s">
        <v>972</v>
      </c>
      <c r="AC98"/>
      <c r="AD98" s="21" t="s">
        <v>13</v>
      </c>
      <c r="AE98" s="21" t="s">
        <v>274</v>
      </c>
      <c r="AF98" s="21" t="s">
        <v>965</v>
      </c>
      <c r="AG98" s="21" t="str">
        <f>IFERROR(IF(FIND("?",ckAwdTable[[#This Row],[abst_narr_txt]]),SummarizeQuestMarks(ckAwdTable[[#This Row],[abst_narr_txt]]),""),"")</f>
        <v/>
      </c>
      <c r="AI98" s="13">
        <v>549999</v>
      </c>
      <c r="AJ98" s="21">
        <v>0</v>
      </c>
      <c r="AK98" s="1">
        <v>549999</v>
      </c>
      <c r="AL98" s="1"/>
      <c r="AM98" s="1">
        <v>20000</v>
      </c>
      <c r="AP98" s="21">
        <v>5</v>
      </c>
      <c r="AQ98" s="21">
        <v>5</v>
      </c>
      <c r="AR98" s="21">
        <v>5</v>
      </c>
      <c r="AS98" s="21">
        <v>4.5199999999999996</v>
      </c>
      <c r="AT98" s="21"/>
      <c r="AU98" s="8" t="s">
        <v>175</v>
      </c>
      <c r="AV98" t="s">
        <v>547</v>
      </c>
      <c r="AW98" t="b">
        <f>AND(ckAwdTable[[#This Row],[ILN]]&gt;"M", SUBSTITUTE(ckAwdTable[[#This Row],[prop_titl_txt]]," ","")&lt;&gt;SUBSTITUTE(AV97," ",""))</f>
        <v>0</v>
      </c>
      <c r="AX98" s="8" t="s">
        <v>544</v>
      </c>
      <c r="BB98"/>
      <c r="BC98"/>
      <c r="BD98"/>
      <c r="BI98" s="1"/>
      <c r="BL98"/>
      <c r="BM98" s="13"/>
      <c r="BP98"/>
    </row>
    <row r="99" spans="2:68" x14ac:dyDescent="0.4">
      <c r="B99" s="30">
        <v>42954.500694444447</v>
      </c>
      <c r="C99" t="s">
        <v>549</v>
      </c>
      <c r="D99" t="s">
        <v>222</v>
      </c>
      <c r="E99" t="s">
        <v>550</v>
      </c>
      <c r="F99" t="s">
        <v>422</v>
      </c>
      <c r="G99" s="8" t="s">
        <v>174</v>
      </c>
      <c r="H99" s="8" t="s">
        <v>172</v>
      </c>
      <c r="I99" s="8" t="s">
        <v>962</v>
      </c>
      <c r="J99" t="s">
        <v>94</v>
      </c>
      <c r="K99" t="s">
        <v>548</v>
      </c>
      <c r="L99" s="22"/>
      <c r="M99">
        <f xml:space="preserve"> M98+(ckAwdTable[ILN]&lt;"M")</f>
        <v>83</v>
      </c>
      <c r="N99" t="s">
        <v>96</v>
      </c>
      <c r="O99" t="s">
        <v>377</v>
      </c>
      <c r="P99" s="15" t="str">
        <f>HYPERLINK("https://www.ejacket.nsf.gov/ej/showProposal.do?ID="&amp;ckAwdTable[[#This Row],[prop_id]],"eJ")</f>
        <v>eJ</v>
      </c>
      <c r="Q99" s="8" t="s">
        <v>224</v>
      </c>
      <c r="R99" t="s">
        <v>377</v>
      </c>
      <c r="S99" t="s">
        <v>414</v>
      </c>
      <c r="T99" t="s">
        <v>551</v>
      </c>
      <c r="U99" s="8" t="s">
        <v>552</v>
      </c>
      <c r="V99" t="s">
        <v>283</v>
      </c>
      <c r="W99" s="15" t="str">
        <f>HYPERLINK("mailto:"&amp; ckAwdTable[[#This Row],[email]]&amp;"&amp;subject=Your NSF Proposal:  "&amp;ckAwdTable[[#This Row],[prop_id]], ckAwdTable[[#This Row],[email]])</f>
        <v>kwang@georgiasouthern.edu</v>
      </c>
      <c r="X99" s="30">
        <v>43101</v>
      </c>
      <c r="Y99">
        <v>24</v>
      </c>
      <c r="AA99" s="21" t="s">
        <v>13</v>
      </c>
      <c r="AB99" s="21" t="s">
        <v>972</v>
      </c>
      <c r="AC99"/>
      <c r="AD99" s="21" t="s">
        <v>13</v>
      </c>
      <c r="AF99" s="21" t="s">
        <v>965</v>
      </c>
      <c r="AG99" s="21" t="str">
        <f>IFERROR(IF(FIND("?",ckAwdTable[[#This Row],[abst_narr_txt]]),SummarizeQuestMarks(ckAwdTable[[#This Row],[abst_narr_txt]]),""),"")</f>
        <v/>
      </c>
      <c r="AI99" s="13">
        <v>168126</v>
      </c>
      <c r="AJ99" s="21">
        <v>0</v>
      </c>
      <c r="AK99" s="1">
        <v>168126</v>
      </c>
      <c r="AL99" s="1"/>
      <c r="AM99" s="1"/>
      <c r="AP99" s="21">
        <v>4</v>
      </c>
      <c r="AQ99" s="21"/>
      <c r="AR99" s="21"/>
      <c r="AS99" s="21"/>
      <c r="AT99" s="21"/>
      <c r="AU99" s="8" t="s">
        <v>175</v>
      </c>
      <c r="AV99" t="s">
        <v>556</v>
      </c>
      <c r="AW99" t="b">
        <f>AND(ckAwdTable[[#This Row],[ILN]]&gt;"M", SUBSTITUTE(ckAwdTable[[#This Row],[prop_titl_txt]]," ","")&lt;&gt;SUBSTITUTE(AV98," ",""))</f>
        <v>0</v>
      </c>
      <c r="AX99" s="8" t="s">
        <v>553</v>
      </c>
      <c r="BB99"/>
      <c r="BC99"/>
      <c r="BD99"/>
      <c r="BI99" s="1"/>
      <c r="BL99"/>
      <c r="BM99" s="13"/>
      <c r="BP99"/>
    </row>
    <row r="100" spans="2:68" x14ac:dyDescent="0.4">
      <c r="B100" s="30">
        <v>42956.472222222219</v>
      </c>
      <c r="C100" t="s">
        <v>549</v>
      </c>
      <c r="D100" t="s">
        <v>222</v>
      </c>
      <c r="E100" t="s">
        <v>550</v>
      </c>
      <c r="F100" t="s">
        <v>406</v>
      </c>
      <c r="G100" s="8" t="s">
        <v>174</v>
      </c>
      <c r="H100" s="8" t="s">
        <v>172</v>
      </c>
      <c r="I100" s="8" t="s">
        <v>962</v>
      </c>
      <c r="J100" t="s">
        <v>94</v>
      </c>
      <c r="K100" t="s">
        <v>548</v>
      </c>
      <c r="L100" s="22"/>
      <c r="M100">
        <f xml:space="preserve"> M99+(ckAwdTable[ILN]&lt;"M")</f>
        <v>84</v>
      </c>
      <c r="N100" t="s">
        <v>96</v>
      </c>
      <c r="O100" t="s">
        <v>378</v>
      </c>
      <c r="P100" s="15" t="str">
        <f>HYPERLINK("https://www.ejacket.nsf.gov/ej/showProposal.do?ID="&amp;ckAwdTable[[#This Row],[prop_id]],"eJ")</f>
        <v>eJ</v>
      </c>
      <c r="Q100" s="8" t="s">
        <v>224</v>
      </c>
      <c r="R100" t="s">
        <v>378</v>
      </c>
      <c r="S100" t="s">
        <v>557</v>
      </c>
      <c r="T100" t="s">
        <v>558</v>
      </c>
      <c r="U100" s="8" t="s">
        <v>559</v>
      </c>
      <c r="V100" t="s">
        <v>560</v>
      </c>
      <c r="W100" s="15" t="str">
        <f>HYPERLINK("mailto:"&amp; ckAwdTable[[#This Row],[email]]&amp;"&amp;subject=Your NSF Proposal:  "&amp;ckAwdTable[[#This Row],[prop_id]], ckAwdTable[[#This Row],[email]])</f>
        <v>hcharkhgard@usf.edu</v>
      </c>
      <c r="X100" s="30">
        <v>43221</v>
      </c>
      <c r="Y100">
        <v>24</v>
      </c>
      <c r="AA100" s="21" t="s">
        <v>13</v>
      </c>
      <c r="AB100" s="21" t="s">
        <v>972</v>
      </c>
      <c r="AC100"/>
      <c r="AD100" s="21" t="s">
        <v>13</v>
      </c>
      <c r="AF100" s="21" t="s">
        <v>965</v>
      </c>
      <c r="AG100" s="21" t="str">
        <f>IFERROR(IF(FIND("?",ckAwdTable[[#This Row],[abst_narr_txt]]),SummarizeQuestMarks(ckAwdTable[[#This Row],[abst_narr_txt]]),""),"")</f>
        <v/>
      </c>
      <c r="AI100" s="13">
        <v>172682</v>
      </c>
      <c r="AJ100" s="21">
        <v>0</v>
      </c>
      <c r="AK100" s="1">
        <v>172682</v>
      </c>
      <c r="AL100" s="1"/>
      <c r="AM100" s="1"/>
      <c r="AP100" s="21">
        <v>4</v>
      </c>
      <c r="AQ100" s="21"/>
      <c r="AR100" s="21"/>
      <c r="AS100" s="21"/>
      <c r="AT100" s="21"/>
      <c r="AU100" s="8" t="s">
        <v>175</v>
      </c>
      <c r="AV100" t="s">
        <v>563</v>
      </c>
      <c r="AW100" t="b">
        <f>AND(ckAwdTable[[#This Row],[ILN]]&gt;"M", SUBSTITUTE(ckAwdTable[[#This Row],[prop_titl_txt]]," ","")&lt;&gt;SUBSTITUTE(AV99," ",""))</f>
        <v>0</v>
      </c>
      <c r="AX100" s="8" t="s">
        <v>561</v>
      </c>
      <c r="BB100"/>
      <c r="BC100"/>
      <c r="BD100"/>
      <c r="BI100" s="1"/>
      <c r="BL100"/>
      <c r="BM100" s="13"/>
      <c r="BP100"/>
    </row>
    <row r="101" spans="2:68" x14ac:dyDescent="0.4">
      <c r="B101" s="30">
        <v>42956.581944444442</v>
      </c>
      <c r="C101" t="s">
        <v>549</v>
      </c>
      <c r="D101" t="s">
        <v>222</v>
      </c>
      <c r="E101" t="s">
        <v>550</v>
      </c>
      <c r="F101" t="s">
        <v>422</v>
      </c>
      <c r="G101" s="8" t="s">
        <v>174</v>
      </c>
      <c r="H101" s="8" t="s">
        <v>172</v>
      </c>
      <c r="I101" s="8" t="s">
        <v>962</v>
      </c>
      <c r="J101" t="s">
        <v>94</v>
      </c>
      <c r="K101" t="s">
        <v>548</v>
      </c>
      <c r="L101" s="22"/>
      <c r="M101">
        <f xml:space="preserve"> M100+(ckAwdTable[ILN]&lt;"M")</f>
        <v>85</v>
      </c>
      <c r="N101" t="s">
        <v>96</v>
      </c>
      <c r="O101" t="s">
        <v>379</v>
      </c>
      <c r="P101" s="15" t="str">
        <f>HYPERLINK("https://www.ejacket.nsf.gov/ej/showProposal.do?ID="&amp;ckAwdTable[[#This Row],[prop_id]],"eJ")</f>
        <v>eJ</v>
      </c>
      <c r="Q101" s="8" t="s">
        <v>224</v>
      </c>
      <c r="R101" t="s">
        <v>379</v>
      </c>
      <c r="S101" t="s">
        <v>564</v>
      </c>
      <c r="T101" t="s">
        <v>565</v>
      </c>
      <c r="U101" s="8" t="s">
        <v>566</v>
      </c>
      <c r="V101" t="s">
        <v>281</v>
      </c>
      <c r="W101" s="15" t="str">
        <f>HYPERLINK("mailto:"&amp; ckAwdTable[[#This Row],[email]]&amp;"&amp;subject=Your NSF Proposal:  "&amp;ckAwdTable[[#This Row],[prop_id]], ckAwdTable[[#This Row],[email]])</f>
        <v>Mayank.Goswami@qc.cuny.edu</v>
      </c>
      <c r="X101" s="30">
        <v>43344</v>
      </c>
      <c r="Y101">
        <v>24</v>
      </c>
      <c r="AA101" s="21" t="s">
        <v>13</v>
      </c>
      <c r="AB101" s="21" t="s">
        <v>972</v>
      </c>
      <c r="AC101"/>
      <c r="AD101" s="21" t="s">
        <v>13</v>
      </c>
      <c r="AE101" s="21" t="s">
        <v>970</v>
      </c>
      <c r="AF101" s="21" t="s">
        <v>965</v>
      </c>
      <c r="AG101" s="21" t="str">
        <f>IFERROR(IF(FIND("?",ckAwdTable[[#This Row],[abst_narr_txt]]),SummarizeQuestMarks(ckAwdTable[[#This Row],[abst_narr_txt]]),""),"")</f>
        <v xml:space="preserve">ata? Si| </v>
      </c>
      <c r="AH101" s="21" t="s">
        <v>910</v>
      </c>
      <c r="AI101" s="13">
        <v>175000</v>
      </c>
      <c r="AJ101" s="21">
        <v>0</v>
      </c>
      <c r="AK101" s="1">
        <v>175000</v>
      </c>
      <c r="AL101" s="1"/>
      <c r="AM101" s="1">
        <v>10000</v>
      </c>
      <c r="AP101" s="21">
        <v>2</v>
      </c>
      <c r="AQ101" s="21"/>
      <c r="AR101" s="21"/>
      <c r="AS101" s="21"/>
      <c r="AT101" s="21"/>
      <c r="AU101" s="8" t="s">
        <v>175</v>
      </c>
      <c r="AV101" t="s">
        <v>569</v>
      </c>
      <c r="AW101" t="b">
        <f>AND(ckAwdTable[[#This Row],[ILN]]&gt;"M", SUBSTITUTE(ckAwdTable[[#This Row],[prop_titl_txt]]," ","")&lt;&gt;SUBSTITUTE(AV100," ",""))</f>
        <v>0</v>
      </c>
      <c r="AX101" s="8" t="s">
        <v>567</v>
      </c>
      <c r="BB101"/>
      <c r="BC101"/>
      <c r="BD101"/>
      <c r="BI101" s="1"/>
      <c r="BL101"/>
      <c r="BM101" s="13"/>
      <c r="BP101"/>
    </row>
    <row r="102" spans="2:68" x14ac:dyDescent="0.4">
      <c r="B102" s="30">
        <v>42956.621527777781</v>
      </c>
      <c r="C102" t="s">
        <v>549</v>
      </c>
      <c r="D102" t="s">
        <v>222</v>
      </c>
      <c r="E102" t="s">
        <v>550</v>
      </c>
      <c r="F102" t="s">
        <v>451</v>
      </c>
      <c r="G102" s="8" t="s">
        <v>174</v>
      </c>
      <c r="H102" s="8" t="s">
        <v>172</v>
      </c>
      <c r="I102" s="8" t="s">
        <v>962</v>
      </c>
      <c r="J102" t="s">
        <v>94</v>
      </c>
      <c r="K102" t="s">
        <v>548</v>
      </c>
      <c r="L102" s="22"/>
      <c r="M102">
        <f xml:space="preserve"> M101+(ckAwdTable[ILN]&lt;"M")</f>
        <v>86</v>
      </c>
      <c r="N102" t="s">
        <v>96</v>
      </c>
      <c r="O102" t="s">
        <v>380</v>
      </c>
      <c r="P102" s="15" t="str">
        <f>HYPERLINK("https://www.ejacket.nsf.gov/ej/showProposal.do?ID="&amp;ckAwdTable[[#This Row],[prop_id]],"eJ")</f>
        <v>eJ</v>
      </c>
      <c r="Q102" s="8" t="s">
        <v>224</v>
      </c>
      <c r="R102" t="s">
        <v>380</v>
      </c>
      <c r="S102" t="s">
        <v>570</v>
      </c>
      <c r="T102" t="s">
        <v>571</v>
      </c>
      <c r="U102" s="8" t="s">
        <v>454</v>
      </c>
      <c r="V102" t="s">
        <v>455</v>
      </c>
      <c r="W102" s="15" t="str">
        <f>HYPERLINK("mailto:"&amp; ckAwdTable[[#This Row],[email]]&amp;"&amp;subject=Your NSF Proposal:  "&amp;ckAwdTable[[#This Row],[prop_id]], ckAwdTable[[#This Row],[email]])</f>
        <v>ruoyus@illinois.edu</v>
      </c>
      <c r="X102" s="30">
        <v>43282</v>
      </c>
      <c r="Y102">
        <v>24</v>
      </c>
      <c r="AA102" s="21" t="s">
        <v>13</v>
      </c>
      <c r="AB102" s="21" t="s">
        <v>972</v>
      </c>
      <c r="AC102"/>
      <c r="AD102" s="21" t="s">
        <v>13</v>
      </c>
      <c r="AE102" s="21" t="s">
        <v>274</v>
      </c>
      <c r="AF102" s="21" t="s">
        <v>965</v>
      </c>
      <c r="AG102" s="21" t="str">
        <f>IFERROR(IF(FIND("?",ckAwdTable[[#This Row],[abst_narr_txt]]),SummarizeQuestMarks(ckAwdTable[[#This Row],[abst_narr_txt]]),""),"")</f>
        <v/>
      </c>
      <c r="AI102" s="13">
        <v>175000</v>
      </c>
      <c r="AJ102" s="21">
        <v>0</v>
      </c>
      <c r="AK102" s="1">
        <v>175000</v>
      </c>
      <c r="AL102" s="1"/>
      <c r="AM102" s="1">
        <v>4000</v>
      </c>
      <c r="AP102" s="21">
        <v>4</v>
      </c>
      <c r="AQ102" s="21"/>
      <c r="AR102" s="21"/>
      <c r="AS102" s="21"/>
      <c r="AT102" s="21"/>
      <c r="AU102" s="8" t="s">
        <v>175</v>
      </c>
      <c r="AV102" t="s">
        <v>575</v>
      </c>
      <c r="AW102" t="b">
        <f>AND(ckAwdTable[[#This Row],[ILN]]&gt;"M", SUBSTITUTE(ckAwdTable[[#This Row],[prop_titl_txt]]," ","")&lt;&gt;SUBSTITUTE(AV101," ",""))</f>
        <v>0</v>
      </c>
      <c r="AX102" s="8" t="s">
        <v>572</v>
      </c>
      <c r="BB102"/>
      <c r="BC102"/>
      <c r="BD102"/>
      <c r="BI102" s="1"/>
      <c r="BL102"/>
      <c r="BM102" s="13"/>
      <c r="BP102"/>
    </row>
    <row r="103" spans="2:68" x14ac:dyDescent="0.4">
      <c r="B103" s="30">
        <v>42956.647916666669</v>
      </c>
      <c r="C103" t="s">
        <v>549</v>
      </c>
      <c r="D103" t="s">
        <v>222</v>
      </c>
      <c r="E103" t="s">
        <v>550</v>
      </c>
      <c r="F103" t="s">
        <v>406</v>
      </c>
      <c r="G103" s="8" t="s">
        <v>174</v>
      </c>
      <c r="H103" s="8" t="s">
        <v>172</v>
      </c>
      <c r="I103" s="8" t="s">
        <v>962</v>
      </c>
      <c r="J103" t="s">
        <v>94</v>
      </c>
      <c r="K103" t="s">
        <v>548</v>
      </c>
      <c r="L103" s="22"/>
      <c r="M103">
        <f xml:space="preserve"> M102+(ckAwdTable[ILN]&lt;"M")</f>
        <v>87</v>
      </c>
      <c r="N103" t="s">
        <v>96</v>
      </c>
      <c r="O103" t="s">
        <v>381</v>
      </c>
      <c r="P103" s="15" t="str">
        <f>HYPERLINK("https://www.ejacket.nsf.gov/ej/showProposal.do?ID="&amp;ckAwdTable[[#This Row],[prop_id]],"eJ")</f>
        <v>eJ</v>
      </c>
      <c r="Q103" s="8" t="s">
        <v>224</v>
      </c>
      <c r="R103" t="s">
        <v>381</v>
      </c>
      <c r="S103" t="s">
        <v>576</v>
      </c>
      <c r="T103" t="s">
        <v>577</v>
      </c>
      <c r="U103" s="8" t="s">
        <v>578</v>
      </c>
      <c r="V103" t="s">
        <v>120</v>
      </c>
      <c r="W103" s="15" t="str">
        <f>HYPERLINK("mailto:"&amp; ckAwdTable[[#This Row],[email]]&amp;"&amp;subject=Your NSF Proposal:  "&amp;ckAwdTable[[#This Row],[prop_id]], ckAwdTable[[#This Row],[email]])</f>
        <v>osan@okstate.edu</v>
      </c>
      <c r="X103" s="30">
        <v>43252</v>
      </c>
      <c r="Y103">
        <v>24</v>
      </c>
      <c r="AA103" s="21" t="s">
        <v>13</v>
      </c>
      <c r="AB103" s="21" t="s">
        <v>972</v>
      </c>
      <c r="AC103"/>
      <c r="AD103" s="21" t="s">
        <v>13</v>
      </c>
      <c r="AF103" s="21" t="s">
        <v>965</v>
      </c>
      <c r="AG103" s="21" t="str">
        <f>IFERROR(IF(FIND("?",ckAwdTable[[#This Row],[abst_narr_txt]]),SummarizeQuestMarks(ckAwdTable[[#This Row],[abst_narr_txt]]),""),"")</f>
        <v/>
      </c>
      <c r="AI103" s="13">
        <v>170144</v>
      </c>
      <c r="AJ103" s="21">
        <v>0</v>
      </c>
      <c r="AK103" s="1">
        <v>170144</v>
      </c>
      <c r="AL103" s="1"/>
      <c r="AM103" s="1"/>
      <c r="AP103" s="21">
        <v>4</v>
      </c>
      <c r="AQ103" s="21"/>
      <c r="AR103" s="21"/>
      <c r="AS103" s="21"/>
      <c r="AT103" s="21"/>
      <c r="AU103" s="8" t="s">
        <v>175</v>
      </c>
      <c r="AV103" t="s">
        <v>582</v>
      </c>
      <c r="AW103" t="b">
        <f>AND(ckAwdTable[[#This Row],[ILN]]&gt;"M", SUBSTITUTE(ckAwdTable[[#This Row],[prop_titl_txt]]," ","")&lt;&gt;SUBSTITUTE(AV102," ",""))</f>
        <v>0</v>
      </c>
      <c r="AX103" s="8" t="s">
        <v>579</v>
      </c>
      <c r="BB103"/>
      <c r="BC103"/>
      <c r="BD103"/>
      <c r="BI103" s="1"/>
      <c r="BL103"/>
      <c r="BM103" s="13"/>
      <c r="BP103"/>
    </row>
    <row r="104" spans="2:68" x14ac:dyDescent="0.4">
      <c r="B104" s="30">
        <v>42956.697222222225</v>
      </c>
      <c r="C104" t="s">
        <v>549</v>
      </c>
      <c r="D104" t="s">
        <v>222</v>
      </c>
      <c r="E104" t="s">
        <v>550</v>
      </c>
      <c r="F104" t="s">
        <v>406</v>
      </c>
      <c r="G104" s="8" t="s">
        <v>174</v>
      </c>
      <c r="H104" s="8" t="s">
        <v>172</v>
      </c>
      <c r="I104" s="8" t="s">
        <v>962</v>
      </c>
      <c r="J104" t="s">
        <v>94</v>
      </c>
      <c r="K104" t="s">
        <v>548</v>
      </c>
      <c r="L104" s="22"/>
      <c r="M104">
        <f xml:space="preserve"> M103+(ckAwdTable[ILN]&lt;"M")</f>
        <v>88</v>
      </c>
      <c r="N104" t="s">
        <v>96</v>
      </c>
      <c r="O104" t="s">
        <v>382</v>
      </c>
      <c r="P104" s="15" t="str">
        <f>HYPERLINK("https://www.ejacket.nsf.gov/ej/showProposal.do?ID="&amp;ckAwdTable[[#This Row],[prop_id]],"eJ")</f>
        <v>eJ</v>
      </c>
      <c r="Q104" s="8" t="s">
        <v>224</v>
      </c>
      <c r="R104" t="s">
        <v>382</v>
      </c>
      <c r="S104" t="s">
        <v>583</v>
      </c>
      <c r="T104" t="s">
        <v>584</v>
      </c>
      <c r="U104" s="8" t="s">
        <v>585</v>
      </c>
      <c r="V104" t="s">
        <v>514</v>
      </c>
      <c r="W104" s="15" t="str">
        <f>HYPERLINK("mailto:"&amp; ckAwdTable[[#This Row],[email]]&amp;"&amp;subject=Your NSF Proposal:  "&amp;ckAwdTable[[#This Row],[prop_id]], ckAwdTable[[#This Row],[email]])</f>
        <v>shima.hm@tamu.edu</v>
      </c>
      <c r="X104" s="30">
        <v>43252</v>
      </c>
      <c r="Y104">
        <v>24</v>
      </c>
      <c r="AA104" s="21" t="s">
        <v>13</v>
      </c>
      <c r="AB104" s="21" t="s">
        <v>972</v>
      </c>
      <c r="AC104"/>
      <c r="AD104" s="21" t="s">
        <v>13</v>
      </c>
      <c r="AF104" s="21" t="s">
        <v>965</v>
      </c>
      <c r="AG104" s="21" t="str">
        <f>IFERROR(IF(FIND("?",ckAwdTable[[#This Row],[abst_narr_txt]]),SummarizeQuestMarks(ckAwdTable[[#This Row],[abst_narr_txt]]),""),"")</f>
        <v/>
      </c>
      <c r="AI104" s="13">
        <v>175000</v>
      </c>
      <c r="AJ104" s="21">
        <v>0</v>
      </c>
      <c r="AK104" s="1">
        <v>175000</v>
      </c>
      <c r="AL104" s="1"/>
      <c r="AM104" s="1"/>
      <c r="AP104" s="21">
        <v>4</v>
      </c>
      <c r="AQ104" s="21"/>
      <c r="AR104" s="21"/>
      <c r="AS104" s="21"/>
      <c r="AT104" s="21"/>
      <c r="AU104" s="8" t="s">
        <v>175</v>
      </c>
      <c r="AV104" t="s">
        <v>588</v>
      </c>
      <c r="AW104" t="b">
        <f>AND(ckAwdTable[[#This Row],[ILN]]&gt;"M", SUBSTITUTE(ckAwdTable[[#This Row],[prop_titl_txt]]," ","")&lt;&gt;SUBSTITUTE(AV103," ",""))</f>
        <v>0</v>
      </c>
      <c r="AX104" s="8" t="s">
        <v>586</v>
      </c>
      <c r="BB104"/>
      <c r="BC104"/>
      <c r="BD104"/>
      <c r="BI104" s="1"/>
      <c r="BL104"/>
      <c r="BM104" s="13"/>
      <c r="BP104"/>
    </row>
    <row r="105" spans="2:68" x14ac:dyDescent="0.4">
      <c r="B105" s="30">
        <v>42956.717361111114</v>
      </c>
      <c r="C105" t="s">
        <v>549</v>
      </c>
      <c r="D105" t="s">
        <v>222</v>
      </c>
      <c r="E105" t="s">
        <v>550</v>
      </c>
      <c r="F105" t="s">
        <v>406</v>
      </c>
      <c r="G105" s="8" t="s">
        <v>174</v>
      </c>
      <c r="H105" s="8" t="s">
        <v>172</v>
      </c>
      <c r="I105" s="8" t="s">
        <v>962</v>
      </c>
      <c r="J105" t="s">
        <v>94</v>
      </c>
      <c r="K105" t="s">
        <v>548</v>
      </c>
      <c r="L105" s="22"/>
      <c r="M105">
        <f xml:space="preserve"> M104+(ckAwdTable[ILN]&lt;"M")</f>
        <v>89</v>
      </c>
      <c r="N105" t="s">
        <v>96</v>
      </c>
      <c r="O105" t="s">
        <v>383</v>
      </c>
      <c r="P105" s="15" t="str">
        <f>HYPERLINK("https://www.ejacket.nsf.gov/ej/showProposal.do?ID="&amp;ckAwdTable[[#This Row],[prop_id]],"eJ")</f>
        <v>eJ</v>
      </c>
      <c r="Q105" s="8" t="s">
        <v>224</v>
      </c>
      <c r="R105" t="s">
        <v>383</v>
      </c>
      <c r="S105" t="s">
        <v>589</v>
      </c>
      <c r="T105" t="s">
        <v>590</v>
      </c>
      <c r="U105" s="8" t="s">
        <v>591</v>
      </c>
      <c r="V105" t="s">
        <v>514</v>
      </c>
      <c r="W105" s="15" t="str">
        <f>HYPERLINK("mailto:"&amp; ckAwdTable[[#This Row],[email]]&amp;"&amp;subject=Your NSF Proposal:  "&amp;ckAwdTable[[#This Row],[prop_id]], ckAwdTable[[#This Row],[email]])</f>
        <v>harsha@smu.edu</v>
      </c>
      <c r="X105" s="30">
        <v>43101</v>
      </c>
      <c r="Y105">
        <v>24</v>
      </c>
      <c r="AA105" s="21" t="s">
        <v>13</v>
      </c>
      <c r="AB105" s="21" t="s">
        <v>972</v>
      </c>
      <c r="AC105"/>
      <c r="AD105" s="21" t="s">
        <v>13</v>
      </c>
      <c r="AF105" s="21" t="s">
        <v>965</v>
      </c>
      <c r="AG105" s="21" t="str">
        <f>IFERROR(IF(FIND("?",ckAwdTable[[#This Row],[abst_narr_txt]]),SummarizeQuestMarks(ckAwdTable[[#This Row],[abst_narr_txt]]),""),"")</f>
        <v/>
      </c>
      <c r="AI105" s="13">
        <v>175000</v>
      </c>
      <c r="AJ105" s="21">
        <v>0</v>
      </c>
      <c r="AK105" s="1">
        <v>175000</v>
      </c>
      <c r="AL105" s="1"/>
      <c r="AM105" s="1"/>
      <c r="AP105" s="21">
        <v>4</v>
      </c>
      <c r="AQ105" s="21"/>
      <c r="AR105" s="21"/>
      <c r="AS105" s="21"/>
      <c r="AT105" s="21"/>
      <c r="AU105" s="8" t="s">
        <v>175</v>
      </c>
      <c r="AV105" t="s">
        <v>594</v>
      </c>
      <c r="AW105" t="b">
        <f>AND(ckAwdTable[[#This Row],[ILN]]&gt;"M", SUBSTITUTE(ckAwdTable[[#This Row],[prop_titl_txt]]," ","")&lt;&gt;SUBSTITUTE(AV104," ",""))</f>
        <v>0</v>
      </c>
      <c r="AX105" s="8" t="s">
        <v>592</v>
      </c>
      <c r="BB105"/>
      <c r="BC105"/>
      <c r="BD105"/>
      <c r="BI105" s="1"/>
      <c r="BL105"/>
      <c r="BM105" s="13"/>
      <c r="BP105"/>
    </row>
    <row r="106" spans="2:68" x14ac:dyDescent="0.4">
      <c r="B106" s="30">
        <v>42956.746527777781</v>
      </c>
      <c r="C106" t="s">
        <v>549</v>
      </c>
      <c r="D106" t="s">
        <v>222</v>
      </c>
      <c r="E106" t="s">
        <v>550</v>
      </c>
      <c r="F106" t="s">
        <v>422</v>
      </c>
      <c r="G106" s="8" t="s">
        <v>174</v>
      </c>
      <c r="H106" s="8" t="s">
        <v>172</v>
      </c>
      <c r="I106" s="8" t="s">
        <v>962</v>
      </c>
      <c r="J106" t="s">
        <v>94</v>
      </c>
      <c r="K106" t="s">
        <v>548</v>
      </c>
      <c r="L106" s="22"/>
      <c r="M106">
        <f xml:space="preserve"> M105+(ckAwdTable[ILN]&lt;"M")</f>
        <v>90</v>
      </c>
      <c r="N106" t="s">
        <v>96</v>
      </c>
      <c r="O106" t="s">
        <v>384</v>
      </c>
      <c r="P106" s="15" t="str">
        <f>HYPERLINK("https://www.ejacket.nsf.gov/ej/showProposal.do?ID="&amp;ckAwdTable[[#This Row],[prop_id]],"eJ")</f>
        <v>eJ</v>
      </c>
      <c r="Q106" s="8" t="s">
        <v>224</v>
      </c>
      <c r="R106" t="s">
        <v>384</v>
      </c>
      <c r="S106" t="s">
        <v>266</v>
      </c>
      <c r="T106" t="s">
        <v>595</v>
      </c>
      <c r="U106" s="8" t="s">
        <v>596</v>
      </c>
      <c r="V106" t="s">
        <v>514</v>
      </c>
      <c r="W106" s="15" t="str">
        <f>HYPERLINK("mailto:"&amp; ckAwdTable[[#This Row],[email]]&amp;"&amp;subject=Your NSF Proposal:  "&amp;ckAwdTable[[#This Row],[prop_id]], ckAwdTable[[#This Row],[email]])</f>
        <v>lchen49@central.uh.edu</v>
      </c>
      <c r="X106" s="30">
        <v>43252</v>
      </c>
      <c r="Y106">
        <v>24</v>
      </c>
      <c r="AA106" s="21" t="s">
        <v>13</v>
      </c>
      <c r="AB106" s="21" t="s">
        <v>972</v>
      </c>
      <c r="AC106"/>
      <c r="AD106" s="21" t="s">
        <v>13</v>
      </c>
      <c r="AE106" s="21" t="s">
        <v>274</v>
      </c>
      <c r="AF106" s="21" t="s">
        <v>965</v>
      </c>
      <c r="AG106" s="21" t="str">
        <f>IFERROR(IF(FIND("?",ckAwdTable[[#This Row],[abst_narr_txt]]),SummarizeQuestMarks(ckAwdTable[[#This Row],[abst_narr_txt]]),""),"")</f>
        <v/>
      </c>
      <c r="AI106" s="13">
        <v>148477</v>
      </c>
      <c r="AJ106" s="21">
        <v>0</v>
      </c>
      <c r="AK106" s="1">
        <v>148477</v>
      </c>
      <c r="AL106" s="1"/>
      <c r="AM106" s="1">
        <v>7000</v>
      </c>
      <c r="AP106" s="21">
        <v>3</v>
      </c>
      <c r="AQ106" s="21"/>
      <c r="AR106" s="21"/>
      <c r="AS106" s="21"/>
      <c r="AT106" s="21"/>
      <c r="AU106" s="8" t="s">
        <v>175</v>
      </c>
      <c r="AV106" t="s">
        <v>599</v>
      </c>
      <c r="AW106" t="b">
        <f>AND(ckAwdTable[[#This Row],[ILN]]&gt;"M", SUBSTITUTE(ckAwdTable[[#This Row],[prop_titl_txt]]," ","")&lt;&gt;SUBSTITUTE(AV105," ",""))</f>
        <v>0</v>
      </c>
      <c r="AX106" s="8" t="s">
        <v>597</v>
      </c>
      <c r="BB106"/>
      <c r="BC106"/>
      <c r="BD106"/>
      <c r="BI106" s="1"/>
      <c r="BL106"/>
      <c r="BM106" s="13"/>
      <c r="BP106"/>
    </row>
  </sheetData>
  <conditionalFormatting sqref="X2:AH106 AU2:AU106">
    <cfRule type="expression" dxfId="10" priority="3">
      <formula>AND($N2="N", TRIM(X2)&lt;&gt;TRIM(X1))</formula>
    </cfRule>
  </conditionalFormatting>
  <conditionalFormatting sqref="A2:AX106">
    <cfRule type="expression" dxfId="9" priority="1925">
      <formula>MOD($M2,2)</formula>
    </cfRule>
  </conditionalFormatting>
  <conditionalFormatting sqref="AV2:AV106">
    <cfRule type="expression" dxfId="8" priority="2">
      <formula>$AW2</formula>
    </cfRule>
  </conditionalFormatting>
  <conditionalFormatting sqref="C2:K106">
    <cfRule type="expression" dxfId="7" priority="1">
      <formula>AND($N2="N",C2&lt;&gt;C1)</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73"/>
  <sheetViews>
    <sheetView workbookViewId="0"/>
  </sheetViews>
  <sheetFormatPr defaultRowHeight="14.6" x14ac:dyDescent="0.4"/>
  <cols>
    <col min="1" max="2" width="8.69140625" style="30" customWidth="1"/>
    <col min="3" max="3" width="12.3828125" customWidth="1"/>
    <col min="4" max="4" width="12.07421875" style="30" customWidth="1"/>
    <col min="5" max="5" width="5.3828125" style="30" customWidth="1"/>
    <col min="6" max="6" width="5.23046875" style="30" customWidth="1"/>
    <col min="7" max="7" width="8.84375" style="30" bestFit="1" customWidth="1"/>
    <col min="8" max="8" width="8.84375" bestFit="1" customWidth="1"/>
    <col min="9" max="9" width="5.3046875" customWidth="1"/>
    <col min="10" max="10" width="5.61328125" customWidth="1"/>
    <col min="11" max="12" width="9.3046875" bestFit="1" customWidth="1"/>
    <col min="13" max="13" width="6.3046875" style="22" customWidth="1"/>
    <col min="14" max="14" width="5.921875" style="39" customWidth="1"/>
    <col min="15" max="16" width="6.07421875" customWidth="1"/>
    <col min="17" max="17" width="3.3828125" customWidth="1"/>
    <col min="18" max="18" width="11.4609375" customWidth="1"/>
    <col min="19" max="19" width="4.4609375" style="21" customWidth="1"/>
    <col min="20" max="20" width="2.3046875" customWidth="1"/>
    <col min="21" max="21" width="7.84375" customWidth="1"/>
    <col min="22" max="22" width="3.07421875" customWidth="1"/>
    <col min="23" max="23" width="4.3046875" customWidth="1"/>
    <col min="24" max="24" width="9.53515625" bestFit="1" customWidth="1"/>
    <col min="25" max="25" width="10.84375" customWidth="1"/>
    <col min="26" max="26" width="10.07421875" customWidth="1"/>
    <col min="27" max="27" width="22.69140625" customWidth="1"/>
    <col min="28" max="28" width="9.3046875" customWidth="1"/>
    <col min="29" max="29" width="14.3046875" hidden="1" customWidth="1"/>
    <col min="30" max="30" width="18.15234375" bestFit="1" customWidth="1"/>
    <col min="31" max="31" width="18.61328125" bestFit="1" customWidth="1"/>
    <col min="32" max="32" width="9.15234375" bestFit="1" customWidth="1"/>
    <col min="33" max="33" width="23.61328125" bestFit="1" customWidth="1"/>
    <col min="34" max="34" width="80.61328125" bestFit="1" customWidth="1"/>
    <col min="35" max="36" width="11.84375" customWidth="1"/>
    <col min="37" max="37" width="22.53515625" style="21" customWidth="1"/>
    <col min="38" max="38" width="15.61328125" style="83" customWidth="1"/>
    <col min="39" max="39" width="15.15234375" style="83" customWidth="1"/>
    <col min="40" max="41" width="11.15234375" style="83" customWidth="1"/>
    <col min="42" max="42" width="9.61328125" style="83" customWidth="1"/>
    <col min="43" max="43" width="9.613281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29.6" customHeight="1" x14ac:dyDescent="0.4">
      <c r="A1" s="30" t="s">
        <v>87</v>
      </c>
      <c r="B1" s="30" t="s">
        <v>7</v>
      </c>
      <c r="C1" t="s">
        <v>17</v>
      </c>
      <c r="D1" s="14" t="s">
        <v>8</v>
      </c>
      <c r="E1" t="s">
        <v>2146</v>
      </c>
      <c r="F1" t="s">
        <v>2147</v>
      </c>
      <c r="G1" t="s">
        <v>950</v>
      </c>
      <c r="H1" t="s">
        <v>951</v>
      </c>
      <c r="I1" t="s">
        <v>952</v>
      </c>
      <c r="J1" t="s">
        <v>953</v>
      </c>
      <c r="K1" t="s">
        <v>954</v>
      </c>
      <c r="L1" t="s">
        <v>955</v>
      </c>
      <c r="M1" t="s">
        <v>168</v>
      </c>
      <c r="N1" t="s">
        <v>166</v>
      </c>
      <c r="O1" t="s">
        <v>956</v>
      </c>
      <c r="P1" s="21" t="s">
        <v>958</v>
      </c>
      <c r="Q1" t="s">
        <v>959</v>
      </c>
      <c r="R1" s="32" t="s">
        <v>960</v>
      </c>
      <c r="S1" s="21" t="s">
        <v>102</v>
      </c>
      <c r="T1" t="s">
        <v>88</v>
      </c>
      <c r="U1" t="s">
        <v>9</v>
      </c>
      <c r="V1" t="s">
        <v>1</v>
      </c>
      <c r="W1" t="s">
        <v>146</v>
      </c>
      <c r="X1" t="s">
        <v>0</v>
      </c>
      <c r="Y1" t="s">
        <v>10</v>
      </c>
      <c r="Z1" t="s">
        <v>18</v>
      </c>
      <c r="AA1" t="s">
        <v>385</v>
      </c>
      <c r="AB1" s="14" t="s">
        <v>2164</v>
      </c>
      <c r="AC1" t="s">
        <v>148</v>
      </c>
      <c r="AD1" t="s">
        <v>386</v>
      </c>
      <c r="AE1" t="s">
        <v>961</v>
      </c>
      <c r="AF1" t="s">
        <v>957</v>
      </c>
      <c r="AG1" t="s">
        <v>169</v>
      </c>
      <c r="AH1" t="s">
        <v>36</v>
      </c>
      <c r="AK1" s="89" t="s">
        <v>2167</v>
      </c>
      <c r="AL1"/>
      <c r="AM1" s="89" t="s">
        <v>2165</v>
      </c>
      <c r="AN1"/>
      <c r="AO1"/>
      <c r="AP1"/>
      <c r="AQ1"/>
      <c r="AR1"/>
      <c r="AS1"/>
      <c r="AT1"/>
      <c r="AU1"/>
      <c r="AZ1"/>
      <c r="BB1"/>
      <c r="BC1"/>
      <c r="BO1"/>
      <c r="BS1"/>
    </row>
    <row r="2" spans="1:71" x14ac:dyDescent="0.4">
      <c r="A2" s="30">
        <v>42815.626736111109</v>
      </c>
      <c r="B2" s="30">
        <v>42570.777777777781</v>
      </c>
      <c r="C2" t="s">
        <v>974</v>
      </c>
      <c r="D2" t="s">
        <v>975</v>
      </c>
      <c r="E2" s="8" t="s">
        <v>94</v>
      </c>
      <c r="F2" s="8" t="s">
        <v>94</v>
      </c>
      <c r="G2" t="s">
        <v>222</v>
      </c>
      <c r="H2" t="s">
        <v>222</v>
      </c>
      <c r="I2" t="s">
        <v>405</v>
      </c>
      <c r="J2" t="s">
        <v>405</v>
      </c>
      <c r="K2" t="s">
        <v>451</v>
      </c>
      <c r="L2" t="s">
        <v>451</v>
      </c>
      <c r="M2" t="s">
        <v>992</v>
      </c>
      <c r="N2" s="8" t="s">
        <v>172</v>
      </c>
      <c r="O2" s="8" t="s">
        <v>2135</v>
      </c>
      <c r="P2" s="21">
        <v>2017</v>
      </c>
      <c r="Q2" s="8" t="s">
        <v>2148</v>
      </c>
      <c r="R2" s="32">
        <v>179656</v>
      </c>
      <c r="S2" s="21">
        <f t="shared" ref="S2:S33" si="0">S1+(X2&lt;&gt;X1)</f>
        <v>1</v>
      </c>
      <c r="T2" s="8" t="s">
        <v>96</v>
      </c>
      <c r="U2" s="8" t="s">
        <v>993</v>
      </c>
      <c r="V2" s="88" t="str">
        <f>HYPERLINK("https://www.ejacket.nsf.gov/ej/showProposal.do?ID="&amp;ckSplitTable[[#This Row],[prop_id]],"eJ")</f>
        <v>eJ</v>
      </c>
      <c r="W2" s="8" t="s">
        <v>224</v>
      </c>
      <c r="X2" s="8" t="s">
        <v>993</v>
      </c>
      <c r="Y2" s="8" t="s">
        <v>994</v>
      </c>
      <c r="Z2" s="8" t="s">
        <v>995</v>
      </c>
      <c r="AA2" s="8" t="s">
        <v>223</v>
      </c>
      <c r="AB2" s="88" t="str">
        <f>HYPERLINK("mailto:"&amp;ckSplitTable[[#This Row],[email]]&amp;"&amp;subject=Your NSF Proposal:  "&amp;ckSplitTable[[#This Row],[prop_id]],ckSplitTable[[#This Row],[email]])</f>
        <v>virgi@mit.edu</v>
      </c>
      <c r="AC2" s="8" t="s">
        <v>996</v>
      </c>
      <c r="AD2" s="8" t="s">
        <v>411</v>
      </c>
      <c r="AE2" s="8" t="s">
        <v>411</v>
      </c>
      <c r="AF2" s="8" t="s">
        <v>993</v>
      </c>
      <c r="AG2" s="8" t="s">
        <v>991</v>
      </c>
      <c r="AH2" s="8" t="s">
        <v>998</v>
      </c>
      <c r="AK2" s="89" t="s">
        <v>2168</v>
      </c>
      <c r="AL2" s="89" t="s">
        <v>10</v>
      </c>
      <c r="AM2">
        <v>2017</v>
      </c>
      <c r="AN2">
        <v>2018</v>
      </c>
      <c r="AO2">
        <v>2019</v>
      </c>
      <c r="AP2">
        <v>2020</v>
      </c>
      <c r="AQ2">
        <v>2021</v>
      </c>
      <c r="AR2" t="s">
        <v>2166</v>
      </c>
      <c r="AS2"/>
      <c r="AT2"/>
      <c r="AU2"/>
      <c r="AZ2"/>
      <c r="BB2"/>
      <c r="BC2"/>
      <c r="BO2"/>
      <c r="BS2"/>
    </row>
    <row r="3" spans="1:71" x14ac:dyDescent="0.4">
      <c r="A3" s="30">
        <v>42815.626736111109</v>
      </c>
      <c r="B3" s="30">
        <v>42570.777777777781</v>
      </c>
      <c r="C3" t="s">
        <v>974</v>
      </c>
      <c r="D3" t="s">
        <v>975</v>
      </c>
      <c r="E3" s="8" t="s">
        <v>94</v>
      </c>
      <c r="F3" s="8" t="s">
        <v>94</v>
      </c>
      <c r="G3" t="s">
        <v>222</v>
      </c>
      <c r="H3" t="s">
        <v>222</v>
      </c>
      <c r="I3" t="s">
        <v>405</v>
      </c>
      <c r="J3" t="s">
        <v>405</v>
      </c>
      <c r="K3" t="s">
        <v>451</v>
      </c>
      <c r="L3" t="s">
        <v>451</v>
      </c>
      <c r="M3" t="s">
        <v>992</v>
      </c>
      <c r="N3" s="8" t="s">
        <v>172</v>
      </c>
      <c r="O3" s="8" t="s">
        <v>2135</v>
      </c>
      <c r="P3" s="21">
        <v>2019</v>
      </c>
      <c r="Q3" s="8" t="s">
        <v>2148</v>
      </c>
      <c r="R3" s="32">
        <v>71041</v>
      </c>
      <c r="S3" s="21">
        <f t="shared" si="0"/>
        <v>1</v>
      </c>
      <c r="T3" s="8" t="s">
        <v>96</v>
      </c>
      <c r="U3" s="8" t="s">
        <v>993</v>
      </c>
      <c r="V3" s="88" t="str">
        <f>HYPERLINK("https://www.ejacket.nsf.gov/ej/showProposal.do?ID="&amp;ckSplitTable[[#This Row],[prop_id]],"eJ")</f>
        <v>eJ</v>
      </c>
      <c r="W3" s="8" t="s">
        <v>224</v>
      </c>
      <c r="X3" s="8" t="s">
        <v>993</v>
      </c>
      <c r="Y3" s="8" t="s">
        <v>994</v>
      </c>
      <c r="Z3" s="8" t="s">
        <v>995</v>
      </c>
      <c r="AA3" s="8" t="s">
        <v>223</v>
      </c>
      <c r="AB3" s="88" t="str">
        <f>HYPERLINK("mailto:"&amp;ckSplitTable[[#This Row],[email]]&amp;"&amp;subject=Your NSF Proposal:  "&amp;ckSplitTable[[#This Row],[prop_id]],ckSplitTable[[#This Row],[email]])</f>
        <v>virgi@mit.edu</v>
      </c>
      <c r="AC3" s="8" t="s">
        <v>996</v>
      </c>
      <c r="AD3" s="8" t="s">
        <v>411</v>
      </c>
      <c r="AE3" s="8" t="s">
        <v>411</v>
      </c>
      <c r="AF3" s="8" t="s">
        <v>993</v>
      </c>
      <c r="AG3" s="8" t="s">
        <v>991</v>
      </c>
      <c r="AH3" s="8" t="s">
        <v>998</v>
      </c>
      <c r="AK3" s="25" t="s">
        <v>993</v>
      </c>
      <c r="AL3" s="25" t="s">
        <v>994</v>
      </c>
      <c r="AM3" s="31"/>
      <c r="AN3" s="31"/>
      <c r="AO3" s="31"/>
      <c r="AP3" s="31"/>
      <c r="AQ3" s="31"/>
      <c r="AR3" s="31"/>
      <c r="AS3"/>
      <c r="AT3"/>
      <c r="AU3"/>
      <c r="AZ3"/>
      <c r="BB3"/>
      <c r="BC3"/>
      <c r="BO3"/>
      <c r="BS3"/>
    </row>
    <row r="4" spans="1:71" x14ac:dyDescent="0.4">
      <c r="A4" s="30">
        <v>42815.626736111109</v>
      </c>
      <c r="B4" s="30">
        <v>42570.777777777781</v>
      </c>
      <c r="C4" t="s">
        <v>974</v>
      </c>
      <c r="D4" t="s">
        <v>975</v>
      </c>
      <c r="E4" s="8" t="s">
        <v>94</v>
      </c>
      <c r="F4" s="8" t="s">
        <v>94</v>
      </c>
      <c r="G4" t="s">
        <v>222</v>
      </c>
      <c r="H4" t="s">
        <v>222</v>
      </c>
      <c r="I4" t="s">
        <v>405</v>
      </c>
      <c r="J4" t="s">
        <v>405</v>
      </c>
      <c r="K4" t="s">
        <v>451</v>
      </c>
      <c r="L4" t="s">
        <v>451</v>
      </c>
      <c r="M4" t="s">
        <v>992</v>
      </c>
      <c r="N4" s="8" t="s">
        <v>172</v>
      </c>
      <c r="O4" s="8" t="s">
        <v>2135</v>
      </c>
      <c r="P4" s="21">
        <v>2020</v>
      </c>
      <c r="Q4" s="8" t="s">
        <v>2148</v>
      </c>
      <c r="R4" s="32">
        <v>73514</v>
      </c>
      <c r="S4" s="21">
        <f t="shared" si="0"/>
        <v>1</v>
      </c>
      <c r="T4" s="8" t="s">
        <v>96</v>
      </c>
      <c r="U4" s="8" t="s">
        <v>993</v>
      </c>
      <c r="V4" s="88" t="str">
        <f>HYPERLINK("https://www.ejacket.nsf.gov/ej/showProposal.do?ID="&amp;ckSplitTable[[#This Row],[prop_id]],"eJ")</f>
        <v>eJ</v>
      </c>
      <c r="W4" s="8" t="s">
        <v>224</v>
      </c>
      <c r="X4" s="8" t="s">
        <v>993</v>
      </c>
      <c r="Y4" s="8" t="s">
        <v>994</v>
      </c>
      <c r="Z4" s="8" t="s">
        <v>995</v>
      </c>
      <c r="AA4" s="8" t="s">
        <v>223</v>
      </c>
      <c r="AB4" s="88" t="str">
        <f>HYPERLINK("mailto:"&amp;ckSplitTable[[#This Row],[email]]&amp;"&amp;subject=Your NSF Proposal:  "&amp;ckSplitTable[[#This Row],[prop_id]],ckSplitTable[[#This Row],[email]])</f>
        <v>virgi@mit.edu</v>
      </c>
      <c r="AC4" s="8" t="s">
        <v>996</v>
      </c>
      <c r="AD4" s="8" t="s">
        <v>411</v>
      </c>
      <c r="AE4" s="8" t="s">
        <v>411</v>
      </c>
      <c r="AF4" s="8" t="s">
        <v>993</v>
      </c>
      <c r="AG4" s="8" t="s">
        <v>991</v>
      </c>
      <c r="AH4" s="8" t="s">
        <v>998</v>
      </c>
      <c r="AK4"/>
      <c r="AL4" s="90" t="s">
        <v>405</v>
      </c>
      <c r="AM4" s="31">
        <v>179656</v>
      </c>
      <c r="AN4" s="31"/>
      <c r="AO4" s="31">
        <v>71041</v>
      </c>
      <c r="AP4" s="31">
        <v>73514</v>
      </c>
      <c r="AQ4" s="31">
        <v>75789</v>
      </c>
      <c r="AR4" s="31">
        <v>400000</v>
      </c>
      <c r="AS4"/>
      <c r="AT4"/>
      <c r="AU4"/>
      <c r="AZ4"/>
      <c r="BB4"/>
      <c r="BC4"/>
      <c r="BO4"/>
      <c r="BS4"/>
    </row>
    <row r="5" spans="1:71" x14ac:dyDescent="0.4">
      <c r="A5" s="30">
        <v>42815.626736111109</v>
      </c>
      <c r="B5" s="30">
        <v>42570.777777777781</v>
      </c>
      <c r="C5" t="s">
        <v>974</v>
      </c>
      <c r="D5" t="s">
        <v>975</v>
      </c>
      <c r="E5" s="8" t="s">
        <v>94</v>
      </c>
      <c r="F5" s="8" t="s">
        <v>94</v>
      </c>
      <c r="G5" t="s">
        <v>222</v>
      </c>
      <c r="H5" t="s">
        <v>222</v>
      </c>
      <c r="I5" t="s">
        <v>405</v>
      </c>
      <c r="J5" t="s">
        <v>405</v>
      </c>
      <c r="K5" t="s">
        <v>451</v>
      </c>
      <c r="L5" t="s">
        <v>451</v>
      </c>
      <c r="M5" t="s">
        <v>992</v>
      </c>
      <c r="N5" s="8" t="s">
        <v>172</v>
      </c>
      <c r="O5" s="8" t="s">
        <v>2135</v>
      </c>
      <c r="P5" s="21">
        <v>2021</v>
      </c>
      <c r="Q5" s="8" t="s">
        <v>2148</v>
      </c>
      <c r="R5" s="32">
        <v>75789</v>
      </c>
      <c r="S5" s="21">
        <f t="shared" si="0"/>
        <v>1</v>
      </c>
      <c r="T5" s="8" t="s">
        <v>96</v>
      </c>
      <c r="U5" s="8" t="s">
        <v>993</v>
      </c>
      <c r="V5" s="88" t="str">
        <f>HYPERLINK("https://www.ejacket.nsf.gov/ej/showProposal.do?ID="&amp;ckSplitTable[[#This Row],[prop_id]],"eJ")</f>
        <v>eJ</v>
      </c>
      <c r="W5" s="8" t="s">
        <v>224</v>
      </c>
      <c r="X5" s="8" t="s">
        <v>993</v>
      </c>
      <c r="Y5" s="8" t="s">
        <v>994</v>
      </c>
      <c r="Z5" s="8" t="s">
        <v>995</v>
      </c>
      <c r="AA5" s="8" t="s">
        <v>223</v>
      </c>
      <c r="AB5" s="88" t="str">
        <f>HYPERLINK("mailto:"&amp;ckSplitTable[[#This Row],[email]]&amp;"&amp;subject=Your NSF Proposal:  "&amp;ckSplitTable[[#This Row],[prop_id]],ckSplitTable[[#This Row],[email]])</f>
        <v>virgi@mit.edu</v>
      </c>
      <c r="AC5" s="8" t="s">
        <v>996</v>
      </c>
      <c r="AD5" s="8" t="s">
        <v>411</v>
      </c>
      <c r="AE5" s="8" t="s">
        <v>411</v>
      </c>
      <c r="AF5" s="8" t="s">
        <v>993</v>
      </c>
      <c r="AG5" s="8" t="s">
        <v>991</v>
      </c>
      <c r="AH5" s="8" t="s">
        <v>998</v>
      </c>
      <c r="AK5" s="25" t="s">
        <v>999</v>
      </c>
      <c r="AL5" s="25" t="s">
        <v>1000</v>
      </c>
      <c r="AM5" s="31"/>
      <c r="AN5" s="31"/>
      <c r="AO5" s="31"/>
      <c r="AP5" s="31"/>
      <c r="AQ5" s="31"/>
      <c r="AR5" s="31"/>
      <c r="AS5"/>
      <c r="AT5"/>
      <c r="AU5"/>
      <c r="AZ5"/>
      <c r="BB5"/>
      <c r="BC5"/>
      <c r="BO5"/>
      <c r="BS5"/>
    </row>
    <row r="6" spans="1:71" x14ac:dyDescent="0.4">
      <c r="A6" s="30">
        <v>42724.509884259256</v>
      </c>
      <c r="B6" s="30">
        <v>42570.840277777781</v>
      </c>
      <c r="C6" t="s">
        <v>974</v>
      </c>
      <c r="D6" t="s">
        <v>975</v>
      </c>
      <c r="E6" s="8" t="s">
        <v>94</v>
      </c>
      <c r="F6" s="8" t="s">
        <v>94</v>
      </c>
      <c r="G6" t="s">
        <v>222</v>
      </c>
      <c r="H6" t="s">
        <v>222</v>
      </c>
      <c r="I6" t="s">
        <v>405</v>
      </c>
      <c r="J6" t="s">
        <v>405</v>
      </c>
      <c r="K6" t="s">
        <v>422</v>
      </c>
      <c r="L6" t="s">
        <v>422</v>
      </c>
      <c r="M6" t="s">
        <v>992</v>
      </c>
      <c r="N6" s="8" t="s">
        <v>172</v>
      </c>
      <c r="O6" s="8" t="s">
        <v>2135</v>
      </c>
      <c r="P6" s="21">
        <v>2017</v>
      </c>
      <c r="Q6" s="8" t="s">
        <v>2148</v>
      </c>
      <c r="R6" s="32">
        <v>178293</v>
      </c>
      <c r="S6" s="21">
        <f t="shared" si="0"/>
        <v>2</v>
      </c>
      <c r="T6" s="8" t="s">
        <v>96</v>
      </c>
      <c r="U6" s="8" t="s">
        <v>999</v>
      </c>
      <c r="V6" s="88" t="str">
        <f>HYPERLINK("https://www.ejacket.nsf.gov/ej/showProposal.do?ID="&amp;ckSplitTable[[#This Row],[prop_id]],"eJ")</f>
        <v>eJ</v>
      </c>
      <c r="W6" s="8" t="s">
        <v>224</v>
      </c>
      <c r="X6" s="8" t="s">
        <v>999</v>
      </c>
      <c r="Y6" s="8" t="s">
        <v>1000</v>
      </c>
      <c r="Z6" s="8" t="s">
        <v>1001</v>
      </c>
      <c r="AA6" s="8" t="s">
        <v>258</v>
      </c>
      <c r="AB6" s="88" t="str">
        <f>HYPERLINK("mailto:"&amp;ckSplitTable[[#This Row],[email]]&amp;"&amp;subject=Your NSF Proposal:  "&amp;ckSplitTable[[#This Row],[prop_id]],ckSplitTable[[#This Row],[email]])</f>
        <v>rothvoss@uw.edu</v>
      </c>
      <c r="AC6" s="8" t="s">
        <v>1002</v>
      </c>
      <c r="AD6" s="8" t="s">
        <v>411</v>
      </c>
      <c r="AE6" s="8" t="s">
        <v>411</v>
      </c>
      <c r="AF6" s="8" t="s">
        <v>999</v>
      </c>
      <c r="AG6" s="8" t="s">
        <v>991</v>
      </c>
      <c r="AH6" s="8" t="s">
        <v>1004</v>
      </c>
      <c r="AK6"/>
      <c r="AL6" s="90" t="s">
        <v>405</v>
      </c>
      <c r="AM6" s="31">
        <v>178293</v>
      </c>
      <c r="AN6" s="31"/>
      <c r="AO6" s="31">
        <v>111530</v>
      </c>
      <c r="AP6" s="31">
        <v>114613</v>
      </c>
      <c r="AQ6" s="31">
        <v>117803</v>
      </c>
      <c r="AR6" s="31">
        <v>522239</v>
      </c>
      <c r="AS6"/>
      <c r="AT6"/>
      <c r="AU6"/>
      <c r="AZ6"/>
      <c r="BB6"/>
      <c r="BC6"/>
      <c r="BO6"/>
      <c r="BS6"/>
    </row>
    <row r="7" spans="1:71" x14ac:dyDescent="0.4">
      <c r="A7" s="30">
        <v>42724.509884259256</v>
      </c>
      <c r="B7" s="30">
        <v>42570.840277777781</v>
      </c>
      <c r="C7" t="s">
        <v>974</v>
      </c>
      <c r="D7" t="s">
        <v>975</v>
      </c>
      <c r="E7" s="8" t="s">
        <v>94</v>
      </c>
      <c r="F7" s="8" t="s">
        <v>94</v>
      </c>
      <c r="G7" t="s">
        <v>222</v>
      </c>
      <c r="H7" t="s">
        <v>222</v>
      </c>
      <c r="I7" t="s">
        <v>405</v>
      </c>
      <c r="J7" t="s">
        <v>405</v>
      </c>
      <c r="K7" t="s">
        <v>422</v>
      </c>
      <c r="L7" t="s">
        <v>422</v>
      </c>
      <c r="M7" t="s">
        <v>992</v>
      </c>
      <c r="N7" s="8" t="s">
        <v>172</v>
      </c>
      <c r="O7" s="8" t="s">
        <v>2135</v>
      </c>
      <c r="P7" s="21">
        <v>2019</v>
      </c>
      <c r="Q7" s="8" t="s">
        <v>2148</v>
      </c>
      <c r="R7" s="32">
        <v>111530</v>
      </c>
      <c r="S7" s="21">
        <f t="shared" si="0"/>
        <v>2</v>
      </c>
      <c r="T7" s="8" t="s">
        <v>96</v>
      </c>
      <c r="U7" s="8" t="s">
        <v>999</v>
      </c>
      <c r="V7" s="88" t="str">
        <f>HYPERLINK("https://www.ejacket.nsf.gov/ej/showProposal.do?ID="&amp;ckSplitTable[[#This Row],[prop_id]],"eJ")</f>
        <v>eJ</v>
      </c>
      <c r="W7" s="8" t="s">
        <v>224</v>
      </c>
      <c r="X7" s="8" t="s">
        <v>999</v>
      </c>
      <c r="Y7" s="8" t="s">
        <v>1000</v>
      </c>
      <c r="Z7" s="8" t="s">
        <v>1001</v>
      </c>
      <c r="AA7" s="8" t="s">
        <v>258</v>
      </c>
      <c r="AB7" s="88" t="str">
        <f>HYPERLINK("mailto:"&amp;ckSplitTable[[#This Row],[email]]&amp;"&amp;subject=Your NSF Proposal:  "&amp;ckSplitTable[[#This Row],[prop_id]],ckSplitTable[[#This Row],[email]])</f>
        <v>rothvoss@uw.edu</v>
      </c>
      <c r="AC7" s="8" t="s">
        <v>1002</v>
      </c>
      <c r="AD7" s="8" t="s">
        <v>411</v>
      </c>
      <c r="AE7" s="8" t="s">
        <v>411</v>
      </c>
      <c r="AF7" s="8" t="s">
        <v>999</v>
      </c>
      <c r="AG7" s="8" t="s">
        <v>991</v>
      </c>
      <c r="AH7" s="8" t="s">
        <v>1004</v>
      </c>
      <c r="AK7" s="25" t="s">
        <v>1049</v>
      </c>
      <c r="AL7" s="25" t="s">
        <v>1050</v>
      </c>
      <c r="AM7" s="31"/>
      <c r="AN7" s="31"/>
      <c r="AO7" s="31"/>
      <c r="AP7" s="31"/>
      <c r="AQ7" s="31"/>
      <c r="AR7" s="31"/>
      <c r="AS7"/>
      <c r="AT7"/>
      <c r="AU7"/>
      <c r="AZ7"/>
      <c r="BB7"/>
      <c r="BC7"/>
      <c r="BO7"/>
      <c r="BS7"/>
    </row>
    <row r="8" spans="1:71" x14ac:dyDescent="0.4">
      <c r="A8" s="30">
        <v>42724.509884259256</v>
      </c>
      <c r="B8" s="30">
        <v>42570.840277777781</v>
      </c>
      <c r="C8" t="s">
        <v>974</v>
      </c>
      <c r="D8" t="s">
        <v>975</v>
      </c>
      <c r="E8" s="8" t="s">
        <v>94</v>
      </c>
      <c r="F8" s="8" t="s">
        <v>94</v>
      </c>
      <c r="G8" t="s">
        <v>222</v>
      </c>
      <c r="H8" t="s">
        <v>222</v>
      </c>
      <c r="I8" t="s">
        <v>405</v>
      </c>
      <c r="J8" t="s">
        <v>405</v>
      </c>
      <c r="K8" t="s">
        <v>422</v>
      </c>
      <c r="L8" t="s">
        <v>422</v>
      </c>
      <c r="M8" t="s">
        <v>992</v>
      </c>
      <c r="N8" s="8" t="s">
        <v>172</v>
      </c>
      <c r="O8" s="8" t="s">
        <v>2135</v>
      </c>
      <c r="P8" s="21">
        <v>2020</v>
      </c>
      <c r="Q8" s="8" t="s">
        <v>2148</v>
      </c>
      <c r="R8" s="32">
        <v>114613</v>
      </c>
      <c r="S8" s="21">
        <f t="shared" si="0"/>
        <v>2</v>
      </c>
      <c r="T8" s="8" t="s">
        <v>96</v>
      </c>
      <c r="U8" s="8" t="s">
        <v>999</v>
      </c>
      <c r="V8" s="88" t="str">
        <f>HYPERLINK("https://www.ejacket.nsf.gov/ej/showProposal.do?ID="&amp;ckSplitTable[[#This Row],[prop_id]],"eJ")</f>
        <v>eJ</v>
      </c>
      <c r="W8" s="8" t="s">
        <v>224</v>
      </c>
      <c r="X8" s="8" t="s">
        <v>999</v>
      </c>
      <c r="Y8" s="8" t="s">
        <v>1000</v>
      </c>
      <c r="Z8" s="8" t="s">
        <v>1001</v>
      </c>
      <c r="AA8" s="8" t="s">
        <v>258</v>
      </c>
      <c r="AB8" s="88" t="str">
        <f>HYPERLINK("mailto:"&amp;ckSplitTable[[#This Row],[email]]&amp;"&amp;subject=Your NSF Proposal:  "&amp;ckSplitTable[[#This Row],[prop_id]],ckSplitTable[[#This Row],[email]])</f>
        <v>rothvoss@uw.edu</v>
      </c>
      <c r="AC8" s="8" t="s">
        <v>1002</v>
      </c>
      <c r="AD8" s="8" t="s">
        <v>411</v>
      </c>
      <c r="AE8" s="8" t="s">
        <v>411</v>
      </c>
      <c r="AF8" s="8" t="s">
        <v>999</v>
      </c>
      <c r="AG8" s="8" t="s">
        <v>991</v>
      </c>
      <c r="AH8" s="8" t="s">
        <v>1004</v>
      </c>
      <c r="AK8"/>
      <c r="AL8" s="90" t="s">
        <v>405</v>
      </c>
      <c r="AM8" s="31">
        <v>223632</v>
      </c>
      <c r="AN8" s="31"/>
      <c r="AO8" s="31">
        <v>118221</v>
      </c>
      <c r="AP8" s="31">
        <v>117257</v>
      </c>
      <c r="AQ8" s="31">
        <v>52319</v>
      </c>
      <c r="AR8" s="31">
        <v>511429</v>
      </c>
      <c r="AS8"/>
      <c r="AT8"/>
      <c r="AU8"/>
      <c r="AZ8"/>
      <c r="BB8"/>
      <c r="BC8"/>
      <c r="BO8"/>
      <c r="BS8"/>
    </row>
    <row r="9" spans="1:71" x14ac:dyDescent="0.4">
      <c r="A9" s="30">
        <v>42724.509884259256</v>
      </c>
      <c r="B9" s="30">
        <v>42570.840277777781</v>
      </c>
      <c r="C9" t="s">
        <v>974</v>
      </c>
      <c r="D9" t="s">
        <v>975</v>
      </c>
      <c r="E9" s="8" t="s">
        <v>94</v>
      </c>
      <c r="F9" s="8" t="s">
        <v>94</v>
      </c>
      <c r="G9" t="s">
        <v>222</v>
      </c>
      <c r="H9" t="s">
        <v>222</v>
      </c>
      <c r="I9" t="s">
        <v>405</v>
      </c>
      <c r="J9" t="s">
        <v>405</v>
      </c>
      <c r="K9" t="s">
        <v>422</v>
      </c>
      <c r="L9" t="s">
        <v>422</v>
      </c>
      <c r="M9" t="s">
        <v>992</v>
      </c>
      <c r="N9" s="8" t="s">
        <v>172</v>
      </c>
      <c r="O9" s="8" t="s">
        <v>2135</v>
      </c>
      <c r="P9" s="21">
        <v>2021</v>
      </c>
      <c r="Q9" s="8" t="s">
        <v>2148</v>
      </c>
      <c r="R9" s="32">
        <v>117803</v>
      </c>
      <c r="S9" s="21">
        <f t="shared" si="0"/>
        <v>2</v>
      </c>
      <c r="T9" s="8" t="s">
        <v>96</v>
      </c>
      <c r="U9" s="8" t="s">
        <v>999</v>
      </c>
      <c r="V9" s="88" t="str">
        <f>HYPERLINK("https://www.ejacket.nsf.gov/ej/showProposal.do?ID="&amp;ckSplitTable[[#This Row],[prop_id]],"eJ")</f>
        <v>eJ</v>
      </c>
      <c r="W9" s="8" t="s">
        <v>224</v>
      </c>
      <c r="X9" s="8" t="s">
        <v>999</v>
      </c>
      <c r="Y9" s="8" t="s">
        <v>1000</v>
      </c>
      <c r="Z9" s="8" t="s">
        <v>1001</v>
      </c>
      <c r="AA9" s="8" t="s">
        <v>258</v>
      </c>
      <c r="AB9" s="88" t="str">
        <f>HYPERLINK("mailto:"&amp;ckSplitTable[[#This Row],[email]]&amp;"&amp;subject=Your NSF Proposal:  "&amp;ckSplitTable[[#This Row],[prop_id]],ckSplitTable[[#This Row],[email]])</f>
        <v>rothvoss@uw.edu</v>
      </c>
      <c r="AC9" s="8" t="s">
        <v>1002</v>
      </c>
      <c r="AD9" s="8" t="s">
        <v>411</v>
      </c>
      <c r="AE9" s="8" t="s">
        <v>411</v>
      </c>
      <c r="AF9" s="8" t="s">
        <v>999</v>
      </c>
      <c r="AG9" s="8" t="s">
        <v>991</v>
      </c>
      <c r="AH9" s="8" t="s">
        <v>1004</v>
      </c>
      <c r="AK9" s="25" t="s">
        <v>1066</v>
      </c>
      <c r="AL9" s="25" t="s">
        <v>1067</v>
      </c>
      <c r="AM9" s="31"/>
      <c r="AN9" s="31"/>
      <c r="AO9" s="31"/>
      <c r="AP9" s="31"/>
      <c r="AQ9" s="31"/>
      <c r="AR9" s="31"/>
      <c r="AS9"/>
      <c r="AT9"/>
      <c r="AU9"/>
      <c r="AZ9"/>
      <c r="BB9"/>
      <c r="BC9"/>
      <c r="BO9"/>
      <c r="BS9"/>
    </row>
    <row r="10" spans="1:71" x14ac:dyDescent="0.4">
      <c r="A10" s="30">
        <v>42740.404988425929</v>
      </c>
      <c r="B10" s="30">
        <v>42571.563888888886</v>
      </c>
      <c r="C10" t="s">
        <v>974</v>
      </c>
      <c r="D10" t="s">
        <v>975</v>
      </c>
      <c r="E10" s="8" t="s">
        <v>94</v>
      </c>
      <c r="F10" s="8" t="s">
        <v>94</v>
      </c>
      <c r="G10" t="s">
        <v>222</v>
      </c>
      <c r="H10" t="s">
        <v>222</v>
      </c>
      <c r="I10" t="s">
        <v>405</v>
      </c>
      <c r="J10" t="s">
        <v>405</v>
      </c>
      <c r="K10" t="s">
        <v>406</v>
      </c>
      <c r="L10" t="s">
        <v>406</v>
      </c>
      <c r="M10" t="s">
        <v>992</v>
      </c>
      <c r="N10" s="8" t="s">
        <v>172</v>
      </c>
      <c r="O10" s="8" t="s">
        <v>2135</v>
      </c>
      <c r="P10" s="21">
        <v>2017</v>
      </c>
      <c r="Q10" s="8" t="s">
        <v>2148</v>
      </c>
      <c r="R10" s="32">
        <v>223632</v>
      </c>
      <c r="S10" s="21">
        <f t="shared" si="0"/>
        <v>3</v>
      </c>
      <c r="T10" s="8" t="s">
        <v>96</v>
      </c>
      <c r="U10" s="8" t="s">
        <v>1049</v>
      </c>
      <c r="V10" s="88" t="str">
        <f>HYPERLINK("https://www.ejacket.nsf.gov/ej/showProposal.do?ID="&amp;ckSplitTable[[#This Row],[prop_id]],"eJ")</f>
        <v>eJ</v>
      </c>
      <c r="W10" s="8" t="s">
        <v>224</v>
      </c>
      <c r="X10" s="8" t="s">
        <v>1049</v>
      </c>
      <c r="Y10" s="8" t="s">
        <v>1050</v>
      </c>
      <c r="Z10" s="8" t="s">
        <v>1051</v>
      </c>
      <c r="AA10" s="8" t="s">
        <v>1052</v>
      </c>
      <c r="AB10" s="88" t="str">
        <f>HYPERLINK("mailto:"&amp;ckSplitTable[[#This Row],[email]]&amp;"&amp;subject=Your NSF Proposal:  "&amp;ckSplitTable[[#This Row],[prop_id]],ckSplitTable[[#This Row],[email]])</f>
        <v>donald@engr.uconn.edu</v>
      </c>
      <c r="AC10" s="8" t="s">
        <v>1054</v>
      </c>
      <c r="AD10" s="8" t="s">
        <v>419</v>
      </c>
      <c r="AE10" s="8" t="s">
        <v>419</v>
      </c>
      <c r="AF10" s="8" t="s">
        <v>1049</v>
      </c>
      <c r="AG10" s="8" t="s">
        <v>991</v>
      </c>
      <c r="AH10" s="8" t="s">
        <v>1056</v>
      </c>
      <c r="AK10"/>
      <c r="AL10" s="90" t="s">
        <v>405</v>
      </c>
      <c r="AM10" s="31">
        <v>106359</v>
      </c>
      <c r="AN10" s="31">
        <v>106836</v>
      </c>
      <c r="AO10" s="31">
        <v>109771</v>
      </c>
      <c r="AP10" s="31">
        <v>112792</v>
      </c>
      <c r="AQ10" s="31">
        <v>64242</v>
      </c>
      <c r="AR10" s="31">
        <v>500000</v>
      </c>
      <c r="AS10"/>
      <c r="AT10"/>
      <c r="AU10"/>
      <c r="AZ10"/>
      <c r="BB10"/>
      <c r="BC10"/>
      <c r="BO10"/>
      <c r="BS10"/>
    </row>
    <row r="11" spans="1:71" x14ac:dyDescent="0.4">
      <c r="A11" s="30">
        <v>42740.404988425929</v>
      </c>
      <c r="B11" s="30">
        <v>42571.563888888886</v>
      </c>
      <c r="C11" t="s">
        <v>974</v>
      </c>
      <c r="D11" t="s">
        <v>975</v>
      </c>
      <c r="E11" s="8" t="s">
        <v>94</v>
      </c>
      <c r="F11" s="8" t="s">
        <v>94</v>
      </c>
      <c r="G11" t="s">
        <v>222</v>
      </c>
      <c r="H11" t="s">
        <v>222</v>
      </c>
      <c r="I11" t="s">
        <v>405</v>
      </c>
      <c r="J11" t="s">
        <v>405</v>
      </c>
      <c r="K11" t="s">
        <v>406</v>
      </c>
      <c r="L11" t="s">
        <v>406</v>
      </c>
      <c r="M11" t="s">
        <v>992</v>
      </c>
      <c r="N11" s="8" t="s">
        <v>172</v>
      </c>
      <c r="O11" s="8" t="s">
        <v>2135</v>
      </c>
      <c r="P11" s="21">
        <v>2019</v>
      </c>
      <c r="Q11" s="8" t="s">
        <v>2148</v>
      </c>
      <c r="R11" s="32">
        <v>118221</v>
      </c>
      <c r="S11" s="21">
        <f t="shared" si="0"/>
        <v>3</v>
      </c>
      <c r="T11" s="8" t="s">
        <v>96</v>
      </c>
      <c r="U11" s="8" t="s">
        <v>1049</v>
      </c>
      <c r="V11" s="88" t="str">
        <f>HYPERLINK("https://www.ejacket.nsf.gov/ej/showProposal.do?ID="&amp;ckSplitTable[[#This Row],[prop_id]],"eJ")</f>
        <v>eJ</v>
      </c>
      <c r="W11" s="8" t="s">
        <v>224</v>
      </c>
      <c r="X11" s="8" t="s">
        <v>1049</v>
      </c>
      <c r="Y11" s="8" t="s">
        <v>1050</v>
      </c>
      <c r="Z11" s="8" t="s">
        <v>1051</v>
      </c>
      <c r="AA11" s="8" t="s">
        <v>1052</v>
      </c>
      <c r="AB11" s="88" t="str">
        <f>HYPERLINK("mailto:"&amp;ckSplitTable[[#This Row],[email]]&amp;"&amp;subject=Your NSF Proposal:  "&amp;ckSplitTable[[#This Row],[prop_id]],ckSplitTable[[#This Row],[email]])</f>
        <v>donald@engr.uconn.edu</v>
      </c>
      <c r="AC11" s="8" t="s">
        <v>1054</v>
      </c>
      <c r="AD11" s="8" t="s">
        <v>419</v>
      </c>
      <c r="AE11" s="8" t="s">
        <v>419</v>
      </c>
      <c r="AF11" s="8" t="s">
        <v>1049</v>
      </c>
      <c r="AG11" s="8" t="s">
        <v>991</v>
      </c>
      <c r="AH11" s="8" t="s">
        <v>1056</v>
      </c>
      <c r="AK11" s="25" t="s">
        <v>1072</v>
      </c>
      <c r="AL11" s="25" t="s">
        <v>1073</v>
      </c>
      <c r="AM11" s="31"/>
      <c r="AN11" s="31"/>
      <c r="AO11" s="31"/>
      <c r="AP11" s="31"/>
      <c r="AQ11" s="31"/>
      <c r="AR11" s="31"/>
      <c r="AS11"/>
      <c r="AT11"/>
      <c r="AU11"/>
      <c r="AZ11"/>
      <c r="BB11"/>
      <c r="BC11"/>
      <c r="BO11"/>
      <c r="BS11"/>
    </row>
    <row r="12" spans="1:71" x14ac:dyDescent="0.4">
      <c r="A12" s="30">
        <v>42740.404988425929</v>
      </c>
      <c r="B12" s="30">
        <v>42571.563888888886</v>
      </c>
      <c r="C12" t="s">
        <v>974</v>
      </c>
      <c r="D12" t="s">
        <v>975</v>
      </c>
      <c r="E12" s="8" t="s">
        <v>94</v>
      </c>
      <c r="F12" s="8" t="s">
        <v>94</v>
      </c>
      <c r="G12" t="s">
        <v>222</v>
      </c>
      <c r="H12" t="s">
        <v>222</v>
      </c>
      <c r="I12" t="s">
        <v>405</v>
      </c>
      <c r="J12" t="s">
        <v>405</v>
      </c>
      <c r="K12" t="s">
        <v>406</v>
      </c>
      <c r="L12" t="s">
        <v>406</v>
      </c>
      <c r="M12" t="s">
        <v>992</v>
      </c>
      <c r="N12" s="8" t="s">
        <v>172</v>
      </c>
      <c r="O12" s="8" t="s">
        <v>2135</v>
      </c>
      <c r="P12" s="21">
        <v>2020</v>
      </c>
      <c r="Q12" s="8" t="s">
        <v>2148</v>
      </c>
      <c r="R12" s="32">
        <v>117257</v>
      </c>
      <c r="S12" s="21">
        <f t="shared" si="0"/>
        <v>3</v>
      </c>
      <c r="T12" s="8" t="s">
        <v>96</v>
      </c>
      <c r="U12" s="8" t="s">
        <v>1049</v>
      </c>
      <c r="V12" s="88" t="str">
        <f>HYPERLINK("https://www.ejacket.nsf.gov/ej/showProposal.do?ID="&amp;ckSplitTable[[#This Row],[prop_id]],"eJ")</f>
        <v>eJ</v>
      </c>
      <c r="W12" s="8" t="s">
        <v>224</v>
      </c>
      <c r="X12" s="8" t="s">
        <v>1049</v>
      </c>
      <c r="Y12" s="8" t="s">
        <v>1050</v>
      </c>
      <c r="Z12" s="8" t="s">
        <v>1051</v>
      </c>
      <c r="AA12" s="8" t="s">
        <v>1052</v>
      </c>
      <c r="AB12" s="88" t="str">
        <f>HYPERLINK("mailto:"&amp;ckSplitTable[[#This Row],[email]]&amp;"&amp;subject=Your NSF Proposal:  "&amp;ckSplitTable[[#This Row],[prop_id]],ckSplitTable[[#This Row],[email]])</f>
        <v>donald@engr.uconn.edu</v>
      </c>
      <c r="AC12" s="8" t="s">
        <v>1054</v>
      </c>
      <c r="AD12" s="8" t="s">
        <v>419</v>
      </c>
      <c r="AE12" s="8" t="s">
        <v>419</v>
      </c>
      <c r="AF12" s="8" t="s">
        <v>1049</v>
      </c>
      <c r="AG12" s="8" t="s">
        <v>991</v>
      </c>
      <c r="AH12" s="8" t="s">
        <v>1056</v>
      </c>
      <c r="AK12"/>
      <c r="AL12" s="90" t="s">
        <v>405</v>
      </c>
      <c r="AM12" s="31">
        <v>207336</v>
      </c>
      <c r="AN12" s="31"/>
      <c r="AO12" s="31">
        <v>110514</v>
      </c>
      <c r="AP12" s="31">
        <v>114184</v>
      </c>
      <c r="AQ12" s="31">
        <v>117952</v>
      </c>
      <c r="AR12" s="31">
        <v>549986</v>
      </c>
      <c r="AS12"/>
      <c r="AT12"/>
      <c r="AU12"/>
      <c r="AZ12"/>
      <c r="BB12"/>
      <c r="BC12"/>
      <c r="BO12"/>
      <c r="BS12"/>
    </row>
    <row r="13" spans="1:71" x14ac:dyDescent="0.4">
      <c r="A13" s="30">
        <v>42740.404988425929</v>
      </c>
      <c r="B13" s="30">
        <v>42571.563888888886</v>
      </c>
      <c r="C13" t="s">
        <v>974</v>
      </c>
      <c r="D13" t="s">
        <v>975</v>
      </c>
      <c r="E13" s="8" t="s">
        <v>94</v>
      </c>
      <c r="F13" s="8" t="s">
        <v>94</v>
      </c>
      <c r="G13" t="s">
        <v>222</v>
      </c>
      <c r="H13" t="s">
        <v>222</v>
      </c>
      <c r="I13" t="s">
        <v>405</v>
      </c>
      <c r="J13" t="s">
        <v>405</v>
      </c>
      <c r="K13" t="s">
        <v>406</v>
      </c>
      <c r="L13" t="s">
        <v>406</v>
      </c>
      <c r="M13" t="s">
        <v>992</v>
      </c>
      <c r="N13" s="8" t="s">
        <v>172</v>
      </c>
      <c r="O13" s="8" t="s">
        <v>2135</v>
      </c>
      <c r="P13" s="21">
        <v>2021</v>
      </c>
      <c r="Q13" s="8" t="s">
        <v>2148</v>
      </c>
      <c r="R13" s="32">
        <v>52319</v>
      </c>
      <c r="S13" s="21">
        <f t="shared" si="0"/>
        <v>3</v>
      </c>
      <c r="T13" s="8" t="s">
        <v>96</v>
      </c>
      <c r="U13" s="8" t="s">
        <v>1049</v>
      </c>
      <c r="V13" s="88" t="str">
        <f>HYPERLINK("https://www.ejacket.nsf.gov/ej/showProposal.do?ID="&amp;ckSplitTable[[#This Row],[prop_id]],"eJ")</f>
        <v>eJ</v>
      </c>
      <c r="W13" s="8" t="s">
        <v>224</v>
      </c>
      <c r="X13" s="8" t="s">
        <v>1049</v>
      </c>
      <c r="Y13" s="8" t="s">
        <v>1050</v>
      </c>
      <c r="Z13" s="8" t="s">
        <v>1051</v>
      </c>
      <c r="AA13" s="8" t="s">
        <v>1052</v>
      </c>
      <c r="AB13" s="88" t="str">
        <f>HYPERLINK("mailto:"&amp;ckSplitTable[[#This Row],[email]]&amp;"&amp;subject=Your NSF Proposal:  "&amp;ckSplitTable[[#This Row],[prop_id]],ckSplitTable[[#This Row],[email]])</f>
        <v>donald@engr.uconn.edu</v>
      </c>
      <c r="AC13" s="8" t="s">
        <v>1054</v>
      </c>
      <c r="AD13" s="8" t="s">
        <v>419</v>
      </c>
      <c r="AE13" s="8" t="s">
        <v>419</v>
      </c>
      <c r="AF13" s="8" t="s">
        <v>1049</v>
      </c>
      <c r="AG13" s="8" t="s">
        <v>991</v>
      </c>
      <c r="AH13" s="8" t="s">
        <v>1056</v>
      </c>
      <c r="AK13" s="25" t="s">
        <v>1085</v>
      </c>
      <c r="AL13" s="25" t="s">
        <v>1086</v>
      </c>
      <c r="AM13" s="31"/>
      <c r="AN13" s="31"/>
      <c r="AO13" s="31"/>
      <c r="AP13" s="31"/>
      <c r="AQ13" s="31"/>
      <c r="AR13" s="31"/>
      <c r="AS13"/>
      <c r="AT13"/>
      <c r="AU13"/>
      <c r="AZ13"/>
      <c r="BB13"/>
      <c r="BC13"/>
      <c r="BO13"/>
      <c r="BS13"/>
    </row>
    <row r="14" spans="1:71" x14ac:dyDescent="0.4">
      <c r="A14" s="30">
        <v>42724.53979166667</v>
      </c>
      <c r="B14" s="30">
        <v>42571.576388888891</v>
      </c>
      <c r="C14" t="s">
        <v>974</v>
      </c>
      <c r="D14" t="s">
        <v>975</v>
      </c>
      <c r="E14" s="8" t="s">
        <v>94</v>
      </c>
      <c r="F14" s="8" t="s">
        <v>94</v>
      </c>
      <c r="G14" t="s">
        <v>222</v>
      </c>
      <c r="H14" t="s">
        <v>222</v>
      </c>
      <c r="I14" t="s">
        <v>405</v>
      </c>
      <c r="J14" t="s">
        <v>405</v>
      </c>
      <c r="K14" t="s">
        <v>422</v>
      </c>
      <c r="L14" t="s">
        <v>422</v>
      </c>
      <c r="M14" t="s">
        <v>992</v>
      </c>
      <c r="N14" s="8" t="s">
        <v>172</v>
      </c>
      <c r="O14" s="8" t="s">
        <v>2135</v>
      </c>
      <c r="P14" s="21">
        <v>2017</v>
      </c>
      <c r="Q14" s="8" t="s">
        <v>2148</v>
      </c>
      <c r="R14" s="32">
        <v>106359</v>
      </c>
      <c r="S14" s="21">
        <f t="shared" si="0"/>
        <v>4</v>
      </c>
      <c r="T14" s="8" t="s">
        <v>96</v>
      </c>
      <c r="U14" s="8" t="s">
        <v>1066</v>
      </c>
      <c r="V14" s="88" t="str">
        <f>HYPERLINK("https://www.ejacket.nsf.gov/ej/showProposal.do?ID="&amp;ckSplitTable[[#This Row],[prop_id]],"eJ")</f>
        <v>eJ</v>
      </c>
      <c r="W14" s="8" t="s">
        <v>224</v>
      </c>
      <c r="X14" s="8" t="s">
        <v>1066</v>
      </c>
      <c r="Y14" s="8" t="s">
        <v>1067</v>
      </c>
      <c r="Z14" s="8" t="s">
        <v>1068</v>
      </c>
      <c r="AA14" s="8" t="s">
        <v>495</v>
      </c>
      <c r="AB14" s="88" t="str">
        <f>HYPERLINK("mailto:"&amp;ckSplitTable[[#This Row],[email]]&amp;"&amp;subject=Your NSF Proposal:  "&amp;ckSplitTable[[#This Row],[prop_id]],ckSplitTable[[#This Row],[email]])</f>
        <v>vova@cs.jhu.edu</v>
      </c>
      <c r="AC14" s="8" t="s">
        <v>1069</v>
      </c>
      <c r="AD14" s="8" t="s">
        <v>411</v>
      </c>
      <c r="AE14" s="8" t="s">
        <v>411</v>
      </c>
      <c r="AF14" s="8" t="s">
        <v>1066</v>
      </c>
      <c r="AG14" s="8" t="s">
        <v>991</v>
      </c>
      <c r="AH14" s="8" t="s">
        <v>1071</v>
      </c>
      <c r="AK14"/>
      <c r="AL14" s="90" t="s">
        <v>405</v>
      </c>
      <c r="AM14" s="31">
        <v>55436</v>
      </c>
      <c r="AN14" s="31">
        <v>100269</v>
      </c>
      <c r="AO14" s="31">
        <v>106032</v>
      </c>
      <c r="AP14" s="31">
        <v>106795</v>
      </c>
      <c r="AQ14" s="31">
        <v>136719</v>
      </c>
      <c r="AR14" s="31">
        <v>505251</v>
      </c>
      <c r="AS14"/>
      <c r="AT14"/>
      <c r="AU14"/>
      <c r="AZ14"/>
      <c r="BB14"/>
      <c r="BC14"/>
      <c r="BO14"/>
      <c r="BS14"/>
    </row>
    <row r="15" spans="1:71" x14ac:dyDescent="0.4">
      <c r="A15" s="30">
        <v>42724.53979166667</v>
      </c>
      <c r="B15" s="30">
        <v>42571.576388888891</v>
      </c>
      <c r="C15" t="s">
        <v>974</v>
      </c>
      <c r="D15" t="s">
        <v>975</v>
      </c>
      <c r="E15" s="8" t="s">
        <v>94</v>
      </c>
      <c r="F15" s="8" t="s">
        <v>94</v>
      </c>
      <c r="G15" t="s">
        <v>222</v>
      </c>
      <c r="H15" t="s">
        <v>222</v>
      </c>
      <c r="I15" t="s">
        <v>405</v>
      </c>
      <c r="J15" t="s">
        <v>405</v>
      </c>
      <c r="K15" t="s">
        <v>422</v>
      </c>
      <c r="L15" t="s">
        <v>422</v>
      </c>
      <c r="M15" t="s">
        <v>992</v>
      </c>
      <c r="N15" s="8" t="s">
        <v>172</v>
      </c>
      <c r="O15" s="8" t="s">
        <v>2135</v>
      </c>
      <c r="P15" s="21">
        <v>2018</v>
      </c>
      <c r="Q15" s="8" t="s">
        <v>2148</v>
      </c>
      <c r="R15" s="32">
        <v>106836</v>
      </c>
      <c r="S15" s="21">
        <f t="shared" si="0"/>
        <v>4</v>
      </c>
      <c r="T15" s="8" t="s">
        <v>96</v>
      </c>
      <c r="U15" s="8" t="s">
        <v>1066</v>
      </c>
      <c r="V15" s="88" t="str">
        <f>HYPERLINK("https://www.ejacket.nsf.gov/ej/showProposal.do?ID="&amp;ckSplitTable[[#This Row],[prop_id]],"eJ")</f>
        <v>eJ</v>
      </c>
      <c r="W15" s="8" t="s">
        <v>224</v>
      </c>
      <c r="X15" s="8" t="s">
        <v>1066</v>
      </c>
      <c r="Y15" s="8" t="s">
        <v>1067</v>
      </c>
      <c r="Z15" s="8" t="s">
        <v>1068</v>
      </c>
      <c r="AA15" s="8" t="s">
        <v>495</v>
      </c>
      <c r="AB15" s="88" t="str">
        <f>HYPERLINK("mailto:"&amp;ckSplitTable[[#This Row],[email]]&amp;"&amp;subject=Your NSF Proposal:  "&amp;ckSplitTable[[#This Row],[prop_id]],ckSplitTable[[#This Row],[email]])</f>
        <v>vova@cs.jhu.edu</v>
      </c>
      <c r="AC15" s="8" t="s">
        <v>1069</v>
      </c>
      <c r="AD15" s="8" t="s">
        <v>411</v>
      </c>
      <c r="AE15" s="8" t="s">
        <v>411</v>
      </c>
      <c r="AF15" s="8" t="s">
        <v>1066</v>
      </c>
      <c r="AG15" s="8" t="s">
        <v>991</v>
      </c>
      <c r="AH15" s="8" t="s">
        <v>1071</v>
      </c>
      <c r="AK15" s="25" t="s">
        <v>1108</v>
      </c>
      <c r="AL15" s="25" t="s">
        <v>1109</v>
      </c>
      <c r="AM15" s="31"/>
      <c r="AN15" s="31"/>
      <c r="AO15" s="31"/>
      <c r="AP15" s="31"/>
      <c r="AQ15" s="31"/>
      <c r="AR15" s="31"/>
      <c r="AS15"/>
      <c r="AT15"/>
      <c r="AU15"/>
      <c r="AZ15"/>
      <c r="BB15"/>
      <c r="BC15"/>
      <c r="BO15"/>
      <c r="BS15"/>
    </row>
    <row r="16" spans="1:71" x14ac:dyDescent="0.4">
      <c r="A16" s="30">
        <v>42724.53979166667</v>
      </c>
      <c r="B16" s="30">
        <v>42571.576388888891</v>
      </c>
      <c r="C16" t="s">
        <v>974</v>
      </c>
      <c r="D16" t="s">
        <v>975</v>
      </c>
      <c r="E16" s="8" t="s">
        <v>94</v>
      </c>
      <c r="F16" s="8" t="s">
        <v>94</v>
      </c>
      <c r="G16" t="s">
        <v>222</v>
      </c>
      <c r="H16" t="s">
        <v>222</v>
      </c>
      <c r="I16" t="s">
        <v>405</v>
      </c>
      <c r="J16" t="s">
        <v>405</v>
      </c>
      <c r="K16" t="s">
        <v>422</v>
      </c>
      <c r="L16" t="s">
        <v>422</v>
      </c>
      <c r="M16" t="s">
        <v>992</v>
      </c>
      <c r="N16" s="8" t="s">
        <v>172</v>
      </c>
      <c r="O16" s="8" t="s">
        <v>2135</v>
      </c>
      <c r="P16" s="21">
        <v>2019</v>
      </c>
      <c r="Q16" s="8" t="s">
        <v>2148</v>
      </c>
      <c r="R16" s="32">
        <v>109771</v>
      </c>
      <c r="S16" s="21">
        <f t="shared" si="0"/>
        <v>4</v>
      </c>
      <c r="T16" s="8" t="s">
        <v>96</v>
      </c>
      <c r="U16" s="8" t="s">
        <v>1066</v>
      </c>
      <c r="V16" s="88" t="str">
        <f>HYPERLINK("https://www.ejacket.nsf.gov/ej/showProposal.do?ID="&amp;ckSplitTable[[#This Row],[prop_id]],"eJ")</f>
        <v>eJ</v>
      </c>
      <c r="W16" s="8" t="s">
        <v>224</v>
      </c>
      <c r="X16" s="8" t="s">
        <v>1066</v>
      </c>
      <c r="Y16" s="8" t="s">
        <v>1067</v>
      </c>
      <c r="Z16" s="8" t="s">
        <v>1068</v>
      </c>
      <c r="AA16" s="8" t="s">
        <v>495</v>
      </c>
      <c r="AB16" s="88" t="str">
        <f>HYPERLINK("mailto:"&amp;ckSplitTable[[#This Row],[email]]&amp;"&amp;subject=Your NSF Proposal:  "&amp;ckSplitTable[[#This Row],[prop_id]],ckSplitTable[[#This Row],[email]])</f>
        <v>vova@cs.jhu.edu</v>
      </c>
      <c r="AC16" s="8" t="s">
        <v>1069</v>
      </c>
      <c r="AD16" s="8" t="s">
        <v>411</v>
      </c>
      <c r="AE16" s="8" t="s">
        <v>411</v>
      </c>
      <c r="AF16" s="8" t="s">
        <v>1066</v>
      </c>
      <c r="AG16" s="8" t="s">
        <v>991</v>
      </c>
      <c r="AH16" s="8" t="s">
        <v>1071</v>
      </c>
      <c r="AK16"/>
      <c r="AL16" s="90" t="s">
        <v>405</v>
      </c>
      <c r="AM16" s="31">
        <v>206750</v>
      </c>
      <c r="AN16" s="31"/>
      <c r="AO16" s="31">
        <v>108540</v>
      </c>
      <c r="AP16" s="31">
        <v>110517</v>
      </c>
      <c r="AQ16" s="31">
        <v>114193</v>
      </c>
      <c r="AR16" s="31">
        <v>540000</v>
      </c>
      <c r="AS16"/>
      <c r="AT16"/>
      <c r="AU16"/>
      <c r="AZ16"/>
      <c r="BB16"/>
      <c r="BC16"/>
      <c r="BO16"/>
      <c r="BS16"/>
    </row>
    <row r="17" spans="1:71" x14ac:dyDescent="0.4">
      <c r="A17" s="30">
        <v>42724.53979166667</v>
      </c>
      <c r="B17" s="30">
        <v>42571.576388888891</v>
      </c>
      <c r="C17" t="s">
        <v>974</v>
      </c>
      <c r="D17" t="s">
        <v>975</v>
      </c>
      <c r="E17" s="8" t="s">
        <v>94</v>
      </c>
      <c r="F17" s="8" t="s">
        <v>94</v>
      </c>
      <c r="G17" t="s">
        <v>222</v>
      </c>
      <c r="H17" t="s">
        <v>222</v>
      </c>
      <c r="I17" t="s">
        <v>405</v>
      </c>
      <c r="J17" t="s">
        <v>405</v>
      </c>
      <c r="K17" t="s">
        <v>422</v>
      </c>
      <c r="L17" t="s">
        <v>422</v>
      </c>
      <c r="M17" t="s">
        <v>992</v>
      </c>
      <c r="N17" s="8" t="s">
        <v>172</v>
      </c>
      <c r="O17" s="8" t="s">
        <v>2135</v>
      </c>
      <c r="P17" s="21">
        <v>2020</v>
      </c>
      <c r="Q17" s="8" t="s">
        <v>2148</v>
      </c>
      <c r="R17" s="32">
        <v>112792</v>
      </c>
      <c r="S17" s="21">
        <f t="shared" si="0"/>
        <v>4</v>
      </c>
      <c r="T17" s="8" t="s">
        <v>96</v>
      </c>
      <c r="U17" s="8" t="s">
        <v>1066</v>
      </c>
      <c r="V17" s="88" t="str">
        <f>HYPERLINK("https://www.ejacket.nsf.gov/ej/showProposal.do?ID="&amp;ckSplitTable[[#This Row],[prop_id]],"eJ")</f>
        <v>eJ</v>
      </c>
      <c r="W17" s="8" t="s">
        <v>224</v>
      </c>
      <c r="X17" s="8" t="s">
        <v>1066</v>
      </c>
      <c r="Y17" s="8" t="s">
        <v>1067</v>
      </c>
      <c r="Z17" s="8" t="s">
        <v>1068</v>
      </c>
      <c r="AA17" s="8" t="s">
        <v>495</v>
      </c>
      <c r="AB17" s="88" t="str">
        <f>HYPERLINK("mailto:"&amp;ckSplitTable[[#This Row],[email]]&amp;"&amp;subject=Your NSF Proposal:  "&amp;ckSplitTable[[#This Row],[prop_id]],ckSplitTable[[#This Row],[email]])</f>
        <v>vova@cs.jhu.edu</v>
      </c>
      <c r="AC17" s="8" t="s">
        <v>1069</v>
      </c>
      <c r="AD17" s="8" t="s">
        <v>411</v>
      </c>
      <c r="AE17" s="8" t="s">
        <v>411</v>
      </c>
      <c r="AF17" s="8" t="s">
        <v>1066</v>
      </c>
      <c r="AG17" s="8" t="s">
        <v>991</v>
      </c>
      <c r="AH17" s="8" t="s">
        <v>1071</v>
      </c>
      <c r="AK17" s="25" t="s">
        <v>1287</v>
      </c>
      <c r="AL17" s="25" t="s">
        <v>1288</v>
      </c>
      <c r="AM17" s="31"/>
      <c r="AN17" s="31"/>
      <c r="AO17" s="31"/>
      <c r="AP17" s="31"/>
      <c r="AQ17" s="31"/>
      <c r="AR17" s="31"/>
      <c r="AS17"/>
      <c r="AT17"/>
      <c r="AU17"/>
      <c r="AZ17"/>
      <c r="BB17"/>
      <c r="BC17"/>
      <c r="BO17"/>
      <c r="BS17"/>
    </row>
    <row r="18" spans="1:71" x14ac:dyDescent="0.4">
      <c r="A18" s="30">
        <v>42724.53979166667</v>
      </c>
      <c r="B18" s="30">
        <v>42571.576388888891</v>
      </c>
      <c r="C18" t="s">
        <v>974</v>
      </c>
      <c r="D18" t="s">
        <v>975</v>
      </c>
      <c r="E18" s="8" t="s">
        <v>94</v>
      </c>
      <c r="F18" s="8" t="s">
        <v>94</v>
      </c>
      <c r="G18" t="s">
        <v>222</v>
      </c>
      <c r="H18" t="s">
        <v>222</v>
      </c>
      <c r="I18" t="s">
        <v>405</v>
      </c>
      <c r="J18" t="s">
        <v>405</v>
      </c>
      <c r="K18" t="s">
        <v>422</v>
      </c>
      <c r="L18" t="s">
        <v>422</v>
      </c>
      <c r="M18" t="s">
        <v>992</v>
      </c>
      <c r="N18" s="8" t="s">
        <v>172</v>
      </c>
      <c r="O18" s="8" t="s">
        <v>2135</v>
      </c>
      <c r="P18" s="21">
        <v>2021</v>
      </c>
      <c r="Q18" s="8" t="s">
        <v>2148</v>
      </c>
      <c r="R18" s="32">
        <v>64242</v>
      </c>
      <c r="S18" s="21">
        <f t="shared" si="0"/>
        <v>4</v>
      </c>
      <c r="T18" s="8" t="s">
        <v>96</v>
      </c>
      <c r="U18" s="8" t="s">
        <v>1066</v>
      </c>
      <c r="V18" s="88" t="str">
        <f>HYPERLINK("https://www.ejacket.nsf.gov/ej/showProposal.do?ID="&amp;ckSplitTable[[#This Row],[prop_id]],"eJ")</f>
        <v>eJ</v>
      </c>
      <c r="W18" s="8" t="s">
        <v>224</v>
      </c>
      <c r="X18" s="8" t="s">
        <v>1066</v>
      </c>
      <c r="Y18" s="8" t="s">
        <v>1067</v>
      </c>
      <c r="Z18" s="8" t="s">
        <v>1068</v>
      </c>
      <c r="AA18" s="8" t="s">
        <v>495</v>
      </c>
      <c r="AB18" s="88" t="str">
        <f>HYPERLINK("mailto:"&amp;ckSplitTable[[#This Row],[email]]&amp;"&amp;subject=Your NSF Proposal:  "&amp;ckSplitTable[[#This Row],[prop_id]],ckSplitTable[[#This Row],[email]])</f>
        <v>vova@cs.jhu.edu</v>
      </c>
      <c r="AC18" s="8" t="s">
        <v>1069</v>
      </c>
      <c r="AD18" s="8" t="s">
        <v>411</v>
      </c>
      <c r="AE18" s="8" t="s">
        <v>411</v>
      </c>
      <c r="AF18" s="8" t="s">
        <v>1066</v>
      </c>
      <c r="AG18" s="8" t="s">
        <v>991</v>
      </c>
      <c r="AH18" s="8" t="s">
        <v>1071</v>
      </c>
      <c r="AK18"/>
      <c r="AL18" s="90" t="s">
        <v>1137</v>
      </c>
      <c r="AM18" s="31">
        <v>91077</v>
      </c>
      <c r="AN18" s="31">
        <v>105638</v>
      </c>
      <c r="AO18" s="31">
        <v>103285</v>
      </c>
      <c r="AP18" s="31"/>
      <c r="AQ18" s="31"/>
      <c r="AR18" s="31">
        <v>300000</v>
      </c>
      <c r="AS18"/>
      <c r="AT18"/>
      <c r="AU18"/>
      <c r="AZ18" s="1"/>
      <c r="BB18"/>
      <c r="BC18"/>
      <c r="BD18" s="13"/>
      <c r="BO18"/>
      <c r="BS18"/>
    </row>
    <row r="19" spans="1:71" x14ac:dyDescent="0.4">
      <c r="A19" s="30">
        <v>42724.488344907404</v>
      </c>
      <c r="B19" s="30">
        <v>42571.592361111114</v>
      </c>
      <c r="C19" t="s">
        <v>974</v>
      </c>
      <c r="D19" t="s">
        <v>975</v>
      </c>
      <c r="E19" s="8" t="s">
        <v>94</v>
      </c>
      <c r="F19" s="8" t="s">
        <v>94</v>
      </c>
      <c r="G19" t="s">
        <v>222</v>
      </c>
      <c r="H19" t="s">
        <v>222</v>
      </c>
      <c r="I19" t="s">
        <v>405</v>
      </c>
      <c r="J19" t="s">
        <v>405</v>
      </c>
      <c r="K19" t="s">
        <v>422</v>
      </c>
      <c r="L19" t="s">
        <v>422</v>
      </c>
      <c r="M19" t="s">
        <v>992</v>
      </c>
      <c r="N19" s="8" t="s">
        <v>172</v>
      </c>
      <c r="O19" s="8" t="s">
        <v>2135</v>
      </c>
      <c r="P19" s="21">
        <v>2017</v>
      </c>
      <c r="Q19" s="8" t="s">
        <v>2148</v>
      </c>
      <c r="R19" s="32">
        <v>207336</v>
      </c>
      <c r="S19" s="21">
        <f t="shared" si="0"/>
        <v>5</v>
      </c>
      <c r="T19" s="8" t="s">
        <v>96</v>
      </c>
      <c r="U19" s="8" t="s">
        <v>1072</v>
      </c>
      <c r="V19" s="88" t="str">
        <f>HYPERLINK("https://www.ejacket.nsf.gov/ej/showProposal.do?ID="&amp;ckSplitTable[[#This Row],[prop_id]],"eJ")</f>
        <v>eJ</v>
      </c>
      <c r="W19" s="8" t="s">
        <v>224</v>
      </c>
      <c r="X19" s="8" t="s">
        <v>1072</v>
      </c>
      <c r="Y19" s="8" t="s">
        <v>1073</v>
      </c>
      <c r="Z19" s="8" t="s">
        <v>1074</v>
      </c>
      <c r="AA19" s="8" t="s">
        <v>1075</v>
      </c>
      <c r="AB19" s="88" t="str">
        <f>HYPERLINK("mailto:"&amp;ckSplitTable[[#This Row],[email]]&amp;"&amp;subject=Your NSF Proposal:  "&amp;ckSplitTable[[#This Row],[prop_id]],ckSplitTable[[#This Row],[email]])</f>
        <v>barna@cs.umass.edu</v>
      </c>
      <c r="AC19" s="8" t="s">
        <v>1076</v>
      </c>
      <c r="AD19" s="8" t="s">
        <v>411</v>
      </c>
      <c r="AE19" s="8" t="s">
        <v>411</v>
      </c>
      <c r="AF19" s="8" t="s">
        <v>1072</v>
      </c>
      <c r="AG19" s="8" t="s">
        <v>991</v>
      </c>
      <c r="AH19" s="8" t="s">
        <v>1078</v>
      </c>
      <c r="AK19" s="25" t="s">
        <v>1199</v>
      </c>
      <c r="AL19" s="25" t="s">
        <v>1200</v>
      </c>
      <c r="AM19" s="31"/>
      <c r="AN19" s="31"/>
      <c r="AO19" s="31"/>
      <c r="AP19" s="31"/>
      <c r="AQ19" s="31"/>
      <c r="AR19" s="31"/>
      <c r="AS19"/>
      <c r="AT19"/>
      <c r="AU19"/>
      <c r="AZ19" s="1"/>
      <c r="BB19"/>
      <c r="BC19"/>
      <c r="BD19" s="13"/>
      <c r="BO19"/>
      <c r="BS19"/>
    </row>
    <row r="20" spans="1:71" x14ac:dyDescent="0.4">
      <c r="A20" s="30">
        <v>42724.488344907404</v>
      </c>
      <c r="B20" s="30">
        <v>42571.592361111114</v>
      </c>
      <c r="C20" t="s">
        <v>974</v>
      </c>
      <c r="D20" t="s">
        <v>975</v>
      </c>
      <c r="E20" s="8" t="s">
        <v>94</v>
      </c>
      <c r="F20" s="8" t="s">
        <v>94</v>
      </c>
      <c r="G20" t="s">
        <v>222</v>
      </c>
      <c r="H20" t="s">
        <v>222</v>
      </c>
      <c r="I20" t="s">
        <v>405</v>
      </c>
      <c r="J20" t="s">
        <v>405</v>
      </c>
      <c r="K20" t="s">
        <v>422</v>
      </c>
      <c r="L20" t="s">
        <v>422</v>
      </c>
      <c r="M20" t="s">
        <v>992</v>
      </c>
      <c r="N20" s="8" t="s">
        <v>172</v>
      </c>
      <c r="O20" s="8" t="s">
        <v>2135</v>
      </c>
      <c r="P20" s="21">
        <v>2019</v>
      </c>
      <c r="Q20" s="8" t="s">
        <v>2148</v>
      </c>
      <c r="R20" s="32">
        <v>110514</v>
      </c>
      <c r="S20" s="21">
        <f t="shared" si="0"/>
        <v>5</v>
      </c>
      <c r="T20" s="8" t="s">
        <v>96</v>
      </c>
      <c r="U20" s="8" t="s">
        <v>1072</v>
      </c>
      <c r="V20" s="88" t="str">
        <f>HYPERLINK("https://www.ejacket.nsf.gov/ej/showProposal.do?ID="&amp;ckSplitTable[[#This Row],[prop_id]],"eJ")</f>
        <v>eJ</v>
      </c>
      <c r="W20" s="8" t="s">
        <v>224</v>
      </c>
      <c r="X20" s="8" t="s">
        <v>1072</v>
      </c>
      <c r="Y20" s="8" t="s">
        <v>1073</v>
      </c>
      <c r="Z20" s="8" t="s">
        <v>1074</v>
      </c>
      <c r="AA20" s="8" t="s">
        <v>1075</v>
      </c>
      <c r="AB20" s="88" t="str">
        <f>HYPERLINK("mailto:"&amp;ckSplitTable[[#This Row],[email]]&amp;"&amp;subject=Your NSF Proposal:  "&amp;ckSplitTable[[#This Row],[prop_id]],ckSplitTable[[#This Row],[email]])</f>
        <v>barna@cs.umass.edu</v>
      </c>
      <c r="AC20" s="8" t="s">
        <v>1076</v>
      </c>
      <c r="AD20" s="8" t="s">
        <v>411</v>
      </c>
      <c r="AE20" s="8" t="s">
        <v>411</v>
      </c>
      <c r="AF20" s="8" t="s">
        <v>1072</v>
      </c>
      <c r="AG20" s="8" t="s">
        <v>991</v>
      </c>
      <c r="AH20" s="8" t="s">
        <v>1078</v>
      </c>
      <c r="AK20"/>
      <c r="AL20" s="90" t="s">
        <v>1137</v>
      </c>
      <c r="AM20" s="31">
        <v>882177</v>
      </c>
      <c r="AN20" s="31"/>
      <c r="AO20" s="31"/>
      <c r="AP20" s="31"/>
      <c r="AQ20" s="31"/>
      <c r="AR20" s="31">
        <v>882177</v>
      </c>
      <c r="AS20"/>
      <c r="AT20"/>
      <c r="AU20"/>
      <c r="AZ20" s="1"/>
      <c r="BB20"/>
      <c r="BC20"/>
      <c r="BD20" s="13"/>
      <c r="BO20"/>
      <c r="BS20"/>
    </row>
    <row r="21" spans="1:71" x14ac:dyDescent="0.4">
      <c r="A21" s="30">
        <v>42724.488344907404</v>
      </c>
      <c r="B21" s="30">
        <v>42571.592361111114</v>
      </c>
      <c r="C21" t="s">
        <v>974</v>
      </c>
      <c r="D21" t="s">
        <v>975</v>
      </c>
      <c r="E21" s="8" t="s">
        <v>94</v>
      </c>
      <c r="F21" s="8" t="s">
        <v>94</v>
      </c>
      <c r="G21" t="s">
        <v>222</v>
      </c>
      <c r="H21" t="s">
        <v>222</v>
      </c>
      <c r="I21" t="s">
        <v>405</v>
      </c>
      <c r="J21" t="s">
        <v>405</v>
      </c>
      <c r="K21" t="s">
        <v>422</v>
      </c>
      <c r="L21" t="s">
        <v>422</v>
      </c>
      <c r="M21" t="s">
        <v>992</v>
      </c>
      <c r="N21" s="8" t="s">
        <v>172</v>
      </c>
      <c r="O21" s="8" t="s">
        <v>2135</v>
      </c>
      <c r="P21" s="21">
        <v>2020</v>
      </c>
      <c r="Q21" s="8" t="s">
        <v>2148</v>
      </c>
      <c r="R21" s="32">
        <v>114184</v>
      </c>
      <c r="S21" s="21">
        <f t="shared" si="0"/>
        <v>5</v>
      </c>
      <c r="T21" s="8" t="s">
        <v>96</v>
      </c>
      <c r="U21" s="8" t="s">
        <v>1072</v>
      </c>
      <c r="V21" s="88" t="str">
        <f>HYPERLINK("https://www.ejacket.nsf.gov/ej/showProposal.do?ID="&amp;ckSplitTable[[#This Row],[prop_id]],"eJ")</f>
        <v>eJ</v>
      </c>
      <c r="W21" s="8" t="s">
        <v>224</v>
      </c>
      <c r="X21" s="8" t="s">
        <v>1072</v>
      </c>
      <c r="Y21" s="8" t="s">
        <v>1073</v>
      </c>
      <c r="Z21" s="8" t="s">
        <v>1074</v>
      </c>
      <c r="AA21" s="8" t="s">
        <v>1075</v>
      </c>
      <c r="AB21" s="88" t="str">
        <f>HYPERLINK("mailto:"&amp;ckSplitTable[[#This Row],[email]]&amp;"&amp;subject=Your NSF Proposal:  "&amp;ckSplitTable[[#This Row],[prop_id]],ckSplitTable[[#This Row],[email]])</f>
        <v>barna@cs.umass.edu</v>
      </c>
      <c r="AC21" s="8" t="s">
        <v>1076</v>
      </c>
      <c r="AD21" s="8" t="s">
        <v>411</v>
      </c>
      <c r="AE21" s="8" t="s">
        <v>411</v>
      </c>
      <c r="AF21" s="8" t="s">
        <v>1072</v>
      </c>
      <c r="AG21" s="8" t="s">
        <v>991</v>
      </c>
      <c r="AH21" s="8" t="s">
        <v>1078</v>
      </c>
      <c r="AK21"/>
      <c r="AL21" s="90" t="s">
        <v>2150</v>
      </c>
      <c r="AM21" s="31">
        <v>300000</v>
      </c>
      <c r="AN21" s="31"/>
      <c r="AO21" s="31"/>
      <c r="AP21" s="31"/>
      <c r="AQ21" s="31"/>
      <c r="AR21" s="31">
        <v>300000</v>
      </c>
      <c r="AS21"/>
      <c r="AT21"/>
      <c r="AU21"/>
      <c r="AZ21" s="1"/>
      <c r="BB21"/>
      <c r="BC21"/>
      <c r="BD21" s="13"/>
      <c r="BO21"/>
      <c r="BS21"/>
    </row>
    <row r="22" spans="1:71" x14ac:dyDescent="0.4">
      <c r="A22" s="30">
        <v>42724.488344907404</v>
      </c>
      <c r="B22" s="30">
        <v>42571.592361111114</v>
      </c>
      <c r="C22" t="s">
        <v>974</v>
      </c>
      <c r="D22" t="s">
        <v>975</v>
      </c>
      <c r="E22" s="8" t="s">
        <v>94</v>
      </c>
      <c r="F22" s="8" t="s">
        <v>94</v>
      </c>
      <c r="G22" t="s">
        <v>222</v>
      </c>
      <c r="H22" t="s">
        <v>222</v>
      </c>
      <c r="I22" t="s">
        <v>405</v>
      </c>
      <c r="J22" t="s">
        <v>405</v>
      </c>
      <c r="K22" t="s">
        <v>422</v>
      </c>
      <c r="L22" t="s">
        <v>422</v>
      </c>
      <c r="M22" t="s">
        <v>992</v>
      </c>
      <c r="N22" s="8" t="s">
        <v>172</v>
      </c>
      <c r="O22" s="8" t="s">
        <v>2135</v>
      </c>
      <c r="P22" s="21">
        <v>2021</v>
      </c>
      <c r="Q22" s="8" t="s">
        <v>2148</v>
      </c>
      <c r="R22" s="32">
        <v>117952</v>
      </c>
      <c r="S22" s="21">
        <f t="shared" si="0"/>
        <v>5</v>
      </c>
      <c r="T22" s="8" t="s">
        <v>96</v>
      </c>
      <c r="U22" s="8" t="s">
        <v>1072</v>
      </c>
      <c r="V22" s="88" t="str">
        <f>HYPERLINK("https://www.ejacket.nsf.gov/ej/showProposal.do?ID="&amp;ckSplitTable[[#This Row],[prop_id]],"eJ")</f>
        <v>eJ</v>
      </c>
      <c r="W22" s="8" t="s">
        <v>224</v>
      </c>
      <c r="X22" s="8" t="s">
        <v>1072</v>
      </c>
      <c r="Y22" s="8" t="s">
        <v>1073</v>
      </c>
      <c r="Z22" s="8" t="s">
        <v>1074</v>
      </c>
      <c r="AA22" s="8" t="s">
        <v>1075</v>
      </c>
      <c r="AB22" s="88" t="str">
        <f>HYPERLINK("mailto:"&amp;ckSplitTable[[#This Row],[email]]&amp;"&amp;subject=Your NSF Proposal:  "&amp;ckSplitTable[[#This Row],[prop_id]],ckSplitTable[[#This Row],[email]])</f>
        <v>barna@cs.umass.edu</v>
      </c>
      <c r="AC22" s="8" t="s">
        <v>1076</v>
      </c>
      <c r="AD22" s="8" t="s">
        <v>411</v>
      </c>
      <c r="AE22" s="8" t="s">
        <v>411</v>
      </c>
      <c r="AF22" s="8" t="s">
        <v>1072</v>
      </c>
      <c r="AG22" s="8" t="s">
        <v>991</v>
      </c>
      <c r="AH22" s="8" t="s">
        <v>1078</v>
      </c>
      <c r="AK22"/>
      <c r="AL22" s="90" t="s">
        <v>352</v>
      </c>
      <c r="AM22" s="31">
        <v>300000</v>
      </c>
      <c r="AN22" s="31"/>
      <c r="AO22" s="31"/>
      <c r="AP22" s="31"/>
      <c r="AQ22" s="31"/>
      <c r="AR22" s="31">
        <v>300000</v>
      </c>
      <c r="AS22"/>
      <c r="AT22"/>
      <c r="AU22"/>
      <c r="AZ22" s="1"/>
      <c r="BB22"/>
      <c r="BC22"/>
      <c r="BD22" s="13"/>
      <c r="BO22"/>
      <c r="BS22"/>
    </row>
    <row r="23" spans="1:71" x14ac:dyDescent="0.4">
      <c r="A23" s="30">
        <v>42802.699930555558</v>
      </c>
      <c r="B23" s="30">
        <v>42571.640972222223</v>
      </c>
      <c r="C23" t="s">
        <v>974</v>
      </c>
      <c r="D23" t="s">
        <v>975</v>
      </c>
      <c r="E23" s="8" t="s">
        <v>94</v>
      </c>
      <c r="F23" s="8" t="s">
        <v>94</v>
      </c>
      <c r="G23" t="s">
        <v>222</v>
      </c>
      <c r="H23" t="s">
        <v>222</v>
      </c>
      <c r="I23" t="s">
        <v>405</v>
      </c>
      <c r="J23" t="s">
        <v>405</v>
      </c>
      <c r="K23" t="s">
        <v>451</v>
      </c>
      <c r="L23" t="s">
        <v>451</v>
      </c>
      <c r="M23" t="s">
        <v>992</v>
      </c>
      <c r="N23" s="8" t="s">
        <v>172</v>
      </c>
      <c r="O23" s="8" t="s">
        <v>2135</v>
      </c>
      <c r="P23" s="21">
        <v>2017</v>
      </c>
      <c r="Q23" s="8" t="s">
        <v>2148</v>
      </c>
      <c r="R23" s="32">
        <v>55436</v>
      </c>
      <c r="S23" s="21">
        <f t="shared" si="0"/>
        <v>6</v>
      </c>
      <c r="T23" s="8" t="s">
        <v>96</v>
      </c>
      <c r="U23" s="8" t="s">
        <v>1085</v>
      </c>
      <c r="V23" s="88" t="str">
        <f>HYPERLINK("https://www.ejacket.nsf.gov/ej/showProposal.do?ID="&amp;ckSplitTable[[#This Row],[prop_id]],"eJ")</f>
        <v>eJ</v>
      </c>
      <c r="W23" s="8" t="s">
        <v>224</v>
      </c>
      <c r="X23" s="8" t="s">
        <v>1085</v>
      </c>
      <c r="Y23" s="8" t="s">
        <v>1086</v>
      </c>
      <c r="Z23" s="8" t="s">
        <v>1087</v>
      </c>
      <c r="AA23" s="8" t="s">
        <v>1060</v>
      </c>
      <c r="AB23" s="88" t="str">
        <f>HYPERLINK("mailto:"&amp;ckSplitTable[[#This Row],[email]]&amp;"&amp;subject=Your NSF Proposal:  "&amp;ckSplitTable[[#This Row],[prop_id]],ckSplitTable[[#This Row],[email]])</f>
        <v>aravindv@northwestern.edu</v>
      </c>
      <c r="AC23" s="8" t="s">
        <v>1088</v>
      </c>
      <c r="AD23" s="8" t="s">
        <v>411</v>
      </c>
      <c r="AE23" s="8" t="s">
        <v>411</v>
      </c>
      <c r="AF23" s="8" t="s">
        <v>1085</v>
      </c>
      <c r="AG23" s="8" t="s">
        <v>991</v>
      </c>
      <c r="AH23" s="8" t="s">
        <v>1089</v>
      </c>
      <c r="AK23" s="25" t="s">
        <v>1222</v>
      </c>
      <c r="AL23" s="25" t="s">
        <v>1223</v>
      </c>
      <c r="AM23" s="31"/>
      <c r="AN23" s="31"/>
      <c r="AO23" s="31"/>
      <c r="AP23" s="31"/>
      <c r="AQ23" s="31"/>
      <c r="AR23" s="31"/>
      <c r="AS23"/>
      <c r="AT23"/>
      <c r="AU23"/>
      <c r="AZ23" s="1"/>
      <c r="BB23"/>
      <c r="BC23"/>
      <c r="BD23" s="13"/>
      <c r="BO23"/>
      <c r="BS23"/>
    </row>
    <row r="24" spans="1:71" x14ac:dyDescent="0.4">
      <c r="A24" s="30">
        <v>42802.699930555558</v>
      </c>
      <c r="B24" s="30">
        <v>42571.640972222223</v>
      </c>
      <c r="C24" t="s">
        <v>974</v>
      </c>
      <c r="D24" t="s">
        <v>975</v>
      </c>
      <c r="E24" s="8" t="s">
        <v>94</v>
      </c>
      <c r="F24" s="8" t="s">
        <v>94</v>
      </c>
      <c r="G24" t="s">
        <v>222</v>
      </c>
      <c r="H24" t="s">
        <v>222</v>
      </c>
      <c r="I24" t="s">
        <v>405</v>
      </c>
      <c r="J24" t="s">
        <v>405</v>
      </c>
      <c r="K24" t="s">
        <v>451</v>
      </c>
      <c r="L24" t="s">
        <v>451</v>
      </c>
      <c r="M24" t="s">
        <v>992</v>
      </c>
      <c r="N24" s="8" t="s">
        <v>172</v>
      </c>
      <c r="O24" s="8" t="s">
        <v>2135</v>
      </c>
      <c r="P24" s="21">
        <v>2018</v>
      </c>
      <c r="Q24" s="8" t="s">
        <v>2148</v>
      </c>
      <c r="R24" s="32">
        <v>100269</v>
      </c>
      <c r="S24" s="21">
        <f t="shared" si="0"/>
        <v>6</v>
      </c>
      <c r="T24" s="8" t="s">
        <v>96</v>
      </c>
      <c r="U24" s="8" t="s">
        <v>1085</v>
      </c>
      <c r="V24" s="88" t="str">
        <f>HYPERLINK("https://www.ejacket.nsf.gov/ej/showProposal.do?ID="&amp;ckSplitTable[[#This Row],[prop_id]],"eJ")</f>
        <v>eJ</v>
      </c>
      <c r="W24" s="8" t="s">
        <v>224</v>
      </c>
      <c r="X24" s="8" t="s">
        <v>1085</v>
      </c>
      <c r="Y24" s="8" t="s">
        <v>1086</v>
      </c>
      <c r="Z24" s="8" t="s">
        <v>1087</v>
      </c>
      <c r="AA24" s="8" t="s">
        <v>1060</v>
      </c>
      <c r="AB24" s="88" t="str">
        <f>HYPERLINK("mailto:"&amp;ckSplitTable[[#This Row],[email]]&amp;"&amp;subject=Your NSF Proposal:  "&amp;ckSplitTable[[#This Row],[prop_id]],ckSplitTable[[#This Row],[email]])</f>
        <v>aravindv@northwestern.edu</v>
      </c>
      <c r="AC24" s="8" t="s">
        <v>1088</v>
      </c>
      <c r="AD24" s="8" t="s">
        <v>411</v>
      </c>
      <c r="AE24" s="8" t="s">
        <v>411</v>
      </c>
      <c r="AF24" s="8" t="s">
        <v>1085</v>
      </c>
      <c r="AG24" s="8" t="s">
        <v>991</v>
      </c>
      <c r="AH24" s="8" t="s">
        <v>1089</v>
      </c>
      <c r="AK24"/>
      <c r="AL24" s="90" t="s">
        <v>1137</v>
      </c>
      <c r="AM24" s="31">
        <v>368500</v>
      </c>
      <c r="AN24" s="31">
        <v>500000</v>
      </c>
      <c r="AO24" s="31">
        <v>500000</v>
      </c>
      <c r="AP24" s="31"/>
      <c r="AQ24" s="31"/>
      <c r="AR24" s="31">
        <v>1368500</v>
      </c>
      <c r="AS24"/>
      <c r="AT24"/>
      <c r="AU24"/>
      <c r="AZ24" s="1"/>
      <c r="BB24"/>
      <c r="BC24"/>
      <c r="BD24" s="13"/>
      <c r="BO24"/>
      <c r="BS24"/>
    </row>
    <row r="25" spans="1:71" x14ac:dyDescent="0.4">
      <c r="A25" s="30">
        <v>42802.699930555558</v>
      </c>
      <c r="B25" s="30">
        <v>42571.640972222223</v>
      </c>
      <c r="C25" t="s">
        <v>974</v>
      </c>
      <c r="D25" t="s">
        <v>975</v>
      </c>
      <c r="E25" s="8" t="s">
        <v>94</v>
      </c>
      <c r="F25" s="8" t="s">
        <v>94</v>
      </c>
      <c r="G25" t="s">
        <v>222</v>
      </c>
      <c r="H25" t="s">
        <v>222</v>
      </c>
      <c r="I25" t="s">
        <v>405</v>
      </c>
      <c r="J25" t="s">
        <v>405</v>
      </c>
      <c r="K25" t="s">
        <v>451</v>
      </c>
      <c r="L25" t="s">
        <v>451</v>
      </c>
      <c r="M25" t="s">
        <v>992</v>
      </c>
      <c r="N25" s="8" t="s">
        <v>172</v>
      </c>
      <c r="O25" s="8" t="s">
        <v>2135</v>
      </c>
      <c r="P25" s="21">
        <v>2019</v>
      </c>
      <c r="Q25" s="8" t="s">
        <v>2148</v>
      </c>
      <c r="R25" s="32">
        <v>106032</v>
      </c>
      <c r="S25" s="21">
        <f t="shared" si="0"/>
        <v>6</v>
      </c>
      <c r="T25" s="8" t="s">
        <v>96</v>
      </c>
      <c r="U25" s="8" t="s">
        <v>1085</v>
      </c>
      <c r="V25" s="88" t="str">
        <f>HYPERLINK("https://www.ejacket.nsf.gov/ej/showProposal.do?ID="&amp;ckSplitTable[[#This Row],[prop_id]],"eJ")</f>
        <v>eJ</v>
      </c>
      <c r="W25" s="8" t="s">
        <v>224</v>
      </c>
      <c r="X25" s="8" t="s">
        <v>1085</v>
      </c>
      <c r="Y25" s="8" t="s">
        <v>1086</v>
      </c>
      <c r="Z25" s="8" t="s">
        <v>1087</v>
      </c>
      <c r="AA25" s="8" t="s">
        <v>1060</v>
      </c>
      <c r="AB25" s="88" t="str">
        <f>HYPERLINK("mailto:"&amp;ckSplitTable[[#This Row],[email]]&amp;"&amp;subject=Your NSF Proposal:  "&amp;ckSplitTable[[#This Row],[prop_id]],ckSplitTable[[#This Row],[email]])</f>
        <v>aravindv@northwestern.edu</v>
      </c>
      <c r="AC25" s="8" t="s">
        <v>1088</v>
      </c>
      <c r="AD25" s="8" t="s">
        <v>411</v>
      </c>
      <c r="AE25" s="8" t="s">
        <v>411</v>
      </c>
      <c r="AF25" s="8" t="s">
        <v>1085</v>
      </c>
      <c r="AG25" s="8" t="s">
        <v>991</v>
      </c>
      <c r="AH25" s="8" t="s">
        <v>1089</v>
      </c>
      <c r="AK25" s="25" t="s">
        <v>1292</v>
      </c>
      <c r="AL25" s="25" t="s">
        <v>1293</v>
      </c>
      <c r="AM25" s="31"/>
      <c r="AN25" s="31"/>
      <c r="AO25" s="31"/>
      <c r="AP25" s="31"/>
      <c r="AQ25" s="31"/>
      <c r="AR25" s="31"/>
      <c r="AS25"/>
      <c r="AT25"/>
      <c r="AU25"/>
      <c r="AZ25" s="1"/>
      <c r="BB25"/>
      <c r="BC25"/>
      <c r="BD25" s="13"/>
      <c r="BO25"/>
      <c r="BS25"/>
    </row>
    <row r="26" spans="1:71" x14ac:dyDescent="0.4">
      <c r="A26" s="30">
        <v>42802.699930555558</v>
      </c>
      <c r="B26" s="30">
        <v>42571.640972222223</v>
      </c>
      <c r="C26" t="s">
        <v>974</v>
      </c>
      <c r="D26" t="s">
        <v>975</v>
      </c>
      <c r="E26" s="8" t="s">
        <v>94</v>
      </c>
      <c r="F26" s="8" t="s">
        <v>94</v>
      </c>
      <c r="G26" t="s">
        <v>222</v>
      </c>
      <c r="H26" t="s">
        <v>222</v>
      </c>
      <c r="I26" t="s">
        <v>405</v>
      </c>
      <c r="J26" t="s">
        <v>405</v>
      </c>
      <c r="K26" t="s">
        <v>451</v>
      </c>
      <c r="L26" t="s">
        <v>451</v>
      </c>
      <c r="M26" t="s">
        <v>992</v>
      </c>
      <c r="N26" s="8" t="s">
        <v>172</v>
      </c>
      <c r="O26" s="8" t="s">
        <v>2135</v>
      </c>
      <c r="P26" s="21">
        <v>2020</v>
      </c>
      <c r="Q26" s="8" t="s">
        <v>2148</v>
      </c>
      <c r="R26" s="32">
        <v>106795</v>
      </c>
      <c r="S26" s="21">
        <f t="shared" si="0"/>
        <v>6</v>
      </c>
      <c r="T26" s="8" t="s">
        <v>96</v>
      </c>
      <c r="U26" s="8" t="s">
        <v>1085</v>
      </c>
      <c r="V26" s="88" t="str">
        <f>HYPERLINK("https://www.ejacket.nsf.gov/ej/showProposal.do?ID="&amp;ckSplitTable[[#This Row],[prop_id]],"eJ")</f>
        <v>eJ</v>
      </c>
      <c r="W26" s="8" t="s">
        <v>224</v>
      </c>
      <c r="X26" s="8" t="s">
        <v>1085</v>
      </c>
      <c r="Y26" s="8" t="s">
        <v>1086</v>
      </c>
      <c r="Z26" s="8" t="s">
        <v>1087</v>
      </c>
      <c r="AA26" s="8" t="s">
        <v>1060</v>
      </c>
      <c r="AB26" s="88" t="str">
        <f>HYPERLINK("mailto:"&amp;ckSplitTable[[#This Row],[email]]&amp;"&amp;subject=Your NSF Proposal:  "&amp;ckSplitTable[[#This Row],[prop_id]],ckSplitTable[[#This Row],[email]])</f>
        <v>aravindv@northwestern.edu</v>
      </c>
      <c r="AC26" s="8" t="s">
        <v>1088</v>
      </c>
      <c r="AD26" s="8" t="s">
        <v>411</v>
      </c>
      <c r="AE26" s="8" t="s">
        <v>411</v>
      </c>
      <c r="AF26" s="8" t="s">
        <v>1085</v>
      </c>
      <c r="AG26" s="8" t="s">
        <v>991</v>
      </c>
      <c r="AH26" s="8" t="s">
        <v>1089</v>
      </c>
      <c r="AK26"/>
      <c r="AL26" s="90" t="s">
        <v>1137</v>
      </c>
      <c r="AM26" s="31">
        <v>93641</v>
      </c>
      <c r="AN26" s="31">
        <v>96231</v>
      </c>
      <c r="AO26" s="31">
        <v>98610</v>
      </c>
      <c r="AP26" s="31"/>
      <c r="AQ26" s="31"/>
      <c r="AR26" s="31">
        <v>288482</v>
      </c>
      <c r="AS26"/>
      <c r="AT26"/>
      <c r="AU26"/>
      <c r="AZ26" s="1"/>
      <c r="BB26"/>
      <c r="BC26"/>
      <c r="BD26" s="13"/>
      <c r="BO26"/>
      <c r="BS26"/>
    </row>
    <row r="27" spans="1:71" x14ac:dyDescent="0.4">
      <c r="A27" s="30">
        <v>42802.699930555558</v>
      </c>
      <c r="B27" s="30">
        <v>42571.640972222223</v>
      </c>
      <c r="C27" t="s">
        <v>974</v>
      </c>
      <c r="D27" t="s">
        <v>975</v>
      </c>
      <c r="E27" s="8" t="s">
        <v>94</v>
      </c>
      <c r="F27" s="8" t="s">
        <v>94</v>
      </c>
      <c r="G27" t="s">
        <v>222</v>
      </c>
      <c r="H27" t="s">
        <v>222</v>
      </c>
      <c r="I27" t="s">
        <v>405</v>
      </c>
      <c r="J27" t="s">
        <v>405</v>
      </c>
      <c r="K27" t="s">
        <v>451</v>
      </c>
      <c r="L27" t="s">
        <v>451</v>
      </c>
      <c r="M27" t="s">
        <v>992</v>
      </c>
      <c r="N27" s="8" t="s">
        <v>172</v>
      </c>
      <c r="O27" s="8" t="s">
        <v>2135</v>
      </c>
      <c r="P27" s="21">
        <v>2021</v>
      </c>
      <c r="Q27" s="8" t="s">
        <v>2148</v>
      </c>
      <c r="R27" s="32">
        <v>136719</v>
      </c>
      <c r="S27" s="21">
        <f t="shared" si="0"/>
        <v>6</v>
      </c>
      <c r="T27" s="8" t="s">
        <v>96</v>
      </c>
      <c r="U27" s="8" t="s">
        <v>1085</v>
      </c>
      <c r="V27" s="88" t="str">
        <f>HYPERLINK("https://www.ejacket.nsf.gov/ej/showProposal.do?ID="&amp;ckSplitTable[[#This Row],[prop_id]],"eJ")</f>
        <v>eJ</v>
      </c>
      <c r="W27" s="8" t="s">
        <v>224</v>
      </c>
      <c r="X27" s="8" t="s">
        <v>1085</v>
      </c>
      <c r="Y27" s="8" t="s">
        <v>1086</v>
      </c>
      <c r="Z27" s="8" t="s">
        <v>1087</v>
      </c>
      <c r="AA27" s="8" t="s">
        <v>1060</v>
      </c>
      <c r="AB27" s="88" t="str">
        <f>HYPERLINK("mailto:"&amp;ckSplitTable[[#This Row],[email]]&amp;"&amp;subject=Your NSF Proposal:  "&amp;ckSplitTable[[#This Row],[prop_id]],ckSplitTable[[#This Row],[email]])</f>
        <v>aravindv@northwestern.edu</v>
      </c>
      <c r="AC27" s="8" t="s">
        <v>1088</v>
      </c>
      <c r="AD27" s="8" t="s">
        <v>411</v>
      </c>
      <c r="AE27" s="8" t="s">
        <v>411</v>
      </c>
      <c r="AF27" s="8" t="s">
        <v>1085</v>
      </c>
      <c r="AG27" s="8" t="s">
        <v>991</v>
      </c>
      <c r="AH27" s="8" t="s">
        <v>1089</v>
      </c>
      <c r="AK27" s="25" t="s">
        <v>1242</v>
      </c>
      <c r="AL27" s="25" t="s">
        <v>1243</v>
      </c>
      <c r="AM27" s="31"/>
      <c r="AN27" s="31"/>
      <c r="AO27" s="31"/>
      <c r="AP27" s="31"/>
      <c r="AQ27" s="31"/>
      <c r="AR27" s="31"/>
      <c r="AS27"/>
      <c r="AT27"/>
      <c r="AU27"/>
      <c r="AZ27" s="1"/>
      <c r="BB27"/>
      <c r="BC27"/>
      <c r="BD27" s="13"/>
      <c r="BO27"/>
      <c r="BS27"/>
    </row>
    <row r="28" spans="1:71" x14ac:dyDescent="0.4">
      <c r="A28" s="30">
        <v>42724.644189814811</v>
      </c>
      <c r="B28" s="30">
        <v>42571.734027777777</v>
      </c>
      <c r="C28" t="s">
        <v>974</v>
      </c>
      <c r="D28" t="s">
        <v>975</v>
      </c>
      <c r="E28" s="8" t="s">
        <v>94</v>
      </c>
      <c r="F28" s="8" t="s">
        <v>94</v>
      </c>
      <c r="G28" t="s">
        <v>222</v>
      </c>
      <c r="H28" t="s">
        <v>222</v>
      </c>
      <c r="I28" t="s">
        <v>405</v>
      </c>
      <c r="J28" t="s">
        <v>405</v>
      </c>
      <c r="K28" t="s">
        <v>451</v>
      </c>
      <c r="L28" t="s">
        <v>451</v>
      </c>
      <c r="M28" t="s">
        <v>992</v>
      </c>
      <c r="N28" s="8" t="s">
        <v>172</v>
      </c>
      <c r="O28" s="8" t="s">
        <v>2135</v>
      </c>
      <c r="P28" s="21">
        <v>2017</v>
      </c>
      <c r="Q28" s="8" t="s">
        <v>2148</v>
      </c>
      <c r="R28" s="32">
        <v>206750</v>
      </c>
      <c r="S28" s="21">
        <f t="shared" si="0"/>
        <v>7</v>
      </c>
      <c r="T28" s="8" t="s">
        <v>96</v>
      </c>
      <c r="U28" s="8" t="s">
        <v>1108</v>
      </c>
      <c r="V28" s="88" t="str">
        <f>HYPERLINK("https://www.ejacket.nsf.gov/ej/showProposal.do?ID="&amp;ckSplitTable[[#This Row],[prop_id]],"eJ")</f>
        <v>eJ</v>
      </c>
      <c r="W28" s="8" t="s">
        <v>224</v>
      </c>
      <c r="X28" s="8" t="s">
        <v>1108</v>
      </c>
      <c r="Y28" s="8" t="s">
        <v>1109</v>
      </c>
      <c r="Z28" s="8" t="s">
        <v>1110</v>
      </c>
      <c r="AA28" s="8" t="s">
        <v>1111</v>
      </c>
      <c r="AB28" s="88" t="str">
        <f>HYPERLINK("mailto:"&amp;ckSplitTable[[#This Row],[email]]&amp;"&amp;subject=Your NSF Proposal:  "&amp;ckSplitTable[[#This Row],[prop_id]],ckSplitTable[[#This Row],[email]])</f>
        <v>diakonik@usc.edu</v>
      </c>
      <c r="AC28" s="8" t="s">
        <v>1112</v>
      </c>
      <c r="AD28" s="8" t="s">
        <v>411</v>
      </c>
      <c r="AE28" s="8" t="s">
        <v>411</v>
      </c>
      <c r="AF28" s="8" t="s">
        <v>1108</v>
      </c>
      <c r="AG28" s="8" t="s">
        <v>991</v>
      </c>
      <c r="AH28" s="8" t="s">
        <v>1113</v>
      </c>
      <c r="AK28"/>
      <c r="AL28" s="90" t="s">
        <v>1137</v>
      </c>
      <c r="AM28" s="31">
        <v>500000</v>
      </c>
      <c r="AN28" s="31">
        <v>500000</v>
      </c>
      <c r="AO28" s="31">
        <v>500000</v>
      </c>
      <c r="AP28" s="31"/>
      <c r="AQ28" s="31"/>
      <c r="AR28" s="31">
        <v>1500000</v>
      </c>
      <c r="AS28"/>
      <c r="AT28"/>
      <c r="AU28"/>
      <c r="AZ28" s="1"/>
      <c r="BB28"/>
      <c r="BC28"/>
      <c r="BD28" s="13"/>
      <c r="BO28"/>
      <c r="BS28"/>
    </row>
    <row r="29" spans="1:71" x14ac:dyDescent="0.4">
      <c r="A29" s="30">
        <v>42724.644189814811</v>
      </c>
      <c r="B29" s="30">
        <v>42571.734027777777</v>
      </c>
      <c r="C29" t="s">
        <v>974</v>
      </c>
      <c r="D29" t="s">
        <v>975</v>
      </c>
      <c r="E29" s="8" t="s">
        <v>94</v>
      </c>
      <c r="F29" s="8" t="s">
        <v>94</v>
      </c>
      <c r="G29" t="s">
        <v>222</v>
      </c>
      <c r="H29" t="s">
        <v>222</v>
      </c>
      <c r="I29" t="s">
        <v>405</v>
      </c>
      <c r="J29" t="s">
        <v>405</v>
      </c>
      <c r="K29" t="s">
        <v>451</v>
      </c>
      <c r="L29" t="s">
        <v>451</v>
      </c>
      <c r="M29" t="s">
        <v>992</v>
      </c>
      <c r="N29" s="8" t="s">
        <v>172</v>
      </c>
      <c r="O29" s="8" t="s">
        <v>2135</v>
      </c>
      <c r="P29" s="21">
        <v>2019</v>
      </c>
      <c r="Q29" s="8" t="s">
        <v>2148</v>
      </c>
      <c r="R29" s="32">
        <v>108540</v>
      </c>
      <c r="S29" s="21">
        <f t="shared" si="0"/>
        <v>7</v>
      </c>
      <c r="T29" s="8" t="s">
        <v>96</v>
      </c>
      <c r="U29" s="8" t="s">
        <v>1108</v>
      </c>
      <c r="V29" s="88" t="str">
        <f>HYPERLINK("https://www.ejacket.nsf.gov/ej/showProposal.do?ID="&amp;ckSplitTable[[#This Row],[prop_id]],"eJ")</f>
        <v>eJ</v>
      </c>
      <c r="W29" s="8" t="s">
        <v>224</v>
      </c>
      <c r="X29" s="8" t="s">
        <v>1108</v>
      </c>
      <c r="Y29" s="8" t="s">
        <v>1109</v>
      </c>
      <c r="Z29" s="8" t="s">
        <v>1110</v>
      </c>
      <c r="AA29" s="8" t="s">
        <v>1111</v>
      </c>
      <c r="AB29" s="88" t="str">
        <f>HYPERLINK("mailto:"&amp;ckSplitTable[[#This Row],[email]]&amp;"&amp;subject=Your NSF Proposal:  "&amp;ckSplitTable[[#This Row],[prop_id]],ckSplitTable[[#This Row],[email]])</f>
        <v>diakonik@usc.edu</v>
      </c>
      <c r="AC29" s="8" t="s">
        <v>1112</v>
      </c>
      <c r="AD29" s="8" t="s">
        <v>411</v>
      </c>
      <c r="AE29" s="8" t="s">
        <v>411</v>
      </c>
      <c r="AF29" s="8" t="s">
        <v>1108</v>
      </c>
      <c r="AG29" s="8" t="s">
        <v>991</v>
      </c>
      <c r="AH29" s="8" t="s">
        <v>1113</v>
      </c>
      <c r="AK29" s="25" t="s">
        <v>1281</v>
      </c>
      <c r="AL29" s="25" t="s">
        <v>1282</v>
      </c>
      <c r="AM29" s="31"/>
      <c r="AN29" s="31"/>
      <c r="AO29" s="31"/>
      <c r="AP29" s="31"/>
      <c r="AQ29" s="31"/>
      <c r="AR29" s="31"/>
      <c r="AS29"/>
      <c r="AT29"/>
      <c r="AU29"/>
      <c r="AZ29" s="1"/>
      <c r="BB29"/>
      <c r="BC29"/>
      <c r="BD29" s="13"/>
      <c r="BO29"/>
      <c r="BS29"/>
    </row>
    <row r="30" spans="1:71" x14ac:dyDescent="0.4">
      <c r="A30" s="30">
        <v>42724.644189814811</v>
      </c>
      <c r="B30" s="30">
        <v>42571.734027777777</v>
      </c>
      <c r="C30" t="s">
        <v>974</v>
      </c>
      <c r="D30" t="s">
        <v>975</v>
      </c>
      <c r="E30" s="8" t="s">
        <v>94</v>
      </c>
      <c r="F30" s="8" t="s">
        <v>94</v>
      </c>
      <c r="G30" t="s">
        <v>222</v>
      </c>
      <c r="H30" t="s">
        <v>222</v>
      </c>
      <c r="I30" t="s">
        <v>405</v>
      </c>
      <c r="J30" t="s">
        <v>405</v>
      </c>
      <c r="K30" t="s">
        <v>451</v>
      </c>
      <c r="L30" t="s">
        <v>451</v>
      </c>
      <c r="M30" t="s">
        <v>992</v>
      </c>
      <c r="N30" s="8" t="s">
        <v>172</v>
      </c>
      <c r="O30" s="8" t="s">
        <v>2135</v>
      </c>
      <c r="P30" s="21">
        <v>2020</v>
      </c>
      <c r="Q30" s="8" t="s">
        <v>2148</v>
      </c>
      <c r="R30" s="32">
        <v>110517</v>
      </c>
      <c r="S30" s="21">
        <f t="shared" si="0"/>
        <v>7</v>
      </c>
      <c r="T30" s="8" t="s">
        <v>96</v>
      </c>
      <c r="U30" s="8" t="s">
        <v>1108</v>
      </c>
      <c r="V30" s="88" t="str">
        <f>HYPERLINK("https://www.ejacket.nsf.gov/ej/showProposal.do?ID="&amp;ckSplitTable[[#This Row],[prop_id]],"eJ")</f>
        <v>eJ</v>
      </c>
      <c r="W30" s="8" t="s">
        <v>224</v>
      </c>
      <c r="X30" s="8" t="s">
        <v>1108</v>
      </c>
      <c r="Y30" s="8" t="s">
        <v>1109</v>
      </c>
      <c r="Z30" s="8" t="s">
        <v>1110</v>
      </c>
      <c r="AA30" s="8" t="s">
        <v>1111</v>
      </c>
      <c r="AB30" s="88" t="str">
        <f>HYPERLINK("mailto:"&amp;ckSplitTable[[#This Row],[email]]&amp;"&amp;subject=Your NSF Proposal:  "&amp;ckSplitTable[[#This Row],[prop_id]],ckSplitTable[[#This Row],[email]])</f>
        <v>diakonik@usc.edu</v>
      </c>
      <c r="AC30" s="8" t="s">
        <v>1112</v>
      </c>
      <c r="AD30" s="8" t="s">
        <v>411</v>
      </c>
      <c r="AE30" s="8" t="s">
        <v>411</v>
      </c>
      <c r="AF30" s="8" t="s">
        <v>1108</v>
      </c>
      <c r="AG30" s="8" t="s">
        <v>991</v>
      </c>
      <c r="AH30" s="8" t="s">
        <v>1113</v>
      </c>
      <c r="AK30"/>
      <c r="AL30" s="90" t="s">
        <v>1137</v>
      </c>
      <c r="AM30" s="31">
        <v>300515</v>
      </c>
      <c r="AN30" s="31">
        <v>297296</v>
      </c>
      <c r="AO30" s="31">
        <v>297859</v>
      </c>
      <c r="AP30" s="31"/>
      <c r="AQ30" s="31"/>
      <c r="AR30" s="31">
        <v>895670</v>
      </c>
      <c r="AS30"/>
      <c r="AT30"/>
      <c r="AU30"/>
      <c r="AZ30" s="1"/>
      <c r="BB30"/>
      <c r="BC30"/>
      <c r="BD30" s="13"/>
      <c r="BO30"/>
      <c r="BS30"/>
    </row>
    <row r="31" spans="1:71" x14ac:dyDescent="0.4">
      <c r="A31" s="30">
        <v>42724.644189814811</v>
      </c>
      <c r="B31" s="30">
        <v>42571.734027777777</v>
      </c>
      <c r="C31" t="s">
        <v>974</v>
      </c>
      <c r="D31" t="s">
        <v>975</v>
      </c>
      <c r="E31" s="8" t="s">
        <v>94</v>
      </c>
      <c r="F31" s="8" t="s">
        <v>94</v>
      </c>
      <c r="G31" t="s">
        <v>222</v>
      </c>
      <c r="H31" t="s">
        <v>222</v>
      </c>
      <c r="I31" t="s">
        <v>405</v>
      </c>
      <c r="J31" t="s">
        <v>405</v>
      </c>
      <c r="K31" t="s">
        <v>451</v>
      </c>
      <c r="L31" t="s">
        <v>451</v>
      </c>
      <c r="M31" t="s">
        <v>992</v>
      </c>
      <c r="N31" s="8" t="s">
        <v>172</v>
      </c>
      <c r="O31" s="8" t="s">
        <v>2135</v>
      </c>
      <c r="P31" s="21">
        <v>2021</v>
      </c>
      <c r="Q31" s="8" t="s">
        <v>2148</v>
      </c>
      <c r="R31" s="32">
        <v>114193</v>
      </c>
      <c r="S31" s="21">
        <f t="shared" si="0"/>
        <v>7</v>
      </c>
      <c r="T31" s="8" t="s">
        <v>96</v>
      </c>
      <c r="U31" s="8" t="s">
        <v>1108</v>
      </c>
      <c r="V31" s="88" t="str">
        <f>HYPERLINK("https://www.ejacket.nsf.gov/ej/showProposal.do?ID="&amp;ckSplitTable[[#This Row],[prop_id]],"eJ")</f>
        <v>eJ</v>
      </c>
      <c r="W31" s="8" t="s">
        <v>224</v>
      </c>
      <c r="X31" s="8" t="s">
        <v>1108</v>
      </c>
      <c r="Y31" s="8" t="s">
        <v>1109</v>
      </c>
      <c r="Z31" s="8" t="s">
        <v>1110</v>
      </c>
      <c r="AA31" s="8" t="s">
        <v>1111</v>
      </c>
      <c r="AB31" s="88" t="str">
        <f>HYPERLINK("mailto:"&amp;ckSplitTable[[#This Row],[email]]&amp;"&amp;subject=Your NSF Proposal:  "&amp;ckSplitTable[[#This Row],[prop_id]],ckSplitTable[[#This Row],[email]])</f>
        <v>diakonik@usc.edu</v>
      </c>
      <c r="AC31" s="8" t="s">
        <v>1112</v>
      </c>
      <c r="AD31" s="8" t="s">
        <v>411</v>
      </c>
      <c r="AE31" s="8" t="s">
        <v>411</v>
      </c>
      <c r="AF31" s="8" t="s">
        <v>1108</v>
      </c>
      <c r="AG31" s="8" t="s">
        <v>991</v>
      </c>
      <c r="AH31" s="8" t="s">
        <v>1113</v>
      </c>
      <c r="AK31" s="25" t="s">
        <v>1343</v>
      </c>
      <c r="AL31" s="25" t="s">
        <v>1344</v>
      </c>
      <c r="AM31" s="31"/>
      <c r="AN31" s="31"/>
      <c r="AO31" s="31"/>
      <c r="AP31" s="31"/>
      <c r="AQ31" s="31"/>
      <c r="AR31" s="31"/>
      <c r="AS31"/>
      <c r="AT31"/>
      <c r="AU31"/>
      <c r="AZ31" s="1"/>
      <c r="BB31"/>
      <c r="BC31"/>
      <c r="BD31" s="13"/>
      <c r="BO31"/>
      <c r="BS31"/>
    </row>
    <row r="32" spans="1:71" x14ac:dyDescent="0.4">
      <c r="A32" s="30">
        <v>42933.475868055553</v>
      </c>
      <c r="B32" s="30">
        <v>42809.474999999999</v>
      </c>
      <c r="C32" t="s">
        <v>1135</v>
      </c>
      <c r="D32" t="s">
        <v>1136</v>
      </c>
      <c r="E32" s="8" t="s">
        <v>94</v>
      </c>
      <c r="F32" s="8" t="s">
        <v>94</v>
      </c>
      <c r="G32" t="s">
        <v>222</v>
      </c>
      <c r="H32" t="s">
        <v>2149</v>
      </c>
      <c r="I32" t="s">
        <v>1137</v>
      </c>
      <c r="J32" t="s">
        <v>2150</v>
      </c>
      <c r="K32" t="s">
        <v>406</v>
      </c>
      <c r="L32" t="s">
        <v>2151</v>
      </c>
      <c r="M32" t="s">
        <v>992</v>
      </c>
      <c r="N32" s="8" t="s">
        <v>172</v>
      </c>
      <c r="O32" s="8" t="s">
        <v>962</v>
      </c>
      <c r="P32" s="21">
        <v>2017</v>
      </c>
      <c r="Q32" s="8" t="s">
        <v>2148</v>
      </c>
      <c r="R32" s="32">
        <v>300000</v>
      </c>
      <c r="S32" s="21">
        <f t="shared" si="0"/>
        <v>8</v>
      </c>
      <c r="T32" s="8" t="s">
        <v>96</v>
      </c>
      <c r="U32" s="8" t="s">
        <v>1199</v>
      </c>
      <c r="V32" s="88" t="str">
        <f>HYPERLINK("https://www.ejacket.nsf.gov/ej/showProposal.do?ID="&amp;ckSplitTable[[#This Row],[prop_id]],"eJ")</f>
        <v>eJ</v>
      </c>
      <c r="W32" s="8" t="s">
        <v>224</v>
      </c>
      <c r="X32" s="8" t="s">
        <v>1199</v>
      </c>
      <c r="Y32" s="8" t="s">
        <v>1200</v>
      </c>
      <c r="Z32" s="8" t="s">
        <v>1201</v>
      </c>
      <c r="AA32" s="8" t="s">
        <v>1202</v>
      </c>
      <c r="AB32" s="88" t="str">
        <f>HYPERLINK("mailto:"&amp;ckSplitTable[[#This Row],[email]]&amp;"&amp;subject=Your NSF Proposal:  "&amp;ckSplitTable[[#This Row],[prop_id]],ckSplitTable[[#This Row],[email]])</f>
        <v>Jeff_Brock@brown.edu</v>
      </c>
      <c r="AC32" s="8" t="s">
        <v>1203</v>
      </c>
      <c r="AD32" s="8" t="s">
        <v>1204</v>
      </c>
      <c r="AE32" s="8" t="s">
        <v>1204</v>
      </c>
      <c r="AF32" s="8" t="s">
        <v>1199</v>
      </c>
      <c r="AG32" s="8" t="s">
        <v>991</v>
      </c>
      <c r="AH32" s="8" t="s">
        <v>1206</v>
      </c>
      <c r="AK32"/>
      <c r="AL32" s="90" t="s">
        <v>1137</v>
      </c>
      <c r="AM32" s="31">
        <v>596622</v>
      </c>
      <c r="AN32" s="31"/>
      <c r="AO32" s="31"/>
      <c r="AP32" s="31"/>
      <c r="AQ32" s="31"/>
      <c r="AR32" s="31">
        <v>596622</v>
      </c>
      <c r="AS32"/>
      <c r="AT32"/>
      <c r="AU32"/>
      <c r="AZ32" s="1"/>
      <c r="BB32"/>
      <c r="BC32"/>
      <c r="BD32" s="13"/>
      <c r="BO32"/>
      <c r="BS32"/>
    </row>
    <row r="33" spans="1:44" x14ac:dyDescent="0.4">
      <c r="A33" s="30">
        <v>42933.475868055553</v>
      </c>
      <c r="B33" s="30">
        <v>42809.474999999999</v>
      </c>
      <c r="C33" t="s">
        <v>1135</v>
      </c>
      <c r="D33" t="s">
        <v>1136</v>
      </c>
      <c r="E33" s="8" t="s">
        <v>94</v>
      </c>
      <c r="F33" s="8" t="s">
        <v>94</v>
      </c>
      <c r="G33" t="s">
        <v>222</v>
      </c>
      <c r="H33" t="s">
        <v>222</v>
      </c>
      <c r="I33" t="s">
        <v>1137</v>
      </c>
      <c r="J33" t="s">
        <v>1137</v>
      </c>
      <c r="K33" t="s">
        <v>406</v>
      </c>
      <c r="L33" t="s">
        <v>406</v>
      </c>
      <c r="M33" t="s">
        <v>992</v>
      </c>
      <c r="N33" s="8" t="s">
        <v>172</v>
      </c>
      <c r="O33" s="8" t="s">
        <v>962</v>
      </c>
      <c r="P33" s="21">
        <v>2017</v>
      </c>
      <c r="Q33" s="8" t="s">
        <v>2152</v>
      </c>
      <c r="R33" s="32">
        <v>441088</v>
      </c>
      <c r="S33" s="21">
        <f t="shared" si="0"/>
        <v>8</v>
      </c>
      <c r="T33" s="8" t="s">
        <v>96</v>
      </c>
      <c r="U33" s="8" t="s">
        <v>1199</v>
      </c>
      <c r="V33" s="88" t="str">
        <f>HYPERLINK("https://www.ejacket.nsf.gov/ej/showProposal.do?ID="&amp;ckSplitTable[[#This Row],[prop_id]],"eJ")</f>
        <v>eJ</v>
      </c>
      <c r="W33" s="8" t="s">
        <v>224</v>
      </c>
      <c r="X33" s="8" t="s">
        <v>1199</v>
      </c>
      <c r="Y33" s="8" t="s">
        <v>1200</v>
      </c>
      <c r="Z33" s="8" t="s">
        <v>1201</v>
      </c>
      <c r="AA33" s="8" t="s">
        <v>1202</v>
      </c>
      <c r="AB33" s="88" t="str">
        <f>HYPERLINK("mailto:"&amp;ckSplitTable[[#This Row],[email]]&amp;"&amp;subject=Your NSF Proposal:  "&amp;ckSplitTable[[#This Row],[prop_id]],ckSplitTable[[#This Row],[email]])</f>
        <v>Jeff_Brock@brown.edu</v>
      </c>
      <c r="AC33" s="8" t="s">
        <v>1203</v>
      </c>
      <c r="AD33" s="8" t="s">
        <v>1204</v>
      </c>
      <c r="AE33" s="8" t="s">
        <v>1204</v>
      </c>
      <c r="AF33" s="8" t="s">
        <v>1199</v>
      </c>
      <c r="AG33" s="8" t="s">
        <v>991</v>
      </c>
      <c r="AH33" s="8" t="s">
        <v>1206</v>
      </c>
      <c r="AK33"/>
      <c r="AL33" s="90" t="s">
        <v>2161</v>
      </c>
      <c r="AM33" s="31">
        <v>500000</v>
      </c>
      <c r="AN33" s="31"/>
      <c r="AO33" s="31"/>
      <c r="AP33" s="31"/>
      <c r="AQ33" s="31"/>
      <c r="AR33" s="31">
        <v>500000</v>
      </c>
    </row>
    <row r="34" spans="1:44" x14ac:dyDescent="0.4">
      <c r="A34" s="30">
        <v>42933.475868055553</v>
      </c>
      <c r="B34" s="30">
        <v>42809.474999999999</v>
      </c>
      <c r="C34" t="s">
        <v>1135</v>
      </c>
      <c r="D34" t="s">
        <v>1136</v>
      </c>
      <c r="E34" s="8" t="s">
        <v>94</v>
      </c>
      <c r="F34" s="8" t="s">
        <v>94</v>
      </c>
      <c r="G34" t="s">
        <v>222</v>
      </c>
      <c r="H34" t="s">
        <v>1117</v>
      </c>
      <c r="I34" t="s">
        <v>1137</v>
      </c>
      <c r="J34" t="s">
        <v>1137</v>
      </c>
      <c r="K34" t="s">
        <v>406</v>
      </c>
      <c r="L34" t="s">
        <v>1241</v>
      </c>
      <c r="M34" t="s">
        <v>992</v>
      </c>
      <c r="N34" s="8" t="s">
        <v>172</v>
      </c>
      <c r="O34" s="8" t="s">
        <v>962</v>
      </c>
      <c r="P34" s="21">
        <v>2017</v>
      </c>
      <c r="Q34" s="8" t="s">
        <v>2153</v>
      </c>
      <c r="R34" s="32">
        <v>441089</v>
      </c>
      <c r="S34" s="21">
        <f t="shared" ref="S34:S65" si="1">S33+(X34&lt;&gt;X33)</f>
        <v>8</v>
      </c>
      <c r="T34" s="8" t="s">
        <v>96</v>
      </c>
      <c r="U34" s="8" t="s">
        <v>1199</v>
      </c>
      <c r="V34" s="88" t="str">
        <f>HYPERLINK("https://www.ejacket.nsf.gov/ej/showProposal.do?ID="&amp;ckSplitTable[[#This Row],[prop_id]],"eJ")</f>
        <v>eJ</v>
      </c>
      <c r="W34" s="8" t="s">
        <v>224</v>
      </c>
      <c r="X34" s="8" t="s">
        <v>1199</v>
      </c>
      <c r="Y34" s="8" t="s">
        <v>1200</v>
      </c>
      <c r="Z34" s="8" t="s">
        <v>1201</v>
      </c>
      <c r="AA34" s="8" t="s">
        <v>1202</v>
      </c>
      <c r="AB34" s="88" t="str">
        <f>HYPERLINK("mailto:"&amp;ckSplitTable[[#This Row],[email]]&amp;"&amp;subject=Your NSF Proposal:  "&amp;ckSplitTable[[#This Row],[prop_id]],ckSplitTable[[#This Row],[email]])</f>
        <v>Jeff_Brock@brown.edu</v>
      </c>
      <c r="AC34" s="8" t="s">
        <v>1203</v>
      </c>
      <c r="AD34" s="8" t="s">
        <v>1204</v>
      </c>
      <c r="AE34" s="8" t="s">
        <v>1204</v>
      </c>
      <c r="AF34" s="8" t="s">
        <v>1199</v>
      </c>
      <c r="AG34" s="8" t="s">
        <v>991</v>
      </c>
      <c r="AH34" s="8" t="s">
        <v>1206</v>
      </c>
      <c r="AK34"/>
      <c r="AL34" s="90" t="s">
        <v>2150</v>
      </c>
      <c r="AM34" s="31">
        <v>400033</v>
      </c>
      <c r="AN34" s="31"/>
      <c r="AO34" s="31"/>
      <c r="AP34" s="31"/>
      <c r="AQ34" s="31"/>
      <c r="AR34" s="31">
        <v>400033</v>
      </c>
    </row>
    <row r="35" spans="1:44" x14ac:dyDescent="0.4">
      <c r="A35" s="30">
        <v>42933.475868055553</v>
      </c>
      <c r="B35" s="30">
        <v>42809.474999999999</v>
      </c>
      <c r="C35" t="s">
        <v>1135</v>
      </c>
      <c r="D35" t="s">
        <v>1136</v>
      </c>
      <c r="E35" s="8" t="s">
        <v>94</v>
      </c>
      <c r="F35" s="8" t="s">
        <v>94</v>
      </c>
      <c r="G35" t="s">
        <v>222</v>
      </c>
      <c r="H35" t="s">
        <v>2154</v>
      </c>
      <c r="I35" t="s">
        <v>1137</v>
      </c>
      <c r="J35" t="s">
        <v>352</v>
      </c>
      <c r="K35" t="s">
        <v>406</v>
      </c>
      <c r="L35" t="s">
        <v>2155</v>
      </c>
      <c r="M35" t="s">
        <v>992</v>
      </c>
      <c r="N35" s="8" t="s">
        <v>172</v>
      </c>
      <c r="O35" s="8" t="s">
        <v>962</v>
      </c>
      <c r="P35" s="21">
        <v>2017</v>
      </c>
      <c r="Q35" s="8" t="s">
        <v>2156</v>
      </c>
      <c r="R35" s="32">
        <v>300000</v>
      </c>
      <c r="S35" s="21">
        <f t="shared" si="1"/>
        <v>8</v>
      </c>
      <c r="T35" s="8" t="s">
        <v>96</v>
      </c>
      <c r="U35" s="8" t="s">
        <v>1199</v>
      </c>
      <c r="V35" s="88" t="str">
        <f>HYPERLINK("https://www.ejacket.nsf.gov/ej/showProposal.do?ID="&amp;ckSplitTable[[#This Row],[prop_id]],"eJ")</f>
        <v>eJ</v>
      </c>
      <c r="W35" s="8" t="s">
        <v>224</v>
      </c>
      <c r="X35" s="8" t="s">
        <v>1199</v>
      </c>
      <c r="Y35" s="8" t="s">
        <v>1200</v>
      </c>
      <c r="Z35" s="8" t="s">
        <v>1201</v>
      </c>
      <c r="AA35" s="8" t="s">
        <v>1202</v>
      </c>
      <c r="AB35" s="88" t="str">
        <f>HYPERLINK("mailto:"&amp;ckSplitTable[[#This Row],[email]]&amp;"&amp;subject=Your NSF Proposal:  "&amp;ckSplitTable[[#This Row],[prop_id]],ckSplitTable[[#This Row],[email]])</f>
        <v>Jeff_Brock@brown.edu</v>
      </c>
      <c r="AC35" s="8" t="s">
        <v>1203</v>
      </c>
      <c r="AD35" s="8" t="s">
        <v>1204</v>
      </c>
      <c r="AE35" s="8" t="s">
        <v>1204</v>
      </c>
      <c r="AF35" s="8" t="s">
        <v>1199</v>
      </c>
      <c r="AG35" s="8" t="s">
        <v>991</v>
      </c>
      <c r="AH35" s="8" t="s">
        <v>1206</v>
      </c>
      <c r="AK35" s="25" t="s">
        <v>1373</v>
      </c>
      <c r="AL35" s="25" t="s">
        <v>1374</v>
      </c>
      <c r="AM35" s="31"/>
      <c r="AN35" s="31"/>
      <c r="AO35" s="31"/>
      <c r="AP35" s="31"/>
      <c r="AQ35" s="31"/>
      <c r="AR35" s="31"/>
    </row>
    <row r="36" spans="1:44" x14ac:dyDescent="0.4">
      <c r="A36" s="30">
        <v>42934.517997685187</v>
      </c>
      <c r="B36" s="30">
        <v>42809.505555555559</v>
      </c>
      <c r="C36" t="s">
        <v>1135</v>
      </c>
      <c r="D36" t="s">
        <v>1136</v>
      </c>
      <c r="E36" s="8" t="s">
        <v>94</v>
      </c>
      <c r="F36" s="8" t="s">
        <v>94</v>
      </c>
      <c r="G36" t="s">
        <v>222</v>
      </c>
      <c r="H36" t="s">
        <v>222</v>
      </c>
      <c r="I36" t="s">
        <v>1137</v>
      </c>
      <c r="J36" t="s">
        <v>1137</v>
      </c>
      <c r="K36" t="s">
        <v>451</v>
      </c>
      <c r="L36" t="s">
        <v>451</v>
      </c>
      <c r="M36" t="s">
        <v>992</v>
      </c>
      <c r="N36" s="8" t="s">
        <v>172</v>
      </c>
      <c r="O36" s="8" t="s">
        <v>2135</v>
      </c>
      <c r="P36" s="21">
        <v>2017</v>
      </c>
      <c r="Q36" s="8" t="s">
        <v>2148</v>
      </c>
      <c r="R36" s="32">
        <v>184250</v>
      </c>
      <c r="S36" s="21">
        <f t="shared" si="1"/>
        <v>9</v>
      </c>
      <c r="T36" s="8" t="s">
        <v>96</v>
      </c>
      <c r="U36" s="8" t="s">
        <v>1222</v>
      </c>
      <c r="V36" s="88" t="str">
        <f>HYPERLINK("https://www.ejacket.nsf.gov/ej/showProposal.do?ID="&amp;ckSplitTable[[#This Row],[prop_id]],"eJ")</f>
        <v>eJ</v>
      </c>
      <c r="W36" s="8" t="s">
        <v>224</v>
      </c>
      <c r="X36" s="8" t="s">
        <v>1222</v>
      </c>
      <c r="Y36" s="8" t="s">
        <v>1223</v>
      </c>
      <c r="Z36" s="8" t="s">
        <v>1224</v>
      </c>
      <c r="AA36" s="8" t="s">
        <v>223</v>
      </c>
      <c r="AB36" s="88" t="str">
        <f>HYPERLINK("mailto:"&amp;ckSplitTable[[#This Row],[email]]&amp;"&amp;subject=Your NSF Proposal:  "&amp;ckSplitTable[[#This Row],[prop_id]],ckSplitTable[[#This Row],[email]])</f>
        <v>indyk@mit.edu</v>
      </c>
      <c r="AC36" s="8" t="s">
        <v>1225</v>
      </c>
      <c r="AD36" s="8" t="s">
        <v>1142</v>
      </c>
      <c r="AE36" s="8" t="s">
        <v>1142</v>
      </c>
      <c r="AF36" s="8" t="s">
        <v>1222</v>
      </c>
      <c r="AG36" s="8" t="s">
        <v>991</v>
      </c>
      <c r="AH36" s="8" t="s">
        <v>1227</v>
      </c>
      <c r="AK36"/>
      <c r="AL36" s="90" t="s">
        <v>1137</v>
      </c>
      <c r="AM36" s="31"/>
      <c r="AN36" s="31">
        <v>500000</v>
      </c>
      <c r="AO36" s="31">
        <v>500000</v>
      </c>
      <c r="AP36" s="31"/>
      <c r="AQ36" s="31"/>
      <c r="AR36" s="31">
        <v>1000000</v>
      </c>
    </row>
    <row r="37" spans="1:44" x14ac:dyDescent="0.4">
      <c r="A37" s="30">
        <v>42934.517997685187</v>
      </c>
      <c r="B37" s="30">
        <v>42809.505555555559</v>
      </c>
      <c r="C37" t="s">
        <v>1135</v>
      </c>
      <c r="D37" t="s">
        <v>1136</v>
      </c>
      <c r="E37" s="8" t="s">
        <v>94</v>
      </c>
      <c r="F37" s="8" t="s">
        <v>94</v>
      </c>
      <c r="G37" t="s">
        <v>222</v>
      </c>
      <c r="H37" t="s">
        <v>1117</v>
      </c>
      <c r="I37" t="s">
        <v>1137</v>
      </c>
      <c r="J37" t="s">
        <v>1137</v>
      </c>
      <c r="K37" t="s">
        <v>451</v>
      </c>
      <c r="L37" t="s">
        <v>1241</v>
      </c>
      <c r="M37" t="s">
        <v>992</v>
      </c>
      <c r="N37" s="8" t="s">
        <v>172</v>
      </c>
      <c r="O37" s="8" t="s">
        <v>2135</v>
      </c>
      <c r="P37" s="21">
        <v>2017</v>
      </c>
      <c r="Q37" s="8" t="s">
        <v>2152</v>
      </c>
      <c r="R37" s="32">
        <v>184250</v>
      </c>
      <c r="S37" s="21">
        <f t="shared" si="1"/>
        <v>9</v>
      </c>
      <c r="T37" s="8" t="s">
        <v>96</v>
      </c>
      <c r="U37" s="8" t="s">
        <v>1222</v>
      </c>
      <c r="V37" s="88" t="str">
        <f>HYPERLINK("https://www.ejacket.nsf.gov/ej/showProposal.do?ID="&amp;ckSplitTable[[#This Row],[prop_id]],"eJ")</f>
        <v>eJ</v>
      </c>
      <c r="W37" s="8" t="s">
        <v>224</v>
      </c>
      <c r="X37" s="8" t="s">
        <v>1222</v>
      </c>
      <c r="Y37" s="8" t="s">
        <v>1223</v>
      </c>
      <c r="Z37" s="8" t="s">
        <v>1224</v>
      </c>
      <c r="AA37" s="8" t="s">
        <v>223</v>
      </c>
      <c r="AB37" s="88" t="str">
        <f>HYPERLINK("mailto:"&amp;ckSplitTable[[#This Row],[email]]&amp;"&amp;subject=Your NSF Proposal:  "&amp;ckSplitTable[[#This Row],[prop_id]],ckSplitTable[[#This Row],[email]])</f>
        <v>indyk@mit.edu</v>
      </c>
      <c r="AC37" s="8" t="s">
        <v>1225</v>
      </c>
      <c r="AD37" s="8" t="s">
        <v>1142</v>
      </c>
      <c r="AE37" s="8" t="s">
        <v>1142</v>
      </c>
      <c r="AF37" s="8" t="s">
        <v>1222</v>
      </c>
      <c r="AG37" s="8" t="s">
        <v>991</v>
      </c>
      <c r="AH37" s="8" t="s">
        <v>1227</v>
      </c>
      <c r="AK37"/>
      <c r="AL37" s="90" t="s">
        <v>2161</v>
      </c>
      <c r="AM37" s="31">
        <v>500000</v>
      </c>
      <c r="AN37" s="31"/>
      <c r="AO37" s="31"/>
      <c r="AP37" s="31"/>
      <c r="AQ37" s="31"/>
      <c r="AR37" s="31">
        <v>500000</v>
      </c>
    </row>
    <row r="38" spans="1:44" x14ac:dyDescent="0.4">
      <c r="A38" s="30">
        <v>42934.517997685187</v>
      </c>
      <c r="B38" s="30">
        <v>42809.505555555559</v>
      </c>
      <c r="C38" t="s">
        <v>1135</v>
      </c>
      <c r="D38" t="s">
        <v>1136</v>
      </c>
      <c r="E38" s="8" t="s">
        <v>94</v>
      </c>
      <c r="F38" s="8" t="s">
        <v>94</v>
      </c>
      <c r="G38" t="s">
        <v>222</v>
      </c>
      <c r="H38" t="s">
        <v>222</v>
      </c>
      <c r="I38" t="s">
        <v>1137</v>
      </c>
      <c r="J38" t="s">
        <v>1137</v>
      </c>
      <c r="K38" t="s">
        <v>451</v>
      </c>
      <c r="L38" t="s">
        <v>451</v>
      </c>
      <c r="M38" t="s">
        <v>992</v>
      </c>
      <c r="N38" s="8" t="s">
        <v>172</v>
      </c>
      <c r="O38" s="8" t="s">
        <v>2135</v>
      </c>
      <c r="P38" s="21">
        <v>2018</v>
      </c>
      <c r="Q38" s="8" t="s">
        <v>2148</v>
      </c>
      <c r="R38" s="32">
        <v>250000</v>
      </c>
      <c r="S38" s="21">
        <f t="shared" si="1"/>
        <v>9</v>
      </c>
      <c r="T38" s="8" t="s">
        <v>96</v>
      </c>
      <c r="U38" s="8" t="s">
        <v>1222</v>
      </c>
      <c r="V38" s="88" t="str">
        <f>HYPERLINK("https://www.ejacket.nsf.gov/ej/showProposal.do?ID="&amp;ckSplitTable[[#This Row],[prop_id]],"eJ")</f>
        <v>eJ</v>
      </c>
      <c r="W38" s="8" t="s">
        <v>224</v>
      </c>
      <c r="X38" s="8" t="s">
        <v>1222</v>
      </c>
      <c r="Y38" s="8" t="s">
        <v>1223</v>
      </c>
      <c r="Z38" s="8" t="s">
        <v>1224</v>
      </c>
      <c r="AA38" s="8" t="s">
        <v>223</v>
      </c>
      <c r="AB38" s="88" t="str">
        <f>HYPERLINK("mailto:"&amp;ckSplitTable[[#This Row],[email]]&amp;"&amp;subject=Your NSF Proposal:  "&amp;ckSplitTable[[#This Row],[prop_id]],ckSplitTable[[#This Row],[email]])</f>
        <v>indyk@mit.edu</v>
      </c>
      <c r="AC38" s="8" t="s">
        <v>1225</v>
      </c>
      <c r="AD38" s="8" t="s">
        <v>1142</v>
      </c>
      <c r="AE38" s="8" t="s">
        <v>1142</v>
      </c>
      <c r="AF38" s="8" t="s">
        <v>1222</v>
      </c>
      <c r="AG38" s="8" t="s">
        <v>991</v>
      </c>
      <c r="AH38" s="8" t="s">
        <v>1227</v>
      </c>
      <c r="AK38" s="25" t="s">
        <v>2166</v>
      </c>
      <c r="AL38"/>
      <c r="AM38" s="31">
        <v>5990027</v>
      </c>
      <c r="AN38" s="31">
        <v>2206270</v>
      </c>
      <c r="AO38" s="31">
        <v>2735403</v>
      </c>
      <c r="AP38" s="31">
        <v>749672</v>
      </c>
      <c r="AQ38" s="31">
        <v>679017</v>
      </c>
      <c r="AR38" s="31">
        <v>12360389</v>
      </c>
    </row>
    <row r="39" spans="1:44" x14ac:dyDescent="0.4">
      <c r="A39" s="30">
        <v>42934.517997685187</v>
      </c>
      <c r="B39" s="30">
        <v>42809.505555555559</v>
      </c>
      <c r="C39" t="s">
        <v>1135</v>
      </c>
      <c r="D39" t="s">
        <v>1136</v>
      </c>
      <c r="E39" s="8" t="s">
        <v>94</v>
      </c>
      <c r="F39" s="8" t="s">
        <v>94</v>
      </c>
      <c r="G39" t="s">
        <v>222</v>
      </c>
      <c r="H39" t="s">
        <v>1117</v>
      </c>
      <c r="I39" t="s">
        <v>1137</v>
      </c>
      <c r="J39" t="s">
        <v>1137</v>
      </c>
      <c r="K39" t="s">
        <v>451</v>
      </c>
      <c r="L39" t="s">
        <v>1241</v>
      </c>
      <c r="M39" t="s">
        <v>992</v>
      </c>
      <c r="N39" s="8" t="s">
        <v>172</v>
      </c>
      <c r="O39" s="8" t="s">
        <v>2135</v>
      </c>
      <c r="P39" s="21">
        <v>2018</v>
      </c>
      <c r="Q39" s="8" t="s">
        <v>2152</v>
      </c>
      <c r="R39" s="32">
        <v>250000</v>
      </c>
      <c r="S39" s="21">
        <f t="shared" si="1"/>
        <v>9</v>
      </c>
      <c r="T39" s="8" t="s">
        <v>96</v>
      </c>
      <c r="U39" s="8" t="s">
        <v>1222</v>
      </c>
      <c r="V39" s="88" t="str">
        <f>HYPERLINK("https://www.ejacket.nsf.gov/ej/showProposal.do?ID="&amp;ckSplitTable[[#This Row],[prop_id]],"eJ")</f>
        <v>eJ</v>
      </c>
      <c r="W39" s="8" t="s">
        <v>224</v>
      </c>
      <c r="X39" s="8" t="s">
        <v>1222</v>
      </c>
      <c r="Y39" s="8" t="s">
        <v>1223</v>
      </c>
      <c r="Z39" s="8" t="s">
        <v>1224</v>
      </c>
      <c r="AA39" s="8" t="s">
        <v>223</v>
      </c>
      <c r="AB39" s="88" t="str">
        <f>HYPERLINK("mailto:"&amp;ckSplitTable[[#This Row],[email]]&amp;"&amp;subject=Your NSF Proposal:  "&amp;ckSplitTable[[#This Row],[prop_id]],ckSplitTable[[#This Row],[email]])</f>
        <v>indyk@mit.edu</v>
      </c>
      <c r="AC39" s="8" t="s">
        <v>1225</v>
      </c>
      <c r="AD39" s="8" t="s">
        <v>1142</v>
      </c>
      <c r="AE39" s="8" t="s">
        <v>1142</v>
      </c>
      <c r="AF39" s="8" t="s">
        <v>1222</v>
      </c>
      <c r="AG39" s="8" t="s">
        <v>991</v>
      </c>
      <c r="AH39" s="8" t="s">
        <v>1227</v>
      </c>
      <c r="AK39"/>
      <c r="AL39"/>
      <c r="AM39"/>
      <c r="AN39"/>
      <c r="AO39"/>
      <c r="AP39"/>
      <c r="AQ39"/>
      <c r="AR39"/>
    </row>
    <row r="40" spans="1:44" x14ac:dyDescent="0.4">
      <c r="A40" s="30">
        <v>42934.517997685187</v>
      </c>
      <c r="B40" s="30">
        <v>42809.505555555559</v>
      </c>
      <c r="C40" t="s">
        <v>1135</v>
      </c>
      <c r="D40" t="s">
        <v>1136</v>
      </c>
      <c r="E40" s="8" t="s">
        <v>94</v>
      </c>
      <c r="F40" s="8" t="s">
        <v>94</v>
      </c>
      <c r="G40" t="s">
        <v>222</v>
      </c>
      <c r="H40" t="s">
        <v>222</v>
      </c>
      <c r="I40" t="s">
        <v>1137</v>
      </c>
      <c r="J40" t="s">
        <v>1137</v>
      </c>
      <c r="K40" t="s">
        <v>451</v>
      </c>
      <c r="L40" t="s">
        <v>451</v>
      </c>
      <c r="M40" t="s">
        <v>992</v>
      </c>
      <c r="N40" s="8" t="s">
        <v>172</v>
      </c>
      <c r="O40" s="8" t="s">
        <v>2135</v>
      </c>
      <c r="P40" s="21">
        <v>2019</v>
      </c>
      <c r="Q40" s="8" t="s">
        <v>2148</v>
      </c>
      <c r="R40" s="32">
        <v>250000</v>
      </c>
      <c r="S40" s="21">
        <f t="shared" si="1"/>
        <v>9</v>
      </c>
      <c r="T40" s="8" t="s">
        <v>96</v>
      </c>
      <c r="U40" s="8" t="s">
        <v>1222</v>
      </c>
      <c r="V40" s="88" t="str">
        <f>HYPERLINK("https://www.ejacket.nsf.gov/ej/showProposal.do?ID="&amp;ckSplitTable[[#This Row],[prop_id]],"eJ")</f>
        <v>eJ</v>
      </c>
      <c r="W40" s="8" t="s">
        <v>224</v>
      </c>
      <c r="X40" s="8" t="s">
        <v>1222</v>
      </c>
      <c r="Y40" s="8" t="s">
        <v>1223</v>
      </c>
      <c r="Z40" s="8" t="s">
        <v>1224</v>
      </c>
      <c r="AA40" s="8" t="s">
        <v>223</v>
      </c>
      <c r="AB40" s="88" t="str">
        <f>HYPERLINK("mailto:"&amp;ckSplitTable[[#This Row],[email]]&amp;"&amp;subject=Your NSF Proposal:  "&amp;ckSplitTable[[#This Row],[prop_id]],ckSplitTable[[#This Row],[email]])</f>
        <v>indyk@mit.edu</v>
      </c>
      <c r="AC40" s="8" t="s">
        <v>1225</v>
      </c>
      <c r="AD40" s="8" t="s">
        <v>1142</v>
      </c>
      <c r="AE40" s="8" t="s">
        <v>1142</v>
      </c>
      <c r="AF40" s="8" t="s">
        <v>1222</v>
      </c>
      <c r="AG40" s="8" t="s">
        <v>991</v>
      </c>
      <c r="AH40" s="8" t="s">
        <v>1227</v>
      </c>
      <c r="AK40"/>
      <c r="AL40"/>
      <c r="AM40"/>
      <c r="AN40"/>
      <c r="AO40"/>
      <c r="AP40"/>
      <c r="AQ40"/>
      <c r="AR40"/>
    </row>
    <row r="41" spans="1:44" x14ac:dyDescent="0.4">
      <c r="A41" s="30">
        <v>42934.517997685187</v>
      </c>
      <c r="B41" s="30">
        <v>42809.505555555559</v>
      </c>
      <c r="C41" t="s">
        <v>1135</v>
      </c>
      <c r="D41" t="s">
        <v>1136</v>
      </c>
      <c r="E41" s="8" t="s">
        <v>94</v>
      </c>
      <c r="F41" s="8" t="s">
        <v>94</v>
      </c>
      <c r="G41" t="s">
        <v>222</v>
      </c>
      <c r="H41" t="s">
        <v>1117</v>
      </c>
      <c r="I41" t="s">
        <v>1137</v>
      </c>
      <c r="J41" t="s">
        <v>1137</v>
      </c>
      <c r="K41" t="s">
        <v>451</v>
      </c>
      <c r="L41" t="s">
        <v>1241</v>
      </c>
      <c r="M41" t="s">
        <v>992</v>
      </c>
      <c r="N41" s="8" t="s">
        <v>172</v>
      </c>
      <c r="O41" s="8" t="s">
        <v>2135</v>
      </c>
      <c r="P41" s="21">
        <v>2019</v>
      </c>
      <c r="Q41" s="8" t="s">
        <v>2152</v>
      </c>
      <c r="R41" s="32">
        <v>250000</v>
      </c>
      <c r="S41" s="21">
        <f t="shared" si="1"/>
        <v>9</v>
      </c>
      <c r="T41" s="8" t="s">
        <v>96</v>
      </c>
      <c r="U41" s="8" t="s">
        <v>1222</v>
      </c>
      <c r="V41" s="88" t="str">
        <f>HYPERLINK("https://www.ejacket.nsf.gov/ej/showProposal.do?ID="&amp;ckSplitTable[[#This Row],[prop_id]],"eJ")</f>
        <v>eJ</v>
      </c>
      <c r="W41" s="8" t="s">
        <v>224</v>
      </c>
      <c r="X41" s="8" t="s">
        <v>1222</v>
      </c>
      <c r="Y41" s="8" t="s">
        <v>1223</v>
      </c>
      <c r="Z41" s="8" t="s">
        <v>1224</v>
      </c>
      <c r="AA41" s="8" t="s">
        <v>223</v>
      </c>
      <c r="AB41" s="88" t="str">
        <f>HYPERLINK("mailto:"&amp;ckSplitTable[[#This Row],[email]]&amp;"&amp;subject=Your NSF Proposal:  "&amp;ckSplitTable[[#This Row],[prop_id]],ckSplitTable[[#This Row],[email]])</f>
        <v>indyk@mit.edu</v>
      </c>
      <c r="AC41" s="8" t="s">
        <v>1225</v>
      </c>
      <c r="AD41" s="8" t="s">
        <v>1142</v>
      </c>
      <c r="AE41" s="8" t="s">
        <v>1142</v>
      </c>
      <c r="AF41" s="8" t="s">
        <v>1222</v>
      </c>
      <c r="AG41" s="8" t="s">
        <v>991</v>
      </c>
      <c r="AH41" s="8" t="s">
        <v>1227</v>
      </c>
      <c r="AK41"/>
      <c r="AL41"/>
      <c r="AM41"/>
      <c r="AN41"/>
      <c r="AO41"/>
      <c r="AP41"/>
      <c r="AQ41"/>
      <c r="AR41"/>
    </row>
    <row r="42" spans="1:44" x14ac:dyDescent="0.4">
      <c r="A42" s="30">
        <v>42930.452893518515</v>
      </c>
      <c r="B42" s="30">
        <v>42809.593055555553</v>
      </c>
      <c r="C42" t="s">
        <v>1135</v>
      </c>
      <c r="D42" t="s">
        <v>1136</v>
      </c>
      <c r="E42" s="8" t="s">
        <v>94</v>
      </c>
      <c r="F42" s="8" t="s">
        <v>94</v>
      </c>
      <c r="G42" t="s">
        <v>222</v>
      </c>
      <c r="H42" t="s">
        <v>2157</v>
      </c>
      <c r="I42" t="s">
        <v>1137</v>
      </c>
      <c r="J42" t="s">
        <v>1137</v>
      </c>
      <c r="K42" t="s">
        <v>1241</v>
      </c>
      <c r="L42" t="s">
        <v>2158</v>
      </c>
      <c r="M42" t="s">
        <v>992</v>
      </c>
      <c r="N42" s="8" t="s">
        <v>172</v>
      </c>
      <c r="O42" s="8" t="s">
        <v>2135</v>
      </c>
      <c r="P42" s="21">
        <v>2017</v>
      </c>
      <c r="Q42" s="8" t="s">
        <v>2148</v>
      </c>
      <c r="R42" s="32">
        <v>500000</v>
      </c>
      <c r="S42" s="21">
        <f t="shared" si="1"/>
        <v>10</v>
      </c>
      <c r="T42" s="8" t="s">
        <v>96</v>
      </c>
      <c r="U42" s="8" t="s">
        <v>1242</v>
      </c>
      <c r="V42" s="88" t="str">
        <f>HYPERLINK("https://www.ejacket.nsf.gov/ej/showProposal.do?ID="&amp;ckSplitTable[[#This Row],[prop_id]],"eJ")</f>
        <v>eJ</v>
      </c>
      <c r="W42" s="8" t="s">
        <v>224</v>
      </c>
      <c r="X42" s="8" t="s">
        <v>1242</v>
      </c>
      <c r="Y42" s="8" t="s">
        <v>1243</v>
      </c>
      <c r="Z42" s="8" t="s">
        <v>1244</v>
      </c>
      <c r="AA42" s="8" t="s">
        <v>1040</v>
      </c>
      <c r="AB42" s="88" t="str">
        <f>HYPERLINK("mailto:"&amp;ckSplitTable[[#This Row],[email]]&amp;"&amp;subject=Your NSF Proposal:  "&amp;ckSplitTable[[#This Row],[prop_id]],ckSplitTable[[#This Row],[email]])</f>
        <v>xiaoming@isye.gatech.edu</v>
      </c>
      <c r="AC42" s="8" t="s">
        <v>1245</v>
      </c>
      <c r="AD42" s="8" t="s">
        <v>1142</v>
      </c>
      <c r="AE42" s="8" t="s">
        <v>1142</v>
      </c>
      <c r="AF42" s="8" t="s">
        <v>1242</v>
      </c>
      <c r="AG42" s="8" t="s">
        <v>991</v>
      </c>
      <c r="AH42" s="8" t="s">
        <v>1246</v>
      </c>
      <c r="AK42"/>
      <c r="AL42"/>
      <c r="AM42"/>
      <c r="AN42"/>
      <c r="AO42"/>
      <c r="AP42"/>
      <c r="AQ42"/>
      <c r="AR42"/>
    </row>
    <row r="43" spans="1:44" x14ac:dyDescent="0.4">
      <c r="A43" s="30">
        <v>42930.452893518515</v>
      </c>
      <c r="B43" s="30">
        <v>42809.593055555553</v>
      </c>
      <c r="C43" t="s">
        <v>1135</v>
      </c>
      <c r="D43" t="s">
        <v>1136</v>
      </c>
      <c r="E43" s="8" t="s">
        <v>94</v>
      </c>
      <c r="F43" s="8" t="s">
        <v>94</v>
      </c>
      <c r="G43" t="s">
        <v>222</v>
      </c>
      <c r="H43" t="s">
        <v>2157</v>
      </c>
      <c r="I43" t="s">
        <v>1137</v>
      </c>
      <c r="J43" t="s">
        <v>1137</v>
      </c>
      <c r="K43" t="s">
        <v>1241</v>
      </c>
      <c r="L43" t="s">
        <v>2158</v>
      </c>
      <c r="M43" t="s">
        <v>992</v>
      </c>
      <c r="N43" s="8" t="s">
        <v>172</v>
      </c>
      <c r="O43" s="8" t="s">
        <v>2135</v>
      </c>
      <c r="P43" s="21">
        <v>2018</v>
      </c>
      <c r="Q43" s="8" t="s">
        <v>2148</v>
      </c>
      <c r="R43" s="32">
        <v>250000</v>
      </c>
      <c r="S43" s="21">
        <f t="shared" si="1"/>
        <v>10</v>
      </c>
      <c r="T43" s="8" t="s">
        <v>96</v>
      </c>
      <c r="U43" s="8" t="s">
        <v>1242</v>
      </c>
      <c r="V43" s="88" t="str">
        <f>HYPERLINK("https://www.ejacket.nsf.gov/ej/showProposal.do?ID="&amp;ckSplitTable[[#This Row],[prop_id]],"eJ")</f>
        <v>eJ</v>
      </c>
      <c r="W43" s="8" t="s">
        <v>224</v>
      </c>
      <c r="X43" s="8" t="s">
        <v>1242</v>
      </c>
      <c r="Y43" s="8" t="s">
        <v>1243</v>
      </c>
      <c r="Z43" s="8" t="s">
        <v>1244</v>
      </c>
      <c r="AA43" s="8" t="s">
        <v>1040</v>
      </c>
      <c r="AB43" s="88" t="str">
        <f>HYPERLINK("mailto:"&amp;ckSplitTable[[#This Row],[email]]&amp;"&amp;subject=Your NSF Proposal:  "&amp;ckSplitTable[[#This Row],[prop_id]],ckSplitTable[[#This Row],[email]])</f>
        <v>xiaoming@isye.gatech.edu</v>
      </c>
      <c r="AC43" s="8" t="s">
        <v>1245</v>
      </c>
      <c r="AD43" s="8" t="s">
        <v>1142</v>
      </c>
      <c r="AE43" s="8" t="s">
        <v>1142</v>
      </c>
      <c r="AF43" s="8" t="s">
        <v>1242</v>
      </c>
      <c r="AG43" s="8" t="s">
        <v>991</v>
      </c>
      <c r="AH43" s="8" t="s">
        <v>1246</v>
      </c>
      <c r="AK43"/>
      <c r="AL43"/>
      <c r="AM43"/>
      <c r="AN43"/>
      <c r="AO43"/>
      <c r="AP43"/>
      <c r="AQ43"/>
      <c r="AR43"/>
    </row>
    <row r="44" spans="1:44" x14ac:dyDescent="0.4">
      <c r="A44" s="30">
        <v>42930.452893518515</v>
      </c>
      <c r="B44" s="30">
        <v>42809.593055555553</v>
      </c>
      <c r="C44" t="s">
        <v>1135</v>
      </c>
      <c r="D44" t="s">
        <v>1136</v>
      </c>
      <c r="E44" s="8" t="s">
        <v>94</v>
      </c>
      <c r="F44" s="8" t="s">
        <v>94</v>
      </c>
      <c r="G44" t="s">
        <v>222</v>
      </c>
      <c r="H44" t="s">
        <v>1117</v>
      </c>
      <c r="I44" t="s">
        <v>1137</v>
      </c>
      <c r="J44" t="s">
        <v>1137</v>
      </c>
      <c r="K44" t="s">
        <v>1241</v>
      </c>
      <c r="L44" t="s">
        <v>1241</v>
      </c>
      <c r="M44" t="s">
        <v>992</v>
      </c>
      <c r="N44" s="8" t="s">
        <v>172</v>
      </c>
      <c r="O44" s="8" t="s">
        <v>2135</v>
      </c>
      <c r="P44" s="21">
        <v>2018</v>
      </c>
      <c r="Q44" s="8" t="s">
        <v>2152</v>
      </c>
      <c r="R44" s="32">
        <v>250000</v>
      </c>
      <c r="S44" s="21">
        <f t="shared" si="1"/>
        <v>10</v>
      </c>
      <c r="T44" s="8" t="s">
        <v>96</v>
      </c>
      <c r="U44" s="8" t="s">
        <v>1242</v>
      </c>
      <c r="V44" s="88" t="str">
        <f>HYPERLINK("https://www.ejacket.nsf.gov/ej/showProposal.do?ID="&amp;ckSplitTable[[#This Row],[prop_id]],"eJ")</f>
        <v>eJ</v>
      </c>
      <c r="W44" s="8" t="s">
        <v>224</v>
      </c>
      <c r="X44" s="8" t="s">
        <v>1242</v>
      </c>
      <c r="Y44" s="8" t="s">
        <v>1243</v>
      </c>
      <c r="Z44" s="8" t="s">
        <v>1244</v>
      </c>
      <c r="AA44" s="8" t="s">
        <v>1040</v>
      </c>
      <c r="AB44" s="88" t="str">
        <f>HYPERLINK("mailto:"&amp;ckSplitTable[[#This Row],[email]]&amp;"&amp;subject=Your NSF Proposal:  "&amp;ckSplitTable[[#This Row],[prop_id]],ckSplitTable[[#This Row],[email]])</f>
        <v>xiaoming@isye.gatech.edu</v>
      </c>
      <c r="AC44" s="8" t="s">
        <v>1245</v>
      </c>
      <c r="AD44" s="8" t="s">
        <v>1142</v>
      </c>
      <c r="AE44" s="8" t="s">
        <v>1142</v>
      </c>
      <c r="AF44" s="8" t="s">
        <v>1242</v>
      </c>
      <c r="AG44" s="8" t="s">
        <v>991</v>
      </c>
      <c r="AH44" s="8" t="s">
        <v>1246</v>
      </c>
      <c r="AK44"/>
      <c r="AL44"/>
      <c r="AM44"/>
      <c r="AN44"/>
      <c r="AO44"/>
      <c r="AP44"/>
      <c r="AQ44"/>
      <c r="AR44"/>
    </row>
    <row r="45" spans="1:44" x14ac:dyDescent="0.4">
      <c r="A45" s="30">
        <v>42930.452893518515</v>
      </c>
      <c r="B45" s="30">
        <v>42809.593055555553</v>
      </c>
      <c r="C45" t="s">
        <v>1135</v>
      </c>
      <c r="D45" t="s">
        <v>1136</v>
      </c>
      <c r="E45" s="8" t="s">
        <v>94</v>
      </c>
      <c r="F45" s="8" t="s">
        <v>94</v>
      </c>
      <c r="G45" t="s">
        <v>222</v>
      </c>
      <c r="H45" t="s">
        <v>2157</v>
      </c>
      <c r="I45" t="s">
        <v>1137</v>
      </c>
      <c r="J45" t="s">
        <v>1137</v>
      </c>
      <c r="K45" t="s">
        <v>1241</v>
      </c>
      <c r="L45" t="s">
        <v>2158</v>
      </c>
      <c r="M45" t="s">
        <v>992</v>
      </c>
      <c r="N45" s="8" t="s">
        <v>172</v>
      </c>
      <c r="O45" s="8" t="s">
        <v>2135</v>
      </c>
      <c r="P45" s="21">
        <v>2019</v>
      </c>
      <c r="Q45" s="8" t="s">
        <v>2148</v>
      </c>
      <c r="R45" s="32">
        <v>250000</v>
      </c>
      <c r="S45" s="21">
        <f t="shared" si="1"/>
        <v>10</v>
      </c>
      <c r="T45" s="8" t="s">
        <v>96</v>
      </c>
      <c r="U45" s="8" t="s">
        <v>1242</v>
      </c>
      <c r="V45" s="88" t="str">
        <f>HYPERLINK("https://www.ejacket.nsf.gov/ej/showProposal.do?ID="&amp;ckSplitTable[[#This Row],[prop_id]],"eJ")</f>
        <v>eJ</v>
      </c>
      <c r="W45" s="8" t="s">
        <v>224</v>
      </c>
      <c r="X45" s="8" t="s">
        <v>1242</v>
      </c>
      <c r="Y45" s="8" t="s">
        <v>1243</v>
      </c>
      <c r="Z45" s="8" t="s">
        <v>1244</v>
      </c>
      <c r="AA45" s="8" t="s">
        <v>1040</v>
      </c>
      <c r="AB45" s="88" t="str">
        <f>HYPERLINK("mailto:"&amp;ckSplitTable[[#This Row],[email]]&amp;"&amp;subject=Your NSF Proposal:  "&amp;ckSplitTable[[#This Row],[prop_id]],ckSplitTable[[#This Row],[email]])</f>
        <v>xiaoming@isye.gatech.edu</v>
      </c>
      <c r="AC45" s="8" t="s">
        <v>1245</v>
      </c>
      <c r="AD45" s="8" t="s">
        <v>1142</v>
      </c>
      <c r="AE45" s="8" t="s">
        <v>1142</v>
      </c>
      <c r="AF45" s="8" t="s">
        <v>1242</v>
      </c>
      <c r="AG45" s="8" t="s">
        <v>991</v>
      </c>
      <c r="AH45" s="8" t="s">
        <v>1246</v>
      </c>
      <c r="AK45"/>
      <c r="AL45"/>
      <c r="AM45"/>
      <c r="AN45"/>
      <c r="AO45"/>
      <c r="AP45"/>
      <c r="AQ45"/>
      <c r="AR45"/>
    </row>
    <row r="46" spans="1:44" x14ac:dyDescent="0.4">
      <c r="A46" s="30">
        <v>42930.452893518515</v>
      </c>
      <c r="B46" s="30">
        <v>42809.593055555553</v>
      </c>
      <c r="C46" t="s">
        <v>1135</v>
      </c>
      <c r="D46" t="s">
        <v>1136</v>
      </c>
      <c r="E46" s="8" t="s">
        <v>94</v>
      </c>
      <c r="F46" s="8" t="s">
        <v>94</v>
      </c>
      <c r="G46" t="s">
        <v>222</v>
      </c>
      <c r="H46" t="s">
        <v>1117</v>
      </c>
      <c r="I46" t="s">
        <v>1137</v>
      </c>
      <c r="J46" t="s">
        <v>1137</v>
      </c>
      <c r="K46" t="s">
        <v>1241</v>
      </c>
      <c r="L46" t="s">
        <v>1241</v>
      </c>
      <c r="M46" t="s">
        <v>992</v>
      </c>
      <c r="N46" s="8" t="s">
        <v>172</v>
      </c>
      <c r="O46" s="8" t="s">
        <v>2135</v>
      </c>
      <c r="P46" s="21">
        <v>2019</v>
      </c>
      <c r="Q46" s="8" t="s">
        <v>2152</v>
      </c>
      <c r="R46" s="32">
        <v>250000</v>
      </c>
      <c r="S46" s="21">
        <f t="shared" si="1"/>
        <v>10</v>
      </c>
      <c r="T46" s="8" t="s">
        <v>96</v>
      </c>
      <c r="U46" s="8" t="s">
        <v>1242</v>
      </c>
      <c r="V46" s="88" t="str">
        <f>HYPERLINK("https://www.ejacket.nsf.gov/ej/showProposal.do?ID="&amp;ckSplitTable[[#This Row],[prop_id]],"eJ")</f>
        <v>eJ</v>
      </c>
      <c r="W46" s="8" t="s">
        <v>224</v>
      </c>
      <c r="X46" s="8" t="s">
        <v>1242</v>
      </c>
      <c r="Y46" s="8" t="s">
        <v>1243</v>
      </c>
      <c r="Z46" s="8" t="s">
        <v>1244</v>
      </c>
      <c r="AA46" s="8" t="s">
        <v>1040</v>
      </c>
      <c r="AB46" s="88" t="str">
        <f>HYPERLINK("mailto:"&amp;ckSplitTable[[#This Row],[email]]&amp;"&amp;subject=Your NSF Proposal:  "&amp;ckSplitTable[[#This Row],[prop_id]],ckSplitTable[[#This Row],[email]])</f>
        <v>xiaoming@isye.gatech.edu</v>
      </c>
      <c r="AC46" s="8" t="s">
        <v>1245</v>
      </c>
      <c r="AD46" s="8" t="s">
        <v>1142</v>
      </c>
      <c r="AE46" s="8" t="s">
        <v>1142</v>
      </c>
      <c r="AF46" s="8" t="s">
        <v>1242</v>
      </c>
      <c r="AG46" s="8" t="s">
        <v>991</v>
      </c>
      <c r="AH46" s="8" t="s">
        <v>1246</v>
      </c>
      <c r="AK46"/>
      <c r="AL46"/>
      <c r="AM46"/>
      <c r="AN46"/>
      <c r="AO46"/>
      <c r="AP46"/>
      <c r="AQ46"/>
      <c r="AR46"/>
    </row>
    <row r="47" spans="1:44" x14ac:dyDescent="0.4">
      <c r="A47" s="30">
        <v>42936.692673611113</v>
      </c>
      <c r="B47" s="30">
        <v>42809.64166666667</v>
      </c>
      <c r="C47" t="s">
        <v>1135</v>
      </c>
      <c r="D47" t="s">
        <v>1136</v>
      </c>
      <c r="E47" s="8" t="s">
        <v>94</v>
      </c>
      <c r="F47" s="8" t="s">
        <v>94</v>
      </c>
      <c r="G47" t="s">
        <v>222</v>
      </c>
      <c r="H47" t="s">
        <v>222</v>
      </c>
      <c r="I47" t="s">
        <v>1137</v>
      </c>
      <c r="J47" t="s">
        <v>1137</v>
      </c>
      <c r="K47" t="s">
        <v>406</v>
      </c>
      <c r="L47" t="s">
        <v>406</v>
      </c>
      <c r="M47" t="s">
        <v>992</v>
      </c>
      <c r="N47" s="8" t="s">
        <v>172</v>
      </c>
      <c r="O47" s="8" t="s">
        <v>2135</v>
      </c>
      <c r="P47" s="21">
        <v>2017</v>
      </c>
      <c r="Q47" s="8" t="s">
        <v>2148</v>
      </c>
      <c r="R47" s="32">
        <v>150257</v>
      </c>
      <c r="S47" s="21">
        <f t="shared" si="1"/>
        <v>11</v>
      </c>
      <c r="T47" s="8" t="s">
        <v>1145</v>
      </c>
      <c r="U47" s="8" t="s">
        <v>1281</v>
      </c>
      <c r="V47" s="88" t="str">
        <f>HYPERLINK("https://www.ejacket.nsf.gov/ej/showProposal.do?ID="&amp;ckSplitTable[[#This Row],[prop_id]],"eJ")</f>
        <v>eJ</v>
      </c>
      <c r="W47" s="8" t="s">
        <v>224</v>
      </c>
      <c r="X47" s="8" t="s">
        <v>1281</v>
      </c>
      <c r="Y47" s="8" t="s">
        <v>1282</v>
      </c>
      <c r="Z47" s="8" t="s">
        <v>1283</v>
      </c>
      <c r="AA47" s="8" t="s">
        <v>1231</v>
      </c>
      <c r="AB47" s="88" t="str">
        <f>HYPERLINK("mailto:"&amp;ckSplitTable[[#This Row],[email]]&amp;"&amp;subject=Your NSF Proposal:  "&amp;ckSplitTable[[#This Row],[prop_id]],ckSplitTable[[#This Row],[email]])</f>
        <v>kas410@lehigh.edu</v>
      </c>
      <c r="AC47" s="8" t="s">
        <v>1284</v>
      </c>
      <c r="AD47" s="8" t="s">
        <v>1176</v>
      </c>
      <c r="AE47" s="8" t="s">
        <v>1176</v>
      </c>
      <c r="AF47" s="8" t="s">
        <v>1281</v>
      </c>
      <c r="AG47" s="8" t="s">
        <v>991</v>
      </c>
      <c r="AH47" s="8" t="s">
        <v>1286</v>
      </c>
      <c r="AK47"/>
      <c r="AL47"/>
      <c r="AM47"/>
      <c r="AN47"/>
      <c r="AO47"/>
      <c r="AP47"/>
      <c r="AQ47"/>
      <c r="AR47"/>
    </row>
    <row r="48" spans="1:44" x14ac:dyDescent="0.4">
      <c r="A48" s="30">
        <v>42936.692673611113</v>
      </c>
      <c r="B48" s="30">
        <v>42809.64166666667</v>
      </c>
      <c r="C48" t="s">
        <v>1135</v>
      </c>
      <c r="D48" t="s">
        <v>1136</v>
      </c>
      <c r="E48" s="8" t="s">
        <v>94</v>
      </c>
      <c r="F48" s="8" t="s">
        <v>94</v>
      </c>
      <c r="G48" t="s">
        <v>222</v>
      </c>
      <c r="H48" t="s">
        <v>1117</v>
      </c>
      <c r="I48" t="s">
        <v>1137</v>
      </c>
      <c r="J48" t="s">
        <v>1137</v>
      </c>
      <c r="K48" t="s">
        <v>406</v>
      </c>
      <c r="L48" t="s">
        <v>1241</v>
      </c>
      <c r="M48" t="s">
        <v>992</v>
      </c>
      <c r="N48" s="8" t="s">
        <v>172</v>
      </c>
      <c r="O48" s="8" t="s">
        <v>2135</v>
      </c>
      <c r="P48" s="21">
        <v>2017</v>
      </c>
      <c r="Q48" s="8" t="s">
        <v>2152</v>
      </c>
      <c r="R48" s="32">
        <v>150258</v>
      </c>
      <c r="S48" s="21">
        <f t="shared" si="1"/>
        <v>11</v>
      </c>
      <c r="T48" s="8" t="s">
        <v>1145</v>
      </c>
      <c r="U48" s="8" t="s">
        <v>1281</v>
      </c>
      <c r="V48" s="88" t="str">
        <f>HYPERLINK("https://www.ejacket.nsf.gov/ej/showProposal.do?ID="&amp;ckSplitTable[[#This Row],[prop_id]],"eJ")</f>
        <v>eJ</v>
      </c>
      <c r="W48" s="8" t="s">
        <v>224</v>
      </c>
      <c r="X48" s="8" t="s">
        <v>1281</v>
      </c>
      <c r="Y48" s="8" t="s">
        <v>1282</v>
      </c>
      <c r="Z48" s="8" t="s">
        <v>1283</v>
      </c>
      <c r="AA48" s="8" t="s">
        <v>1231</v>
      </c>
      <c r="AB48" s="88" t="str">
        <f>HYPERLINK("mailto:"&amp;ckSplitTable[[#This Row],[email]]&amp;"&amp;subject=Your NSF Proposal:  "&amp;ckSplitTable[[#This Row],[prop_id]],ckSplitTable[[#This Row],[email]])</f>
        <v>kas410@lehigh.edu</v>
      </c>
      <c r="AC48" s="8" t="s">
        <v>1284</v>
      </c>
      <c r="AD48" s="8" t="s">
        <v>1176</v>
      </c>
      <c r="AE48" s="8" t="s">
        <v>1176</v>
      </c>
      <c r="AF48" s="8" t="s">
        <v>1281</v>
      </c>
      <c r="AG48" s="8" t="s">
        <v>991</v>
      </c>
      <c r="AH48" s="8" t="s">
        <v>1286</v>
      </c>
      <c r="AK48"/>
      <c r="AL48"/>
      <c r="AM48"/>
      <c r="AN48"/>
      <c r="AO48"/>
      <c r="AP48"/>
      <c r="AQ48"/>
      <c r="AR48"/>
    </row>
    <row r="49" spans="1:44" x14ac:dyDescent="0.4">
      <c r="A49" s="30">
        <v>42936.692673611113</v>
      </c>
      <c r="B49" s="30">
        <v>42809.64166666667</v>
      </c>
      <c r="C49" t="s">
        <v>1135</v>
      </c>
      <c r="D49" t="s">
        <v>1136</v>
      </c>
      <c r="E49" s="8" t="s">
        <v>94</v>
      </c>
      <c r="F49" s="8" t="s">
        <v>94</v>
      </c>
      <c r="G49" t="s">
        <v>222</v>
      </c>
      <c r="H49" t="s">
        <v>222</v>
      </c>
      <c r="I49" t="s">
        <v>1137</v>
      </c>
      <c r="J49" t="s">
        <v>1137</v>
      </c>
      <c r="K49" t="s">
        <v>406</v>
      </c>
      <c r="L49" t="s">
        <v>406</v>
      </c>
      <c r="M49" t="s">
        <v>992</v>
      </c>
      <c r="N49" s="8" t="s">
        <v>172</v>
      </c>
      <c r="O49" s="8" t="s">
        <v>2135</v>
      </c>
      <c r="P49" s="21">
        <v>2018</v>
      </c>
      <c r="Q49" s="8" t="s">
        <v>2148</v>
      </c>
      <c r="R49" s="32">
        <v>148648</v>
      </c>
      <c r="S49" s="21">
        <f t="shared" si="1"/>
        <v>11</v>
      </c>
      <c r="T49" s="8" t="s">
        <v>1145</v>
      </c>
      <c r="U49" s="8" t="s">
        <v>1281</v>
      </c>
      <c r="V49" s="88" t="str">
        <f>HYPERLINK("https://www.ejacket.nsf.gov/ej/showProposal.do?ID="&amp;ckSplitTable[[#This Row],[prop_id]],"eJ")</f>
        <v>eJ</v>
      </c>
      <c r="W49" s="8" t="s">
        <v>224</v>
      </c>
      <c r="X49" s="8" t="s">
        <v>1281</v>
      </c>
      <c r="Y49" s="8" t="s">
        <v>1282</v>
      </c>
      <c r="Z49" s="8" t="s">
        <v>1283</v>
      </c>
      <c r="AA49" s="8" t="s">
        <v>1231</v>
      </c>
      <c r="AB49" s="88" t="str">
        <f>HYPERLINK("mailto:"&amp;ckSplitTable[[#This Row],[email]]&amp;"&amp;subject=Your NSF Proposal:  "&amp;ckSplitTable[[#This Row],[prop_id]],ckSplitTable[[#This Row],[email]])</f>
        <v>kas410@lehigh.edu</v>
      </c>
      <c r="AC49" s="8" t="s">
        <v>1284</v>
      </c>
      <c r="AD49" s="8" t="s">
        <v>1176</v>
      </c>
      <c r="AE49" s="8" t="s">
        <v>1176</v>
      </c>
      <c r="AF49" s="8" t="s">
        <v>1281</v>
      </c>
      <c r="AG49" s="8" t="s">
        <v>991</v>
      </c>
      <c r="AH49" s="8" t="s">
        <v>1286</v>
      </c>
      <c r="AK49"/>
      <c r="AL49"/>
      <c r="AM49"/>
      <c r="AN49"/>
      <c r="AO49"/>
      <c r="AP49"/>
      <c r="AQ49"/>
      <c r="AR49"/>
    </row>
    <row r="50" spans="1:44" x14ac:dyDescent="0.4">
      <c r="A50" s="30">
        <v>42936.692673611113</v>
      </c>
      <c r="B50" s="30">
        <v>42809.64166666667</v>
      </c>
      <c r="C50" t="s">
        <v>1135</v>
      </c>
      <c r="D50" t="s">
        <v>1136</v>
      </c>
      <c r="E50" s="8" t="s">
        <v>94</v>
      </c>
      <c r="F50" s="8" t="s">
        <v>94</v>
      </c>
      <c r="G50" t="s">
        <v>222</v>
      </c>
      <c r="H50" t="s">
        <v>1117</v>
      </c>
      <c r="I50" t="s">
        <v>1137</v>
      </c>
      <c r="J50" t="s">
        <v>1137</v>
      </c>
      <c r="K50" t="s">
        <v>406</v>
      </c>
      <c r="L50" t="s">
        <v>1241</v>
      </c>
      <c r="M50" t="s">
        <v>992</v>
      </c>
      <c r="N50" s="8" t="s">
        <v>172</v>
      </c>
      <c r="O50" s="8" t="s">
        <v>2135</v>
      </c>
      <c r="P50" s="21">
        <v>2018</v>
      </c>
      <c r="Q50" s="8" t="s">
        <v>2152</v>
      </c>
      <c r="R50" s="32">
        <v>148648</v>
      </c>
      <c r="S50" s="21">
        <f t="shared" si="1"/>
        <v>11</v>
      </c>
      <c r="T50" s="8" t="s">
        <v>1145</v>
      </c>
      <c r="U50" s="8" t="s">
        <v>1281</v>
      </c>
      <c r="V50" s="88" t="str">
        <f>HYPERLINK("https://www.ejacket.nsf.gov/ej/showProposal.do?ID="&amp;ckSplitTable[[#This Row],[prop_id]],"eJ")</f>
        <v>eJ</v>
      </c>
      <c r="W50" s="8" t="s">
        <v>224</v>
      </c>
      <c r="X50" s="8" t="s">
        <v>1281</v>
      </c>
      <c r="Y50" s="8" t="s">
        <v>1282</v>
      </c>
      <c r="Z50" s="8" t="s">
        <v>1283</v>
      </c>
      <c r="AA50" s="8" t="s">
        <v>1231</v>
      </c>
      <c r="AB50" s="88" t="str">
        <f>HYPERLINK("mailto:"&amp;ckSplitTable[[#This Row],[email]]&amp;"&amp;subject=Your NSF Proposal:  "&amp;ckSplitTable[[#This Row],[prop_id]],ckSplitTable[[#This Row],[email]])</f>
        <v>kas410@lehigh.edu</v>
      </c>
      <c r="AC50" s="8" t="s">
        <v>1284</v>
      </c>
      <c r="AD50" s="8" t="s">
        <v>1176</v>
      </c>
      <c r="AE50" s="8" t="s">
        <v>1176</v>
      </c>
      <c r="AF50" s="8" t="s">
        <v>1281</v>
      </c>
      <c r="AG50" s="8" t="s">
        <v>991</v>
      </c>
      <c r="AH50" s="8" t="s">
        <v>1286</v>
      </c>
      <c r="AK50"/>
      <c r="AL50"/>
      <c r="AM50"/>
      <c r="AN50"/>
      <c r="AO50"/>
      <c r="AP50"/>
      <c r="AQ50"/>
      <c r="AR50"/>
    </row>
    <row r="51" spans="1:44" x14ac:dyDescent="0.4">
      <c r="A51" s="30">
        <v>42936.692673611113</v>
      </c>
      <c r="B51" s="30">
        <v>42809.64166666667</v>
      </c>
      <c r="C51" t="s">
        <v>1135</v>
      </c>
      <c r="D51" t="s">
        <v>1136</v>
      </c>
      <c r="E51" s="8" t="s">
        <v>94</v>
      </c>
      <c r="F51" s="8" t="s">
        <v>94</v>
      </c>
      <c r="G51" t="s">
        <v>222</v>
      </c>
      <c r="H51" t="s">
        <v>222</v>
      </c>
      <c r="I51" t="s">
        <v>1137</v>
      </c>
      <c r="J51" t="s">
        <v>1137</v>
      </c>
      <c r="K51" t="s">
        <v>406</v>
      </c>
      <c r="L51" t="s">
        <v>406</v>
      </c>
      <c r="M51" t="s">
        <v>992</v>
      </c>
      <c r="N51" s="8" t="s">
        <v>172</v>
      </c>
      <c r="O51" s="8" t="s">
        <v>2135</v>
      </c>
      <c r="P51" s="21">
        <v>2019</v>
      </c>
      <c r="Q51" s="8" t="s">
        <v>2148</v>
      </c>
      <c r="R51" s="32">
        <v>148930</v>
      </c>
      <c r="S51" s="21">
        <f t="shared" si="1"/>
        <v>11</v>
      </c>
      <c r="T51" s="8" t="s">
        <v>1145</v>
      </c>
      <c r="U51" s="8" t="s">
        <v>1281</v>
      </c>
      <c r="V51" s="88" t="str">
        <f>HYPERLINK("https://www.ejacket.nsf.gov/ej/showProposal.do?ID="&amp;ckSplitTable[[#This Row],[prop_id]],"eJ")</f>
        <v>eJ</v>
      </c>
      <c r="W51" s="8" t="s">
        <v>224</v>
      </c>
      <c r="X51" s="8" t="s">
        <v>1281</v>
      </c>
      <c r="Y51" s="8" t="s">
        <v>1282</v>
      </c>
      <c r="Z51" s="8" t="s">
        <v>1283</v>
      </c>
      <c r="AA51" s="8" t="s">
        <v>1231</v>
      </c>
      <c r="AB51" s="88" t="str">
        <f>HYPERLINK("mailto:"&amp;ckSplitTable[[#This Row],[email]]&amp;"&amp;subject=Your NSF Proposal:  "&amp;ckSplitTable[[#This Row],[prop_id]],ckSplitTable[[#This Row],[email]])</f>
        <v>kas410@lehigh.edu</v>
      </c>
      <c r="AC51" s="8" t="s">
        <v>1284</v>
      </c>
      <c r="AD51" s="8" t="s">
        <v>1176</v>
      </c>
      <c r="AE51" s="8" t="s">
        <v>1176</v>
      </c>
      <c r="AF51" s="8" t="s">
        <v>1281</v>
      </c>
      <c r="AG51" s="8" t="s">
        <v>991</v>
      </c>
      <c r="AH51" s="8" t="s">
        <v>1286</v>
      </c>
      <c r="AK51"/>
      <c r="AL51"/>
      <c r="AM51"/>
      <c r="AN51"/>
      <c r="AO51"/>
      <c r="AP51"/>
      <c r="AQ51"/>
      <c r="AR51"/>
    </row>
    <row r="52" spans="1:44" x14ac:dyDescent="0.4">
      <c r="A52" s="30">
        <v>42936.692673611113</v>
      </c>
      <c r="B52" s="30">
        <v>42809.64166666667</v>
      </c>
      <c r="C52" t="s">
        <v>1135</v>
      </c>
      <c r="D52" t="s">
        <v>1136</v>
      </c>
      <c r="E52" s="8" t="s">
        <v>94</v>
      </c>
      <c r="F52" s="8" t="s">
        <v>94</v>
      </c>
      <c r="G52" t="s">
        <v>222</v>
      </c>
      <c r="H52" t="s">
        <v>1117</v>
      </c>
      <c r="I52" t="s">
        <v>1137</v>
      </c>
      <c r="J52" t="s">
        <v>1137</v>
      </c>
      <c r="K52" t="s">
        <v>406</v>
      </c>
      <c r="L52" t="s">
        <v>1241</v>
      </c>
      <c r="M52" t="s">
        <v>992</v>
      </c>
      <c r="N52" s="8" t="s">
        <v>172</v>
      </c>
      <c r="O52" s="8" t="s">
        <v>2135</v>
      </c>
      <c r="P52" s="21">
        <v>2019</v>
      </c>
      <c r="Q52" s="8" t="s">
        <v>2152</v>
      </c>
      <c r="R52" s="32">
        <v>148929</v>
      </c>
      <c r="S52" s="21">
        <f t="shared" si="1"/>
        <v>11</v>
      </c>
      <c r="T52" s="8" t="s">
        <v>1145</v>
      </c>
      <c r="U52" s="8" t="s">
        <v>1281</v>
      </c>
      <c r="V52" s="88" t="str">
        <f>HYPERLINK("https://www.ejacket.nsf.gov/ej/showProposal.do?ID="&amp;ckSplitTable[[#This Row],[prop_id]],"eJ")</f>
        <v>eJ</v>
      </c>
      <c r="W52" s="8" t="s">
        <v>224</v>
      </c>
      <c r="X52" s="8" t="s">
        <v>1281</v>
      </c>
      <c r="Y52" s="8" t="s">
        <v>1282</v>
      </c>
      <c r="Z52" s="8" t="s">
        <v>1283</v>
      </c>
      <c r="AA52" s="8" t="s">
        <v>1231</v>
      </c>
      <c r="AB52" s="88" t="str">
        <f>HYPERLINK("mailto:"&amp;ckSplitTable[[#This Row],[email]]&amp;"&amp;subject=Your NSF Proposal:  "&amp;ckSplitTable[[#This Row],[prop_id]],ckSplitTable[[#This Row],[email]])</f>
        <v>kas410@lehigh.edu</v>
      </c>
      <c r="AC52" s="8" t="s">
        <v>1284</v>
      </c>
      <c r="AD52" s="8" t="s">
        <v>1176</v>
      </c>
      <c r="AE52" s="8" t="s">
        <v>1176</v>
      </c>
      <c r="AF52" s="8" t="s">
        <v>1281</v>
      </c>
      <c r="AG52" s="8" t="s">
        <v>991</v>
      </c>
      <c r="AH52" s="8" t="s">
        <v>1286</v>
      </c>
      <c r="AK52"/>
      <c r="AL52"/>
      <c r="AM52"/>
      <c r="AN52"/>
      <c r="AO52"/>
      <c r="AP52"/>
      <c r="AQ52"/>
      <c r="AR52"/>
    </row>
    <row r="53" spans="1:44" x14ac:dyDescent="0.4">
      <c r="A53" s="30">
        <v>42936.693009259259</v>
      </c>
      <c r="B53" s="30">
        <v>42809.44027777778</v>
      </c>
      <c r="C53" t="s">
        <v>1135</v>
      </c>
      <c r="D53" t="s">
        <v>1136</v>
      </c>
      <c r="E53" s="8" t="s">
        <v>94</v>
      </c>
      <c r="F53" s="8" t="s">
        <v>94</v>
      </c>
      <c r="G53" t="s">
        <v>222</v>
      </c>
      <c r="H53" t="s">
        <v>222</v>
      </c>
      <c r="I53" t="s">
        <v>1137</v>
      </c>
      <c r="J53" t="s">
        <v>1137</v>
      </c>
      <c r="K53" t="s">
        <v>406</v>
      </c>
      <c r="L53" t="s">
        <v>406</v>
      </c>
      <c r="M53" t="s">
        <v>992</v>
      </c>
      <c r="N53" s="8" t="s">
        <v>172</v>
      </c>
      <c r="O53" s="8" t="s">
        <v>2135</v>
      </c>
      <c r="P53" s="21">
        <v>2017</v>
      </c>
      <c r="Q53" s="8" t="s">
        <v>2148</v>
      </c>
      <c r="R53" s="32">
        <v>45539</v>
      </c>
      <c r="S53" s="21">
        <f t="shared" si="1"/>
        <v>12</v>
      </c>
      <c r="T53" s="8" t="s">
        <v>965</v>
      </c>
      <c r="U53" s="8" t="s">
        <v>1281</v>
      </c>
      <c r="V53" s="88" t="str">
        <f>HYPERLINK("https://www.ejacket.nsf.gov/ej/showProposal.do?ID="&amp;ckSplitTable[[#This Row],[prop_id]],"eJ")</f>
        <v>eJ</v>
      </c>
      <c r="W53" s="8" t="s">
        <v>224</v>
      </c>
      <c r="X53" s="8" t="s">
        <v>1287</v>
      </c>
      <c r="Y53" s="8" t="s">
        <v>1288</v>
      </c>
      <c r="Z53" s="8" t="s">
        <v>1289</v>
      </c>
      <c r="AA53" s="8" t="s">
        <v>1060</v>
      </c>
      <c r="AB53" s="88" t="str">
        <f>HYPERLINK("mailto:"&amp;ckSplitTable[[#This Row],[email]]&amp;"&amp;subject=Your NSF Proposal:  "&amp;ckSplitTable[[#This Row],[prop_id]],ckSplitTable[[#This Row],[email]])</f>
        <v>hanliu@princeton.edu</v>
      </c>
      <c r="AC53" s="8" t="s">
        <v>1290</v>
      </c>
      <c r="AD53" s="8" t="s">
        <v>1142</v>
      </c>
      <c r="AE53" s="8" t="s">
        <v>1142</v>
      </c>
      <c r="AF53" s="8" t="s">
        <v>1287</v>
      </c>
      <c r="AG53" s="8" t="s">
        <v>991</v>
      </c>
      <c r="AH53" s="8" t="s">
        <v>1291</v>
      </c>
      <c r="AK53"/>
      <c r="AL53"/>
      <c r="AM53"/>
      <c r="AN53"/>
      <c r="AO53"/>
      <c r="AP53"/>
      <c r="AQ53"/>
      <c r="AR53"/>
    </row>
    <row r="54" spans="1:44" x14ac:dyDescent="0.4">
      <c r="A54" s="30">
        <v>42936.693009259259</v>
      </c>
      <c r="B54" s="30">
        <v>42809.44027777778</v>
      </c>
      <c r="C54" t="s">
        <v>1135</v>
      </c>
      <c r="D54" t="s">
        <v>1136</v>
      </c>
      <c r="E54" s="8" t="s">
        <v>94</v>
      </c>
      <c r="F54" s="8" t="s">
        <v>94</v>
      </c>
      <c r="G54" t="s">
        <v>222</v>
      </c>
      <c r="H54" t="s">
        <v>1117</v>
      </c>
      <c r="I54" t="s">
        <v>1137</v>
      </c>
      <c r="J54" t="s">
        <v>1137</v>
      </c>
      <c r="K54" t="s">
        <v>406</v>
      </c>
      <c r="L54" t="s">
        <v>1241</v>
      </c>
      <c r="M54" t="s">
        <v>992</v>
      </c>
      <c r="N54" s="8" t="s">
        <v>172</v>
      </c>
      <c r="O54" s="8" t="s">
        <v>2135</v>
      </c>
      <c r="P54" s="21">
        <v>2017</v>
      </c>
      <c r="Q54" s="8" t="s">
        <v>2152</v>
      </c>
      <c r="R54" s="32">
        <v>45538</v>
      </c>
      <c r="S54" s="21">
        <f t="shared" si="1"/>
        <v>12</v>
      </c>
      <c r="T54" s="8" t="s">
        <v>965</v>
      </c>
      <c r="U54" s="8" t="s">
        <v>1281</v>
      </c>
      <c r="V54" s="88" t="str">
        <f>HYPERLINK("https://www.ejacket.nsf.gov/ej/showProposal.do?ID="&amp;ckSplitTable[[#This Row],[prop_id]],"eJ")</f>
        <v>eJ</v>
      </c>
      <c r="W54" s="8" t="s">
        <v>224</v>
      </c>
      <c r="X54" s="8" t="s">
        <v>1287</v>
      </c>
      <c r="Y54" s="8" t="s">
        <v>1288</v>
      </c>
      <c r="Z54" s="8" t="s">
        <v>1289</v>
      </c>
      <c r="AA54" s="8" t="s">
        <v>1060</v>
      </c>
      <c r="AB54" s="88" t="str">
        <f>HYPERLINK("mailto:"&amp;ckSplitTable[[#This Row],[email]]&amp;"&amp;subject=Your NSF Proposal:  "&amp;ckSplitTable[[#This Row],[prop_id]],ckSplitTable[[#This Row],[email]])</f>
        <v>hanliu@princeton.edu</v>
      </c>
      <c r="AC54" s="8" t="s">
        <v>1290</v>
      </c>
      <c r="AD54" s="8" t="s">
        <v>1142</v>
      </c>
      <c r="AE54" s="8" t="s">
        <v>1142</v>
      </c>
      <c r="AF54" s="8" t="s">
        <v>1287</v>
      </c>
      <c r="AG54" s="8" t="s">
        <v>991</v>
      </c>
      <c r="AH54" s="8" t="s">
        <v>1291</v>
      </c>
      <c r="AK54"/>
      <c r="AL54"/>
      <c r="AM54"/>
      <c r="AN54"/>
      <c r="AO54"/>
      <c r="AP54"/>
      <c r="AQ54"/>
      <c r="AR54"/>
    </row>
    <row r="55" spans="1:44" x14ac:dyDescent="0.4">
      <c r="A55" s="30">
        <v>42936.693009259259</v>
      </c>
      <c r="B55" s="30">
        <v>42809.44027777778</v>
      </c>
      <c r="C55" t="s">
        <v>1135</v>
      </c>
      <c r="D55" t="s">
        <v>1136</v>
      </c>
      <c r="E55" s="8" t="s">
        <v>94</v>
      </c>
      <c r="F55" s="8" t="s">
        <v>94</v>
      </c>
      <c r="G55" t="s">
        <v>222</v>
      </c>
      <c r="H55" t="s">
        <v>222</v>
      </c>
      <c r="I55" t="s">
        <v>1137</v>
      </c>
      <c r="J55" t="s">
        <v>1137</v>
      </c>
      <c r="K55" t="s">
        <v>406</v>
      </c>
      <c r="L55" t="s">
        <v>406</v>
      </c>
      <c r="M55" t="s">
        <v>992</v>
      </c>
      <c r="N55" s="8" t="s">
        <v>172</v>
      </c>
      <c r="O55" s="8" t="s">
        <v>2135</v>
      </c>
      <c r="P55" s="21">
        <v>2018</v>
      </c>
      <c r="Q55" s="8" t="s">
        <v>2148</v>
      </c>
      <c r="R55" s="32">
        <v>52819</v>
      </c>
      <c r="S55" s="21">
        <f t="shared" si="1"/>
        <v>12</v>
      </c>
      <c r="T55" s="8" t="s">
        <v>965</v>
      </c>
      <c r="U55" s="8" t="s">
        <v>1281</v>
      </c>
      <c r="V55" s="88" t="str">
        <f>HYPERLINK("https://www.ejacket.nsf.gov/ej/showProposal.do?ID="&amp;ckSplitTable[[#This Row],[prop_id]],"eJ")</f>
        <v>eJ</v>
      </c>
      <c r="W55" s="8" t="s">
        <v>224</v>
      </c>
      <c r="X55" s="8" t="s">
        <v>1287</v>
      </c>
      <c r="Y55" s="8" t="s">
        <v>1288</v>
      </c>
      <c r="Z55" s="8" t="s">
        <v>1289</v>
      </c>
      <c r="AA55" s="8" t="s">
        <v>1060</v>
      </c>
      <c r="AB55" s="88" t="str">
        <f>HYPERLINK("mailto:"&amp;ckSplitTable[[#This Row],[email]]&amp;"&amp;subject=Your NSF Proposal:  "&amp;ckSplitTable[[#This Row],[prop_id]],ckSplitTable[[#This Row],[email]])</f>
        <v>hanliu@princeton.edu</v>
      </c>
      <c r="AC55" s="8" t="s">
        <v>1290</v>
      </c>
      <c r="AD55" s="8" t="s">
        <v>1142</v>
      </c>
      <c r="AE55" s="8" t="s">
        <v>1142</v>
      </c>
      <c r="AF55" s="8" t="s">
        <v>1287</v>
      </c>
      <c r="AG55" s="8" t="s">
        <v>991</v>
      </c>
      <c r="AH55" s="8" t="s">
        <v>1291</v>
      </c>
      <c r="AK55"/>
      <c r="AL55"/>
      <c r="AM55"/>
      <c r="AN55"/>
      <c r="AO55"/>
      <c r="AP55"/>
      <c r="AQ55"/>
      <c r="AR55"/>
    </row>
    <row r="56" spans="1:44" x14ac:dyDescent="0.4">
      <c r="A56" s="30">
        <v>42936.693009259259</v>
      </c>
      <c r="B56" s="30">
        <v>42809.44027777778</v>
      </c>
      <c r="C56" t="s">
        <v>1135</v>
      </c>
      <c r="D56" t="s">
        <v>1136</v>
      </c>
      <c r="E56" s="8" t="s">
        <v>94</v>
      </c>
      <c r="F56" s="8" t="s">
        <v>94</v>
      </c>
      <c r="G56" t="s">
        <v>222</v>
      </c>
      <c r="H56" t="s">
        <v>1117</v>
      </c>
      <c r="I56" t="s">
        <v>1137</v>
      </c>
      <c r="J56" t="s">
        <v>1137</v>
      </c>
      <c r="K56" t="s">
        <v>406</v>
      </c>
      <c r="L56" t="s">
        <v>1241</v>
      </c>
      <c r="M56" t="s">
        <v>992</v>
      </c>
      <c r="N56" s="8" t="s">
        <v>172</v>
      </c>
      <c r="O56" s="8" t="s">
        <v>2135</v>
      </c>
      <c r="P56" s="21">
        <v>2018</v>
      </c>
      <c r="Q56" s="8" t="s">
        <v>2152</v>
      </c>
      <c r="R56" s="32">
        <v>52819</v>
      </c>
      <c r="S56" s="21">
        <f t="shared" si="1"/>
        <v>12</v>
      </c>
      <c r="T56" s="8" t="s">
        <v>965</v>
      </c>
      <c r="U56" s="8" t="s">
        <v>1281</v>
      </c>
      <c r="V56" s="88" t="str">
        <f>HYPERLINK("https://www.ejacket.nsf.gov/ej/showProposal.do?ID="&amp;ckSplitTable[[#This Row],[prop_id]],"eJ")</f>
        <v>eJ</v>
      </c>
      <c r="W56" s="8" t="s">
        <v>224</v>
      </c>
      <c r="X56" s="8" t="s">
        <v>1287</v>
      </c>
      <c r="Y56" s="8" t="s">
        <v>1288</v>
      </c>
      <c r="Z56" s="8" t="s">
        <v>1289</v>
      </c>
      <c r="AA56" s="8" t="s">
        <v>1060</v>
      </c>
      <c r="AB56" s="88" t="str">
        <f>HYPERLINK("mailto:"&amp;ckSplitTable[[#This Row],[email]]&amp;"&amp;subject=Your NSF Proposal:  "&amp;ckSplitTable[[#This Row],[prop_id]],ckSplitTable[[#This Row],[email]])</f>
        <v>hanliu@princeton.edu</v>
      </c>
      <c r="AC56" s="8" t="s">
        <v>1290</v>
      </c>
      <c r="AD56" s="8" t="s">
        <v>1142</v>
      </c>
      <c r="AE56" s="8" t="s">
        <v>1142</v>
      </c>
      <c r="AF56" s="8" t="s">
        <v>1287</v>
      </c>
      <c r="AG56" s="8" t="s">
        <v>991</v>
      </c>
      <c r="AH56" s="8" t="s">
        <v>1291</v>
      </c>
      <c r="AK56"/>
      <c r="AL56"/>
      <c r="AM56"/>
      <c r="AN56"/>
      <c r="AO56"/>
      <c r="AP56"/>
      <c r="AQ56"/>
      <c r="AR56"/>
    </row>
    <row r="57" spans="1:44" x14ac:dyDescent="0.4">
      <c r="A57" s="30">
        <v>42936.693009259259</v>
      </c>
      <c r="B57" s="30">
        <v>42809.44027777778</v>
      </c>
      <c r="C57" t="s">
        <v>1135</v>
      </c>
      <c r="D57" t="s">
        <v>1136</v>
      </c>
      <c r="E57" s="8" t="s">
        <v>94</v>
      </c>
      <c r="F57" s="8" t="s">
        <v>94</v>
      </c>
      <c r="G57" t="s">
        <v>222</v>
      </c>
      <c r="H57" t="s">
        <v>222</v>
      </c>
      <c r="I57" t="s">
        <v>1137</v>
      </c>
      <c r="J57" t="s">
        <v>1137</v>
      </c>
      <c r="K57" t="s">
        <v>406</v>
      </c>
      <c r="L57" t="s">
        <v>406</v>
      </c>
      <c r="M57" t="s">
        <v>992</v>
      </c>
      <c r="N57" s="8" t="s">
        <v>172</v>
      </c>
      <c r="O57" s="8" t="s">
        <v>2135</v>
      </c>
      <c r="P57" s="21">
        <v>2019</v>
      </c>
      <c r="Q57" s="8" t="s">
        <v>2148</v>
      </c>
      <c r="R57" s="32">
        <v>51643</v>
      </c>
      <c r="S57" s="21">
        <f t="shared" si="1"/>
        <v>12</v>
      </c>
      <c r="T57" s="8" t="s">
        <v>965</v>
      </c>
      <c r="U57" s="8" t="s">
        <v>1281</v>
      </c>
      <c r="V57" s="88" t="str">
        <f>HYPERLINK("https://www.ejacket.nsf.gov/ej/showProposal.do?ID="&amp;ckSplitTable[[#This Row],[prop_id]],"eJ")</f>
        <v>eJ</v>
      </c>
      <c r="W57" s="8" t="s">
        <v>224</v>
      </c>
      <c r="X57" s="8" t="s">
        <v>1287</v>
      </c>
      <c r="Y57" s="8" t="s">
        <v>1288</v>
      </c>
      <c r="Z57" s="8" t="s">
        <v>1289</v>
      </c>
      <c r="AA57" s="8" t="s">
        <v>1060</v>
      </c>
      <c r="AB57" s="88" t="str">
        <f>HYPERLINK("mailto:"&amp;ckSplitTable[[#This Row],[email]]&amp;"&amp;subject=Your NSF Proposal:  "&amp;ckSplitTable[[#This Row],[prop_id]],ckSplitTable[[#This Row],[email]])</f>
        <v>hanliu@princeton.edu</v>
      </c>
      <c r="AC57" s="8" t="s">
        <v>1290</v>
      </c>
      <c r="AD57" s="8" t="s">
        <v>1142</v>
      </c>
      <c r="AE57" s="8" t="s">
        <v>1142</v>
      </c>
      <c r="AF57" s="8" t="s">
        <v>1287</v>
      </c>
      <c r="AG57" s="8" t="s">
        <v>991</v>
      </c>
      <c r="AH57" s="8" t="s">
        <v>1291</v>
      </c>
      <c r="AK57"/>
      <c r="AL57"/>
      <c r="AM57"/>
      <c r="AN57"/>
      <c r="AO57"/>
      <c r="AP57"/>
      <c r="AQ57"/>
      <c r="AR57"/>
    </row>
    <row r="58" spans="1:44" x14ac:dyDescent="0.4">
      <c r="A58" s="30">
        <v>42936.693009259259</v>
      </c>
      <c r="B58" s="30">
        <v>42809.44027777778</v>
      </c>
      <c r="C58" t="s">
        <v>1135</v>
      </c>
      <c r="D58" t="s">
        <v>1136</v>
      </c>
      <c r="E58" s="8" t="s">
        <v>94</v>
      </c>
      <c r="F58" s="8" t="s">
        <v>94</v>
      </c>
      <c r="G58" t="s">
        <v>222</v>
      </c>
      <c r="H58" t="s">
        <v>1117</v>
      </c>
      <c r="I58" t="s">
        <v>1137</v>
      </c>
      <c r="J58" t="s">
        <v>1137</v>
      </c>
      <c r="K58" t="s">
        <v>406</v>
      </c>
      <c r="L58" t="s">
        <v>1241</v>
      </c>
      <c r="M58" t="s">
        <v>992</v>
      </c>
      <c r="N58" s="8" t="s">
        <v>172</v>
      </c>
      <c r="O58" s="8" t="s">
        <v>2135</v>
      </c>
      <c r="P58" s="21">
        <v>2019</v>
      </c>
      <c r="Q58" s="8" t="s">
        <v>2152</v>
      </c>
      <c r="R58" s="32">
        <v>51642</v>
      </c>
      <c r="S58" s="21">
        <f t="shared" si="1"/>
        <v>12</v>
      </c>
      <c r="T58" s="8" t="s">
        <v>965</v>
      </c>
      <c r="U58" s="8" t="s">
        <v>1281</v>
      </c>
      <c r="V58" s="88" t="str">
        <f>HYPERLINK("https://www.ejacket.nsf.gov/ej/showProposal.do?ID="&amp;ckSplitTable[[#This Row],[prop_id]],"eJ")</f>
        <v>eJ</v>
      </c>
      <c r="W58" s="8" t="s">
        <v>224</v>
      </c>
      <c r="X58" s="8" t="s">
        <v>1287</v>
      </c>
      <c r="Y58" s="8" t="s">
        <v>1288</v>
      </c>
      <c r="Z58" s="8" t="s">
        <v>1289</v>
      </c>
      <c r="AA58" s="8" t="s">
        <v>1060</v>
      </c>
      <c r="AB58" s="88" t="str">
        <f>HYPERLINK("mailto:"&amp;ckSplitTable[[#This Row],[email]]&amp;"&amp;subject=Your NSF Proposal:  "&amp;ckSplitTable[[#This Row],[prop_id]],ckSplitTable[[#This Row],[email]])</f>
        <v>hanliu@princeton.edu</v>
      </c>
      <c r="AC58" s="8" t="s">
        <v>1290</v>
      </c>
      <c r="AD58" s="8" t="s">
        <v>1142</v>
      </c>
      <c r="AE58" s="8" t="s">
        <v>1142</v>
      </c>
      <c r="AF58" s="8" t="s">
        <v>1287</v>
      </c>
      <c r="AG58" s="8" t="s">
        <v>991</v>
      </c>
      <c r="AH58" s="8" t="s">
        <v>1291</v>
      </c>
      <c r="AK58"/>
      <c r="AL58"/>
      <c r="AM58"/>
      <c r="AN58"/>
      <c r="AO58"/>
      <c r="AP58"/>
      <c r="AQ58"/>
      <c r="AR58"/>
    </row>
    <row r="59" spans="1:44" x14ac:dyDescent="0.4">
      <c r="A59" s="30">
        <v>42936.700601851851</v>
      </c>
      <c r="B59" s="30">
        <v>42809.555555555555</v>
      </c>
      <c r="C59" t="s">
        <v>1135</v>
      </c>
      <c r="D59" t="s">
        <v>1136</v>
      </c>
      <c r="E59" s="8" t="s">
        <v>94</v>
      </c>
      <c r="F59" s="8" t="s">
        <v>94</v>
      </c>
      <c r="G59" t="s">
        <v>222</v>
      </c>
      <c r="H59" t="s">
        <v>222</v>
      </c>
      <c r="I59" t="s">
        <v>1137</v>
      </c>
      <c r="J59" t="s">
        <v>1137</v>
      </c>
      <c r="K59" t="s">
        <v>406</v>
      </c>
      <c r="L59" t="s">
        <v>406</v>
      </c>
      <c r="M59" t="s">
        <v>992</v>
      </c>
      <c r="N59" s="8" t="s">
        <v>172</v>
      </c>
      <c r="O59" s="8" t="s">
        <v>2135</v>
      </c>
      <c r="P59" s="21">
        <v>2017</v>
      </c>
      <c r="Q59" s="8" t="s">
        <v>2148</v>
      </c>
      <c r="R59" s="32">
        <v>46821</v>
      </c>
      <c r="S59" s="21">
        <f t="shared" si="1"/>
        <v>13</v>
      </c>
      <c r="T59" s="8" t="s">
        <v>965</v>
      </c>
      <c r="U59" s="8" t="s">
        <v>1281</v>
      </c>
      <c r="V59" s="88" t="str">
        <f>HYPERLINK("https://www.ejacket.nsf.gov/ej/showProposal.do?ID="&amp;ckSplitTable[[#This Row],[prop_id]],"eJ")</f>
        <v>eJ</v>
      </c>
      <c r="W59" s="8" t="s">
        <v>224</v>
      </c>
      <c r="X59" s="8" t="s">
        <v>1292</v>
      </c>
      <c r="Y59" s="8" t="s">
        <v>1293</v>
      </c>
      <c r="Z59" s="8" t="s">
        <v>1294</v>
      </c>
      <c r="AA59" s="8" t="s">
        <v>1295</v>
      </c>
      <c r="AB59" s="88" t="str">
        <f>HYPERLINK("mailto:"&amp;ckSplitTable[[#This Row],[email]]&amp;"&amp;subject=Your NSF Proposal:  "&amp;ckSplitTable[[#This Row],[prop_id]],ckSplitTable[[#This Row],[email]])</f>
        <v>francesco@cs.stonybrook.edu</v>
      </c>
      <c r="AC59" s="8" t="s">
        <v>1296</v>
      </c>
      <c r="AD59" s="8" t="s">
        <v>1142</v>
      </c>
      <c r="AE59" s="8" t="s">
        <v>1142</v>
      </c>
      <c r="AF59" s="8" t="s">
        <v>1292</v>
      </c>
      <c r="AG59" s="8" t="s">
        <v>991</v>
      </c>
      <c r="AH59" s="8" t="s">
        <v>1286</v>
      </c>
      <c r="AK59"/>
      <c r="AL59"/>
      <c r="AM59"/>
      <c r="AN59"/>
      <c r="AO59"/>
      <c r="AP59"/>
      <c r="AQ59"/>
      <c r="AR59"/>
    </row>
    <row r="60" spans="1:44" x14ac:dyDescent="0.4">
      <c r="A60" s="30">
        <v>42936.700601851851</v>
      </c>
      <c r="B60" s="30">
        <v>42809.555555555555</v>
      </c>
      <c r="C60" t="s">
        <v>1135</v>
      </c>
      <c r="D60" t="s">
        <v>1136</v>
      </c>
      <c r="E60" s="8" t="s">
        <v>94</v>
      </c>
      <c r="F60" s="8" t="s">
        <v>94</v>
      </c>
      <c r="G60" t="s">
        <v>222</v>
      </c>
      <c r="H60" t="s">
        <v>1117</v>
      </c>
      <c r="I60" t="s">
        <v>1137</v>
      </c>
      <c r="J60" t="s">
        <v>1137</v>
      </c>
      <c r="K60" t="s">
        <v>406</v>
      </c>
      <c r="L60" t="s">
        <v>1241</v>
      </c>
      <c r="M60" t="s">
        <v>992</v>
      </c>
      <c r="N60" s="8" t="s">
        <v>172</v>
      </c>
      <c r="O60" s="8" t="s">
        <v>2135</v>
      </c>
      <c r="P60" s="21">
        <v>2017</v>
      </c>
      <c r="Q60" s="8" t="s">
        <v>2152</v>
      </c>
      <c r="R60" s="32">
        <v>46820</v>
      </c>
      <c r="S60" s="21">
        <f t="shared" si="1"/>
        <v>13</v>
      </c>
      <c r="T60" s="8" t="s">
        <v>965</v>
      </c>
      <c r="U60" s="8" t="s">
        <v>1281</v>
      </c>
      <c r="V60" s="88" t="str">
        <f>HYPERLINK("https://www.ejacket.nsf.gov/ej/showProposal.do?ID="&amp;ckSplitTable[[#This Row],[prop_id]],"eJ")</f>
        <v>eJ</v>
      </c>
      <c r="W60" s="8" t="s">
        <v>224</v>
      </c>
      <c r="X60" s="8" t="s">
        <v>1292</v>
      </c>
      <c r="Y60" s="8" t="s">
        <v>1293</v>
      </c>
      <c r="Z60" s="8" t="s">
        <v>1294</v>
      </c>
      <c r="AA60" s="8" t="s">
        <v>1295</v>
      </c>
      <c r="AB60" s="88" t="str">
        <f>HYPERLINK("mailto:"&amp;ckSplitTable[[#This Row],[email]]&amp;"&amp;subject=Your NSF Proposal:  "&amp;ckSplitTable[[#This Row],[prop_id]],ckSplitTable[[#This Row],[email]])</f>
        <v>francesco@cs.stonybrook.edu</v>
      </c>
      <c r="AC60" s="8" t="s">
        <v>1296</v>
      </c>
      <c r="AD60" s="8" t="s">
        <v>1142</v>
      </c>
      <c r="AE60" s="8" t="s">
        <v>1142</v>
      </c>
      <c r="AF60" s="8" t="s">
        <v>1292</v>
      </c>
      <c r="AG60" s="8" t="s">
        <v>991</v>
      </c>
      <c r="AH60" s="8" t="s">
        <v>1286</v>
      </c>
      <c r="AK60"/>
      <c r="AL60"/>
      <c r="AM60"/>
      <c r="AN60"/>
      <c r="AO60"/>
      <c r="AP60"/>
      <c r="AQ60"/>
      <c r="AR60"/>
    </row>
    <row r="61" spans="1:44" x14ac:dyDescent="0.4">
      <c r="A61" s="30">
        <v>42936.700601851851</v>
      </c>
      <c r="B61" s="30">
        <v>42809.555555555555</v>
      </c>
      <c r="C61" t="s">
        <v>1135</v>
      </c>
      <c r="D61" t="s">
        <v>1136</v>
      </c>
      <c r="E61" s="8" t="s">
        <v>94</v>
      </c>
      <c r="F61" s="8" t="s">
        <v>94</v>
      </c>
      <c r="G61" t="s">
        <v>222</v>
      </c>
      <c r="H61" t="s">
        <v>222</v>
      </c>
      <c r="I61" t="s">
        <v>1137</v>
      </c>
      <c r="J61" t="s">
        <v>1137</v>
      </c>
      <c r="K61" t="s">
        <v>406</v>
      </c>
      <c r="L61" t="s">
        <v>406</v>
      </c>
      <c r="M61" t="s">
        <v>992</v>
      </c>
      <c r="N61" s="8" t="s">
        <v>172</v>
      </c>
      <c r="O61" s="8" t="s">
        <v>2135</v>
      </c>
      <c r="P61" s="21">
        <v>2018</v>
      </c>
      <c r="Q61" s="8" t="s">
        <v>2148</v>
      </c>
      <c r="R61" s="32">
        <v>48115</v>
      </c>
      <c r="S61" s="21">
        <f t="shared" si="1"/>
        <v>13</v>
      </c>
      <c r="T61" s="8" t="s">
        <v>965</v>
      </c>
      <c r="U61" s="8" t="s">
        <v>1281</v>
      </c>
      <c r="V61" s="88" t="str">
        <f>HYPERLINK("https://www.ejacket.nsf.gov/ej/showProposal.do?ID="&amp;ckSplitTable[[#This Row],[prop_id]],"eJ")</f>
        <v>eJ</v>
      </c>
      <c r="W61" s="8" t="s">
        <v>224</v>
      </c>
      <c r="X61" s="8" t="s">
        <v>1292</v>
      </c>
      <c r="Y61" s="8" t="s">
        <v>1293</v>
      </c>
      <c r="Z61" s="8" t="s">
        <v>1294</v>
      </c>
      <c r="AA61" s="8" t="s">
        <v>1295</v>
      </c>
      <c r="AB61" s="88" t="str">
        <f>HYPERLINK("mailto:"&amp;ckSplitTable[[#This Row],[email]]&amp;"&amp;subject=Your NSF Proposal:  "&amp;ckSplitTable[[#This Row],[prop_id]],ckSplitTable[[#This Row],[email]])</f>
        <v>francesco@cs.stonybrook.edu</v>
      </c>
      <c r="AC61" s="8" t="s">
        <v>1296</v>
      </c>
      <c r="AD61" s="8" t="s">
        <v>1142</v>
      </c>
      <c r="AE61" s="8" t="s">
        <v>1142</v>
      </c>
      <c r="AF61" s="8" t="s">
        <v>1292</v>
      </c>
      <c r="AG61" s="8" t="s">
        <v>991</v>
      </c>
      <c r="AH61" s="8" t="s">
        <v>1286</v>
      </c>
      <c r="AK61"/>
      <c r="AL61"/>
      <c r="AM61"/>
      <c r="AN61"/>
      <c r="AO61"/>
      <c r="AP61"/>
      <c r="AQ61"/>
      <c r="AR61"/>
    </row>
    <row r="62" spans="1:44" x14ac:dyDescent="0.4">
      <c r="A62" s="30">
        <v>42936.700601851851</v>
      </c>
      <c r="B62" s="30">
        <v>42809.555555555555</v>
      </c>
      <c r="C62" t="s">
        <v>1135</v>
      </c>
      <c r="D62" t="s">
        <v>1136</v>
      </c>
      <c r="E62" s="8" t="s">
        <v>94</v>
      </c>
      <c r="F62" s="8" t="s">
        <v>94</v>
      </c>
      <c r="G62" t="s">
        <v>222</v>
      </c>
      <c r="H62" t="s">
        <v>1117</v>
      </c>
      <c r="I62" t="s">
        <v>1137</v>
      </c>
      <c r="J62" t="s">
        <v>1137</v>
      </c>
      <c r="K62" t="s">
        <v>406</v>
      </c>
      <c r="L62" t="s">
        <v>1241</v>
      </c>
      <c r="M62" t="s">
        <v>992</v>
      </c>
      <c r="N62" s="8" t="s">
        <v>172</v>
      </c>
      <c r="O62" s="8" t="s">
        <v>2135</v>
      </c>
      <c r="P62" s="21">
        <v>2018</v>
      </c>
      <c r="Q62" s="8" t="s">
        <v>2152</v>
      </c>
      <c r="R62" s="32">
        <v>48116</v>
      </c>
      <c r="S62" s="21">
        <f t="shared" si="1"/>
        <v>13</v>
      </c>
      <c r="T62" s="8" t="s">
        <v>965</v>
      </c>
      <c r="U62" s="8" t="s">
        <v>1281</v>
      </c>
      <c r="V62" s="88" t="str">
        <f>HYPERLINK("https://www.ejacket.nsf.gov/ej/showProposal.do?ID="&amp;ckSplitTable[[#This Row],[prop_id]],"eJ")</f>
        <v>eJ</v>
      </c>
      <c r="W62" s="8" t="s">
        <v>224</v>
      </c>
      <c r="X62" s="8" t="s">
        <v>1292</v>
      </c>
      <c r="Y62" s="8" t="s">
        <v>1293</v>
      </c>
      <c r="Z62" s="8" t="s">
        <v>1294</v>
      </c>
      <c r="AA62" s="8" t="s">
        <v>1295</v>
      </c>
      <c r="AB62" s="88" t="str">
        <f>HYPERLINK("mailto:"&amp;ckSplitTable[[#This Row],[email]]&amp;"&amp;subject=Your NSF Proposal:  "&amp;ckSplitTable[[#This Row],[prop_id]],ckSplitTable[[#This Row],[email]])</f>
        <v>francesco@cs.stonybrook.edu</v>
      </c>
      <c r="AC62" s="8" t="s">
        <v>1296</v>
      </c>
      <c r="AD62" s="8" t="s">
        <v>1142</v>
      </c>
      <c r="AE62" s="8" t="s">
        <v>1142</v>
      </c>
      <c r="AF62" s="8" t="s">
        <v>1292</v>
      </c>
      <c r="AG62" s="8" t="s">
        <v>991</v>
      </c>
      <c r="AH62" s="8" t="s">
        <v>1286</v>
      </c>
      <c r="AK62"/>
      <c r="AL62"/>
      <c r="AM62"/>
      <c r="AN62"/>
      <c r="AO62"/>
      <c r="AP62"/>
      <c r="AQ62"/>
      <c r="AR62"/>
    </row>
    <row r="63" spans="1:44" x14ac:dyDescent="0.4">
      <c r="A63" s="30">
        <v>42936.700601851851</v>
      </c>
      <c r="B63" s="30">
        <v>42809.555555555555</v>
      </c>
      <c r="C63" t="s">
        <v>1135</v>
      </c>
      <c r="D63" t="s">
        <v>1136</v>
      </c>
      <c r="E63" s="8" t="s">
        <v>94</v>
      </c>
      <c r="F63" s="8" t="s">
        <v>94</v>
      </c>
      <c r="G63" t="s">
        <v>222</v>
      </c>
      <c r="H63" t="s">
        <v>222</v>
      </c>
      <c r="I63" t="s">
        <v>1137</v>
      </c>
      <c r="J63" t="s">
        <v>1137</v>
      </c>
      <c r="K63" t="s">
        <v>406</v>
      </c>
      <c r="L63" t="s">
        <v>406</v>
      </c>
      <c r="M63" t="s">
        <v>992</v>
      </c>
      <c r="N63" s="8" t="s">
        <v>172</v>
      </c>
      <c r="O63" s="8" t="s">
        <v>2135</v>
      </c>
      <c r="P63" s="21">
        <v>2019</v>
      </c>
      <c r="Q63" s="8" t="s">
        <v>2148</v>
      </c>
      <c r="R63" s="32">
        <v>49305</v>
      </c>
      <c r="S63" s="21">
        <f t="shared" si="1"/>
        <v>13</v>
      </c>
      <c r="T63" s="8" t="s">
        <v>965</v>
      </c>
      <c r="U63" s="8" t="s">
        <v>1281</v>
      </c>
      <c r="V63" s="88" t="str">
        <f>HYPERLINK("https://www.ejacket.nsf.gov/ej/showProposal.do?ID="&amp;ckSplitTable[[#This Row],[prop_id]],"eJ")</f>
        <v>eJ</v>
      </c>
      <c r="W63" s="8" t="s">
        <v>224</v>
      </c>
      <c r="X63" s="8" t="s">
        <v>1292</v>
      </c>
      <c r="Y63" s="8" t="s">
        <v>1293</v>
      </c>
      <c r="Z63" s="8" t="s">
        <v>1294</v>
      </c>
      <c r="AA63" s="8" t="s">
        <v>1295</v>
      </c>
      <c r="AB63" s="88" t="str">
        <f>HYPERLINK("mailto:"&amp;ckSplitTable[[#This Row],[email]]&amp;"&amp;subject=Your NSF Proposal:  "&amp;ckSplitTable[[#This Row],[prop_id]],ckSplitTable[[#This Row],[email]])</f>
        <v>francesco@cs.stonybrook.edu</v>
      </c>
      <c r="AC63" s="8" t="s">
        <v>1296</v>
      </c>
      <c r="AD63" s="8" t="s">
        <v>1142</v>
      </c>
      <c r="AE63" s="8" t="s">
        <v>1142</v>
      </c>
      <c r="AF63" s="8" t="s">
        <v>1292</v>
      </c>
      <c r="AG63" s="8" t="s">
        <v>991</v>
      </c>
      <c r="AH63" s="8" t="s">
        <v>1286</v>
      </c>
      <c r="AK63"/>
      <c r="AL63"/>
      <c r="AM63"/>
      <c r="AN63"/>
      <c r="AO63"/>
      <c r="AP63"/>
      <c r="AQ63"/>
      <c r="AR63"/>
    </row>
    <row r="64" spans="1:44" x14ac:dyDescent="0.4">
      <c r="A64" s="30">
        <v>42936.700601851851</v>
      </c>
      <c r="B64" s="30">
        <v>42809.555555555555</v>
      </c>
      <c r="C64" t="s">
        <v>1135</v>
      </c>
      <c r="D64" t="s">
        <v>1136</v>
      </c>
      <c r="E64" s="8" t="s">
        <v>94</v>
      </c>
      <c r="F64" s="8" t="s">
        <v>94</v>
      </c>
      <c r="G64" t="s">
        <v>222</v>
      </c>
      <c r="H64" t="s">
        <v>1117</v>
      </c>
      <c r="I64" t="s">
        <v>1137</v>
      </c>
      <c r="J64" t="s">
        <v>1137</v>
      </c>
      <c r="K64" t="s">
        <v>406</v>
      </c>
      <c r="L64" t="s">
        <v>1241</v>
      </c>
      <c r="M64" t="s">
        <v>992</v>
      </c>
      <c r="N64" s="8" t="s">
        <v>172</v>
      </c>
      <c r="O64" s="8" t="s">
        <v>2135</v>
      </c>
      <c r="P64" s="21">
        <v>2019</v>
      </c>
      <c r="Q64" s="8" t="s">
        <v>2152</v>
      </c>
      <c r="R64" s="32">
        <v>49305</v>
      </c>
      <c r="S64" s="21">
        <f t="shared" si="1"/>
        <v>13</v>
      </c>
      <c r="T64" s="8" t="s">
        <v>965</v>
      </c>
      <c r="U64" s="8" t="s">
        <v>1281</v>
      </c>
      <c r="V64" s="88" t="str">
        <f>HYPERLINK("https://www.ejacket.nsf.gov/ej/showProposal.do?ID="&amp;ckSplitTable[[#This Row],[prop_id]],"eJ")</f>
        <v>eJ</v>
      </c>
      <c r="W64" s="8" t="s">
        <v>224</v>
      </c>
      <c r="X64" s="8" t="s">
        <v>1292</v>
      </c>
      <c r="Y64" s="8" t="s">
        <v>1293</v>
      </c>
      <c r="Z64" s="8" t="s">
        <v>1294</v>
      </c>
      <c r="AA64" s="8" t="s">
        <v>1295</v>
      </c>
      <c r="AB64" s="88" t="str">
        <f>HYPERLINK("mailto:"&amp;ckSplitTable[[#This Row],[email]]&amp;"&amp;subject=Your NSF Proposal:  "&amp;ckSplitTable[[#This Row],[prop_id]],ckSplitTable[[#This Row],[email]])</f>
        <v>francesco@cs.stonybrook.edu</v>
      </c>
      <c r="AC64" s="8" t="s">
        <v>1296</v>
      </c>
      <c r="AD64" s="8" t="s">
        <v>1142</v>
      </c>
      <c r="AE64" s="8" t="s">
        <v>1142</v>
      </c>
      <c r="AF64" s="8" t="s">
        <v>1292</v>
      </c>
      <c r="AG64" s="8" t="s">
        <v>991</v>
      </c>
      <c r="AH64" s="8" t="s">
        <v>1286</v>
      </c>
      <c r="AK64"/>
      <c r="AL64"/>
      <c r="AM64"/>
      <c r="AN64"/>
      <c r="AO64"/>
      <c r="AP64"/>
      <c r="AQ64"/>
      <c r="AR64"/>
    </row>
    <row r="65" spans="1:44" x14ac:dyDescent="0.4">
      <c r="A65" s="30">
        <v>42933.413645833331</v>
      </c>
      <c r="B65" s="30">
        <v>42809.683333333334</v>
      </c>
      <c r="C65" t="s">
        <v>1135</v>
      </c>
      <c r="D65" t="s">
        <v>1136</v>
      </c>
      <c r="E65" s="8" t="s">
        <v>94</v>
      </c>
      <c r="F65" s="8" t="s">
        <v>94</v>
      </c>
      <c r="G65" t="s">
        <v>222</v>
      </c>
      <c r="H65" t="s">
        <v>2149</v>
      </c>
      <c r="I65" t="s">
        <v>1137</v>
      </c>
      <c r="J65" t="s">
        <v>2150</v>
      </c>
      <c r="K65" t="s">
        <v>451</v>
      </c>
      <c r="L65" t="s">
        <v>2151</v>
      </c>
      <c r="M65" t="s">
        <v>992</v>
      </c>
      <c r="N65" s="8" t="s">
        <v>172</v>
      </c>
      <c r="O65" s="8" t="s">
        <v>962</v>
      </c>
      <c r="P65" s="21">
        <v>2017</v>
      </c>
      <c r="Q65" s="8" t="s">
        <v>2148</v>
      </c>
      <c r="R65" s="32">
        <v>400033</v>
      </c>
      <c r="S65" s="21">
        <f t="shared" si="1"/>
        <v>14</v>
      </c>
      <c r="T65" s="8" t="s">
        <v>96</v>
      </c>
      <c r="U65" s="8" t="s">
        <v>1343</v>
      </c>
      <c r="V65" s="88" t="str">
        <f>HYPERLINK("https://www.ejacket.nsf.gov/ej/showProposal.do?ID="&amp;ckSplitTable[[#This Row],[prop_id]],"eJ")</f>
        <v>eJ</v>
      </c>
      <c r="W65" s="8" t="s">
        <v>224</v>
      </c>
      <c r="X65" s="8" t="s">
        <v>1343</v>
      </c>
      <c r="Y65" s="8" t="s">
        <v>1344</v>
      </c>
      <c r="Z65" s="8" t="s">
        <v>1345</v>
      </c>
      <c r="AA65" s="8" t="s">
        <v>1346</v>
      </c>
      <c r="AB65" s="88" t="str">
        <f>HYPERLINK("mailto:"&amp;ckSplitTable[[#This Row],[email]]&amp;"&amp;subject=Your NSF Proposal:  "&amp;ckSplitTable[[#This Row],[prop_id]],ckSplitTable[[#This Row],[email]])</f>
        <v>kilianweinberger@cornell.edu</v>
      </c>
      <c r="AC65" s="8" t="s">
        <v>1347</v>
      </c>
      <c r="AD65" s="8" t="s">
        <v>1142</v>
      </c>
      <c r="AE65" s="8" t="s">
        <v>2159</v>
      </c>
      <c r="AF65" s="8" t="s">
        <v>1343</v>
      </c>
      <c r="AG65" s="8" t="s">
        <v>991</v>
      </c>
      <c r="AH65" s="8" t="s">
        <v>1349</v>
      </c>
      <c r="AK65"/>
      <c r="AL65"/>
      <c r="AM65"/>
      <c r="AN65"/>
      <c r="AO65"/>
      <c r="AP65"/>
      <c r="AQ65"/>
      <c r="AR65"/>
    </row>
    <row r="66" spans="1:44" x14ac:dyDescent="0.4">
      <c r="A66" s="30">
        <v>42933.413645833331</v>
      </c>
      <c r="B66" s="30">
        <v>42809.683333333334</v>
      </c>
      <c r="C66" t="s">
        <v>1135</v>
      </c>
      <c r="D66" t="s">
        <v>1136</v>
      </c>
      <c r="E66" s="8" t="s">
        <v>94</v>
      </c>
      <c r="F66" s="8" t="s">
        <v>94</v>
      </c>
      <c r="G66" t="s">
        <v>222</v>
      </c>
      <c r="H66" t="s">
        <v>222</v>
      </c>
      <c r="I66" t="s">
        <v>1137</v>
      </c>
      <c r="J66" t="s">
        <v>1137</v>
      </c>
      <c r="K66" t="s">
        <v>451</v>
      </c>
      <c r="L66" t="s">
        <v>451</v>
      </c>
      <c r="M66" t="s">
        <v>992</v>
      </c>
      <c r="N66" s="8" t="s">
        <v>172</v>
      </c>
      <c r="O66" s="8" t="s">
        <v>962</v>
      </c>
      <c r="P66" s="21">
        <v>2017</v>
      </c>
      <c r="Q66" s="8" t="s">
        <v>2152</v>
      </c>
      <c r="R66" s="32">
        <v>298311</v>
      </c>
      <c r="S66" s="21">
        <f t="shared" ref="S66:S73" si="2">S65+(X66&lt;&gt;X65)</f>
        <v>14</v>
      </c>
      <c r="T66" s="8" t="s">
        <v>96</v>
      </c>
      <c r="U66" s="8" t="s">
        <v>1343</v>
      </c>
      <c r="V66" s="88" t="str">
        <f>HYPERLINK("https://www.ejacket.nsf.gov/ej/showProposal.do?ID="&amp;ckSplitTable[[#This Row],[prop_id]],"eJ")</f>
        <v>eJ</v>
      </c>
      <c r="W66" s="8" t="s">
        <v>224</v>
      </c>
      <c r="X66" s="8" t="s">
        <v>1343</v>
      </c>
      <c r="Y66" s="8" t="s">
        <v>1344</v>
      </c>
      <c r="Z66" s="8" t="s">
        <v>1345</v>
      </c>
      <c r="AA66" s="8" t="s">
        <v>1346</v>
      </c>
      <c r="AB66" s="88" t="str">
        <f>HYPERLINK("mailto:"&amp;ckSplitTable[[#This Row],[email]]&amp;"&amp;subject=Your NSF Proposal:  "&amp;ckSplitTable[[#This Row],[prop_id]],ckSplitTable[[#This Row],[email]])</f>
        <v>kilianweinberger@cornell.edu</v>
      </c>
      <c r="AC66" s="8" t="s">
        <v>1347</v>
      </c>
      <c r="AD66" s="8" t="s">
        <v>1142</v>
      </c>
      <c r="AE66" s="8" t="s">
        <v>2159</v>
      </c>
      <c r="AF66" s="8" t="s">
        <v>1343</v>
      </c>
      <c r="AG66" s="8" t="s">
        <v>991</v>
      </c>
      <c r="AH66" s="8" t="s">
        <v>1349</v>
      </c>
      <c r="AK66"/>
      <c r="AL66"/>
      <c r="AM66"/>
      <c r="AN66"/>
      <c r="AO66"/>
      <c r="AP66"/>
      <c r="AQ66"/>
      <c r="AR66"/>
    </row>
    <row r="67" spans="1:44" x14ac:dyDescent="0.4">
      <c r="A67" s="30">
        <v>42933.413645833331</v>
      </c>
      <c r="B67" s="30">
        <v>42809.683333333334</v>
      </c>
      <c r="C67" t="s">
        <v>1135</v>
      </c>
      <c r="D67" t="s">
        <v>1136</v>
      </c>
      <c r="E67" s="8" t="s">
        <v>94</v>
      </c>
      <c r="F67" s="8" t="s">
        <v>94</v>
      </c>
      <c r="G67" t="s">
        <v>222</v>
      </c>
      <c r="H67" t="s">
        <v>1117</v>
      </c>
      <c r="I67" t="s">
        <v>1137</v>
      </c>
      <c r="J67" t="s">
        <v>1137</v>
      </c>
      <c r="K67" t="s">
        <v>451</v>
      </c>
      <c r="L67" t="s">
        <v>1241</v>
      </c>
      <c r="M67" t="s">
        <v>992</v>
      </c>
      <c r="N67" s="8" t="s">
        <v>172</v>
      </c>
      <c r="O67" s="8" t="s">
        <v>962</v>
      </c>
      <c r="P67" s="21">
        <v>2017</v>
      </c>
      <c r="Q67" s="8" t="s">
        <v>2153</v>
      </c>
      <c r="R67" s="32">
        <v>298311</v>
      </c>
      <c r="S67" s="21">
        <f t="shared" si="2"/>
        <v>14</v>
      </c>
      <c r="T67" s="8" t="s">
        <v>96</v>
      </c>
      <c r="U67" s="8" t="s">
        <v>1343</v>
      </c>
      <c r="V67" s="88" t="str">
        <f>HYPERLINK("https://www.ejacket.nsf.gov/ej/showProposal.do?ID="&amp;ckSplitTable[[#This Row],[prop_id]],"eJ")</f>
        <v>eJ</v>
      </c>
      <c r="W67" s="8" t="s">
        <v>224</v>
      </c>
      <c r="X67" s="8" t="s">
        <v>1343</v>
      </c>
      <c r="Y67" s="8" t="s">
        <v>1344</v>
      </c>
      <c r="Z67" s="8" t="s">
        <v>1345</v>
      </c>
      <c r="AA67" s="8" t="s">
        <v>1346</v>
      </c>
      <c r="AB67" s="88" t="str">
        <f>HYPERLINK("mailto:"&amp;ckSplitTable[[#This Row],[email]]&amp;"&amp;subject=Your NSF Proposal:  "&amp;ckSplitTable[[#This Row],[prop_id]],ckSplitTable[[#This Row],[email]])</f>
        <v>kilianweinberger@cornell.edu</v>
      </c>
      <c r="AC67" s="8" t="s">
        <v>1347</v>
      </c>
      <c r="AD67" s="8" t="s">
        <v>1142</v>
      </c>
      <c r="AE67" s="8" t="s">
        <v>2159</v>
      </c>
      <c r="AF67" s="8" t="s">
        <v>1343</v>
      </c>
      <c r="AG67" s="8" t="s">
        <v>991</v>
      </c>
      <c r="AH67" s="8" t="s">
        <v>1349</v>
      </c>
      <c r="AK67"/>
      <c r="AL67"/>
      <c r="AM67"/>
      <c r="AN67"/>
      <c r="AO67"/>
      <c r="AP67"/>
      <c r="AQ67"/>
      <c r="AR67"/>
    </row>
    <row r="68" spans="1:44" x14ac:dyDescent="0.4">
      <c r="A68" s="30">
        <v>42933.413645833331</v>
      </c>
      <c r="B68" s="30">
        <v>42809.683333333334</v>
      </c>
      <c r="C68" t="s">
        <v>1135</v>
      </c>
      <c r="D68" t="s">
        <v>1136</v>
      </c>
      <c r="E68" s="8" t="s">
        <v>94</v>
      </c>
      <c r="F68" s="8" t="s">
        <v>94</v>
      </c>
      <c r="G68" t="s">
        <v>222</v>
      </c>
      <c r="H68" t="s">
        <v>2160</v>
      </c>
      <c r="I68" t="s">
        <v>1137</v>
      </c>
      <c r="J68" t="s">
        <v>2161</v>
      </c>
      <c r="K68" t="s">
        <v>451</v>
      </c>
      <c r="L68" t="s">
        <v>2162</v>
      </c>
      <c r="M68" t="s">
        <v>992</v>
      </c>
      <c r="N68" s="8" t="s">
        <v>172</v>
      </c>
      <c r="O68" s="8" t="s">
        <v>962</v>
      </c>
      <c r="P68" s="21">
        <v>2017</v>
      </c>
      <c r="Q68" s="8" t="s">
        <v>2156</v>
      </c>
      <c r="R68" s="32">
        <v>500000</v>
      </c>
      <c r="S68" s="21">
        <f t="shared" si="2"/>
        <v>14</v>
      </c>
      <c r="T68" s="8" t="s">
        <v>96</v>
      </c>
      <c r="U68" s="8" t="s">
        <v>1343</v>
      </c>
      <c r="V68" s="88" t="str">
        <f>HYPERLINK("https://www.ejacket.nsf.gov/ej/showProposal.do?ID="&amp;ckSplitTable[[#This Row],[prop_id]],"eJ")</f>
        <v>eJ</v>
      </c>
      <c r="W68" s="8" t="s">
        <v>224</v>
      </c>
      <c r="X68" s="8" t="s">
        <v>1343</v>
      </c>
      <c r="Y68" s="8" t="s">
        <v>1344</v>
      </c>
      <c r="Z68" s="8" t="s">
        <v>1345</v>
      </c>
      <c r="AA68" s="8" t="s">
        <v>1346</v>
      </c>
      <c r="AB68" s="88" t="str">
        <f>HYPERLINK("mailto:"&amp;ckSplitTable[[#This Row],[email]]&amp;"&amp;subject=Your NSF Proposal:  "&amp;ckSplitTable[[#This Row],[prop_id]],ckSplitTable[[#This Row],[email]])</f>
        <v>kilianweinberger@cornell.edu</v>
      </c>
      <c r="AC68" s="8" t="s">
        <v>1347</v>
      </c>
      <c r="AD68" s="8" t="s">
        <v>1142</v>
      </c>
      <c r="AE68" s="8" t="s">
        <v>2159</v>
      </c>
      <c r="AF68" s="8" t="s">
        <v>1343</v>
      </c>
      <c r="AG68" s="8" t="s">
        <v>991</v>
      </c>
      <c r="AH68" s="8" t="s">
        <v>1349</v>
      </c>
      <c r="AK68"/>
      <c r="AL68"/>
      <c r="AM68"/>
      <c r="AN68"/>
      <c r="AO68"/>
      <c r="AP68"/>
      <c r="AQ68"/>
      <c r="AR68"/>
    </row>
    <row r="69" spans="1:44" x14ac:dyDescent="0.4">
      <c r="A69" s="30">
        <v>42930.561608796299</v>
      </c>
      <c r="B69" s="30">
        <v>42809.702777777777</v>
      </c>
      <c r="C69" t="s">
        <v>1135</v>
      </c>
      <c r="D69" t="s">
        <v>1136</v>
      </c>
      <c r="E69" s="8" t="s">
        <v>94</v>
      </c>
      <c r="F69" s="8" t="s">
        <v>94</v>
      </c>
      <c r="G69" t="s">
        <v>222</v>
      </c>
      <c r="H69" t="s">
        <v>2160</v>
      </c>
      <c r="I69" t="s">
        <v>1137</v>
      </c>
      <c r="J69" t="s">
        <v>2161</v>
      </c>
      <c r="K69" t="s">
        <v>1241</v>
      </c>
      <c r="L69" t="s">
        <v>2162</v>
      </c>
      <c r="M69" t="s">
        <v>992</v>
      </c>
      <c r="N69" s="8" t="s">
        <v>172</v>
      </c>
      <c r="O69" s="8" t="s">
        <v>2135</v>
      </c>
      <c r="P69" s="21">
        <v>2017</v>
      </c>
      <c r="Q69" s="8" t="s">
        <v>2148</v>
      </c>
      <c r="R69" s="32">
        <v>500000</v>
      </c>
      <c r="S69" s="21">
        <f t="shared" si="2"/>
        <v>15</v>
      </c>
      <c r="T69" s="8" t="s">
        <v>96</v>
      </c>
      <c r="U69" s="8" t="s">
        <v>1373</v>
      </c>
      <c r="V69" s="88" t="str">
        <f>HYPERLINK("https://www.ejacket.nsf.gov/ej/showProposal.do?ID="&amp;ckSplitTable[[#This Row],[prop_id]],"eJ")</f>
        <v>eJ</v>
      </c>
      <c r="W69" s="8" t="s">
        <v>224</v>
      </c>
      <c r="X69" s="8" t="s">
        <v>1373</v>
      </c>
      <c r="Y69" s="8" t="s">
        <v>1374</v>
      </c>
      <c r="Z69" s="8" t="s">
        <v>1214</v>
      </c>
      <c r="AA69" s="8" t="s">
        <v>1220</v>
      </c>
      <c r="AB69" s="88" t="str">
        <f>HYPERLINK("mailto:"&amp;ckSplitTable[[#This Row],[email]]&amp;"&amp;subject=Your NSF Proposal:  "&amp;ckSplitTable[[#This Row],[prop_id]],ckSplitTable[[#This Row],[email]])</f>
        <v>jw2966@columbia.edu</v>
      </c>
      <c r="AC69" s="8" t="s">
        <v>1375</v>
      </c>
      <c r="AD69" s="8" t="s">
        <v>1142</v>
      </c>
      <c r="AE69" s="8" t="s">
        <v>1142</v>
      </c>
      <c r="AF69" s="8" t="s">
        <v>1373</v>
      </c>
      <c r="AG69" s="8" t="s">
        <v>991</v>
      </c>
      <c r="AH69" s="8" t="s">
        <v>1377</v>
      </c>
      <c r="AK69"/>
      <c r="AL69"/>
      <c r="AM69"/>
      <c r="AN69"/>
      <c r="AO69"/>
      <c r="AP69"/>
      <c r="AQ69"/>
    </row>
    <row r="70" spans="1:44" x14ac:dyDescent="0.4">
      <c r="A70" s="30">
        <v>42930.561608796299</v>
      </c>
      <c r="B70" s="30">
        <v>42809.702777777777</v>
      </c>
      <c r="C70" t="s">
        <v>1135</v>
      </c>
      <c r="D70" t="s">
        <v>1136</v>
      </c>
      <c r="E70" s="8" t="s">
        <v>94</v>
      </c>
      <c r="F70" s="8" t="s">
        <v>94</v>
      </c>
      <c r="G70" t="s">
        <v>222</v>
      </c>
      <c r="H70" t="s">
        <v>1117</v>
      </c>
      <c r="I70" t="s">
        <v>1137</v>
      </c>
      <c r="J70" t="s">
        <v>1137</v>
      </c>
      <c r="K70" t="s">
        <v>1241</v>
      </c>
      <c r="L70" t="s">
        <v>1241</v>
      </c>
      <c r="M70" t="s">
        <v>992</v>
      </c>
      <c r="N70" s="8" t="s">
        <v>172</v>
      </c>
      <c r="O70" s="8" t="s">
        <v>2135</v>
      </c>
      <c r="P70" s="21">
        <v>2018</v>
      </c>
      <c r="Q70" s="8" t="s">
        <v>2148</v>
      </c>
      <c r="R70" s="32">
        <v>250000</v>
      </c>
      <c r="S70" s="21">
        <f t="shared" si="2"/>
        <v>15</v>
      </c>
      <c r="T70" s="8" t="s">
        <v>96</v>
      </c>
      <c r="U70" s="8" t="s">
        <v>1373</v>
      </c>
      <c r="V70" s="88" t="str">
        <f>HYPERLINK("https://www.ejacket.nsf.gov/ej/showProposal.do?ID="&amp;ckSplitTable[[#This Row],[prop_id]],"eJ")</f>
        <v>eJ</v>
      </c>
      <c r="W70" s="8" t="s">
        <v>224</v>
      </c>
      <c r="X70" s="8" t="s">
        <v>1373</v>
      </c>
      <c r="Y70" s="8" t="s">
        <v>1374</v>
      </c>
      <c r="Z70" s="8" t="s">
        <v>1214</v>
      </c>
      <c r="AA70" s="8" t="s">
        <v>1220</v>
      </c>
      <c r="AB70" s="88" t="str">
        <f>HYPERLINK("mailto:"&amp;ckSplitTable[[#This Row],[email]]&amp;"&amp;subject=Your NSF Proposal:  "&amp;ckSplitTable[[#This Row],[prop_id]],ckSplitTable[[#This Row],[email]])</f>
        <v>jw2966@columbia.edu</v>
      </c>
      <c r="AC70" s="8" t="s">
        <v>1375</v>
      </c>
      <c r="AD70" s="8" t="s">
        <v>1142</v>
      </c>
      <c r="AE70" s="8" t="s">
        <v>1142</v>
      </c>
      <c r="AF70" s="8" t="s">
        <v>1373</v>
      </c>
      <c r="AG70" s="8" t="s">
        <v>991</v>
      </c>
      <c r="AH70" s="8" t="s">
        <v>1377</v>
      </c>
      <c r="AK70"/>
      <c r="AL70"/>
      <c r="AM70"/>
      <c r="AN70"/>
      <c r="AO70"/>
      <c r="AP70"/>
      <c r="AQ70"/>
    </row>
    <row r="71" spans="1:44" x14ac:dyDescent="0.4">
      <c r="A71" s="30">
        <v>42930.561608796299</v>
      </c>
      <c r="B71" s="30">
        <v>42809.702777777777</v>
      </c>
      <c r="C71" t="s">
        <v>1135</v>
      </c>
      <c r="D71" t="s">
        <v>1136</v>
      </c>
      <c r="E71" s="8" t="s">
        <v>94</v>
      </c>
      <c r="F71" s="8" t="s">
        <v>94</v>
      </c>
      <c r="G71" t="s">
        <v>222</v>
      </c>
      <c r="H71" t="s">
        <v>2157</v>
      </c>
      <c r="I71" t="s">
        <v>1137</v>
      </c>
      <c r="J71" t="s">
        <v>1137</v>
      </c>
      <c r="K71" t="s">
        <v>1241</v>
      </c>
      <c r="L71" t="s">
        <v>2158</v>
      </c>
      <c r="M71" t="s">
        <v>992</v>
      </c>
      <c r="N71" s="8" t="s">
        <v>172</v>
      </c>
      <c r="O71" s="8" t="s">
        <v>2135</v>
      </c>
      <c r="P71" s="21">
        <v>2018</v>
      </c>
      <c r="Q71" s="8" t="s">
        <v>2152</v>
      </c>
      <c r="R71" s="32">
        <v>250000</v>
      </c>
      <c r="S71" s="21">
        <f t="shared" si="2"/>
        <v>15</v>
      </c>
      <c r="T71" s="8" t="s">
        <v>96</v>
      </c>
      <c r="U71" s="8" t="s">
        <v>1373</v>
      </c>
      <c r="V71" s="88" t="str">
        <f>HYPERLINK("https://www.ejacket.nsf.gov/ej/showProposal.do?ID="&amp;ckSplitTable[[#This Row],[prop_id]],"eJ")</f>
        <v>eJ</v>
      </c>
      <c r="W71" s="8" t="s">
        <v>224</v>
      </c>
      <c r="X71" s="8" t="s">
        <v>1373</v>
      </c>
      <c r="Y71" s="8" t="s">
        <v>1374</v>
      </c>
      <c r="Z71" s="8" t="s">
        <v>1214</v>
      </c>
      <c r="AA71" s="8" t="s">
        <v>1220</v>
      </c>
      <c r="AB71" s="88" t="str">
        <f>HYPERLINK("mailto:"&amp;ckSplitTable[[#This Row],[email]]&amp;"&amp;subject=Your NSF Proposal:  "&amp;ckSplitTable[[#This Row],[prop_id]],ckSplitTable[[#This Row],[email]])</f>
        <v>jw2966@columbia.edu</v>
      </c>
      <c r="AC71" s="8" t="s">
        <v>1375</v>
      </c>
      <c r="AD71" s="8" t="s">
        <v>1142</v>
      </c>
      <c r="AE71" s="8" t="s">
        <v>1142</v>
      </c>
      <c r="AF71" s="8" t="s">
        <v>1373</v>
      </c>
      <c r="AG71" s="8" t="s">
        <v>991</v>
      </c>
      <c r="AH71" s="8" t="s">
        <v>1377</v>
      </c>
      <c r="AK71"/>
      <c r="AL71"/>
      <c r="AM71"/>
      <c r="AN71"/>
      <c r="AO71"/>
      <c r="AP71"/>
      <c r="AQ71"/>
    </row>
    <row r="72" spans="1:44" x14ac:dyDescent="0.4">
      <c r="A72" s="30">
        <v>42930.561608796299</v>
      </c>
      <c r="B72" s="30">
        <v>42809.702777777777</v>
      </c>
      <c r="C72" t="s">
        <v>1135</v>
      </c>
      <c r="D72" t="s">
        <v>1136</v>
      </c>
      <c r="E72" s="8" t="s">
        <v>94</v>
      </c>
      <c r="F72" s="8" t="s">
        <v>94</v>
      </c>
      <c r="G72" t="s">
        <v>222</v>
      </c>
      <c r="H72" t="s">
        <v>1117</v>
      </c>
      <c r="I72" t="s">
        <v>1137</v>
      </c>
      <c r="J72" t="s">
        <v>1137</v>
      </c>
      <c r="K72" t="s">
        <v>1241</v>
      </c>
      <c r="L72" t="s">
        <v>1241</v>
      </c>
      <c r="M72" t="s">
        <v>992</v>
      </c>
      <c r="N72" s="8" t="s">
        <v>172</v>
      </c>
      <c r="O72" s="8" t="s">
        <v>2135</v>
      </c>
      <c r="P72" s="21">
        <v>2019</v>
      </c>
      <c r="Q72" s="8" t="s">
        <v>2148</v>
      </c>
      <c r="R72" s="32">
        <v>250000</v>
      </c>
      <c r="S72" s="21">
        <f t="shared" si="2"/>
        <v>15</v>
      </c>
      <c r="T72" s="8" t="s">
        <v>96</v>
      </c>
      <c r="U72" s="8" t="s">
        <v>1373</v>
      </c>
      <c r="V72" s="88" t="str">
        <f>HYPERLINK("https://www.ejacket.nsf.gov/ej/showProposal.do?ID="&amp;ckSplitTable[[#This Row],[prop_id]],"eJ")</f>
        <v>eJ</v>
      </c>
      <c r="W72" s="8" t="s">
        <v>224</v>
      </c>
      <c r="X72" s="8" t="s">
        <v>1373</v>
      </c>
      <c r="Y72" s="8" t="s">
        <v>1374</v>
      </c>
      <c r="Z72" s="8" t="s">
        <v>1214</v>
      </c>
      <c r="AA72" s="8" t="s">
        <v>1220</v>
      </c>
      <c r="AB72" s="88" t="str">
        <f>HYPERLINK("mailto:"&amp;ckSplitTable[[#This Row],[email]]&amp;"&amp;subject=Your NSF Proposal:  "&amp;ckSplitTable[[#This Row],[prop_id]],ckSplitTable[[#This Row],[email]])</f>
        <v>jw2966@columbia.edu</v>
      </c>
      <c r="AC72" s="8" t="s">
        <v>1375</v>
      </c>
      <c r="AD72" s="8" t="s">
        <v>1142</v>
      </c>
      <c r="AE72" s="8" t="s">
        <v>1142</v>
      </c>
      <c r="AF72" s="8" t="s">
        <v>1373</v>
      </c>
      <c r="AG72" s="8" t="s">
        <v>991</v>
      </c>
      <c r="AH72" s="8" t="s">
        <v>1377</v>
      </c>
      <c r="AK72"/>
      <c r="AL72"/>
      <c r="AM72"/>
      <c r="AN72"/>
      <c r="AO72"/>
      <c r="AP72"/>
      <c r="AQ72"/>
    </row>
    <row r="73" spans="1:44" x14ac:dyDescent="0.4">
      <c r="A73" s="30">
        <v>42930.561608796299</v>
      </c>
      <c r="B73" s="30">
        <v>42809.702777777777</v>
      </c>
      <c r="C73" t="s">
        <v>1135</v>
      </c>
      <c r="D73" t="s">
        <v>1136</v>
      </c>
      <c r="E73" s="8" t="s">
        <v>94</v>
      </c>
      <c r="F73" s="8" t="s">
        <v>94</v>
      </c>
      <c r="G73" t="s">
        <v>222</v>
      </c>
      <c r="H73" t="s">
        <v>2157</v>
      </c>
      <c r="I73" t="s">
        <v>1137</v>
      </c>
      <c r="J73" t="s">
        <v>1137</v>
      </c>
      <c r="K73" t="s">
        <v>1241</v>
      </c>
      <c r="L73" t="s">
        <v>2158</v>
      </c>
      <c r="M73" t="s">
        <v>992</v>
      </c>
      <c r="N73" s="8" t="s">
        <v>172</v>
      </c>
      <c r="O73" s="8" t="s">
        <v>2135</v>
      </c>
      <c r="P73" s="21">
        <v>2019</v>
      </c>
      <c r="Q73" s="8" t="s">
        <v>2152</v>
      </c>
      <c r="R73" s="32">
        <v>250000</v>
      </c>
      <c r="S73" s="21">
        <f t="shared" si="2"/>
        <v>15</v>
      </c>
      <c r="T73" s="8" t="s">
        <v>96</v>
      </c>
      <c r="U73" s="8" t="s">
        <v>1373</v>
      </c>
      <c r="V73" s="88" t="str">
        <f>HYPERLINK("https://www.ejacket.nsf.gov/ej/showProposal.do?ID="&amp;ckSplitTable[[#This Row],[prop_id]],"eJ")</f>
        <v>eJ</v>
      </c>
      <c r="W73" s="8" t="s">
        <v>224</v>
      </c>
      <c r="X73" s="8" t="s">
        <v>1373</v>
      </c>
      <c r="Y73" s="8" t="s">
        <v>1374</v>
      </c>
      <c r="Z73" s="8" t="s">
        <v>1214</v>
      </c>
      <c r="AA73" s="8" t="s">
        <v>1220</v>
      </c>
      <c r="AB73" s="88" t="str">
        <f>HYPERLINK("mailto:"&amp;ckSplitTable[[#This Row],[email]]&amp;"&amp;subject=Your NSF Proposal:  "&amp;ckSplitTable[[#This Row],[prop_id]],ckSplitTable[[#This Row],[email]])</f>
        <v>jw2966@columbia.edu</v>
      </c>
      <c r="AC73" s="8" t="s">
        <v>1375</v>
      </c>
      <c r="AD73" s="8" t="s">
        <v>1142</v>
      </c>
      <c r="AE73" s="8" t="s">
        <v>1142</v>
      </c>
      <c r="AF73" s="8" t="s">
        <v>1373</v>
      </c>
      <c r="AG73" s="8" t="s">
        <v>991</v>
      </c>
      <c r="AH73" s="8" t="s">
        <v>1377</v>
      </c>
      <c r="AK73"/>
      <c r="AL73"/>
      <c r="AM73"/>
      <c r="AN73"/>
      <c r="AO73"/>
      <c r="AP73"/>
      <c r="AQ73"/>
    </row>
  </sheetData>
  <conditionalFormatting sqref="A2:AH73">
    <cfRule type="expression" dxfId="6" priority="2">
      <formula>$U1&lt;&gt;$U2</formula>
    </cfRule>
    <cfRule type="expression" dxfId="5" priority="1624">
      <formula>MOD($S2,2)</formula>
    </cfRule>
  </conditionalFormatting>
  <conditionalFormatting sqref="F2:F73 H2:H73 J2:J73 L2:L73 AE2:AE73">
    <cfRule type="expression" dxfId="4"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93"/>
  <sheetViews>
    <sheetView workbookViewId="0">
      <selection activeCell="B1" sqref="B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102</v>
      </c>
      <c r="B1" t="s">
        <v>9</v>
      </c>
      <c r="C1" t="s">
        <v>10</v>
      </c>
      <c r="D1" t="s">
        <v>184</v>
      </c>
      <c r="E1" t="s">
        <v>185</v>
      </c>
      <c r="F1" t="s">
        <v>186</v>
      </c>
      <c r="G1" t="s">
        <v>187</v>
      </c>
      <c r="H1" t="s">
        <v>188</v>
      </c>
      <c r="I1" t="s">
        <v>189</v>
      </c>
      <c r="J1" t="s">
        <v>190</v>
      </c>
      <c r="K1" s="28" t="s">
        <v>191</v>
      </c>
      <c r="L1" t="s">
        <v>192</v>
      </c>
      <c r="M1" s="21" t="s">
        <v>193</v>
      </c>
      <c r="N1" s="21" t="s">
        <v>194</v>
      </c>
      <c r="O1" t="s">
        <v>195</v>
      </c>
      <c r="P1" t="s">
        <v>196</v>
      </c>
    </row>
    <row r="2" spans="1:16" x14ac:dyDescent="0.4">
      <c r="A2">
        <f t="shared" ref="A2:A65" si="0">A1+(B2&lt;&gt;B1)</f>
        <v>1</v>
      </c>
      <c r="B2" t="s">
        <v>977</v>
      </c>
      <c r="C2" t="s">
        <v>978</v>
      </c>
      <c r="D2" t="s">
        <v>209</v>
      </c>
      <c r="E2" t="s">
        <v>422</v>
      </c>
      <c r="F2" t="s">
        <v>1425</v>
      </c>
      <c r="G2" t="s">
        <v>1426</v>
      </c>
      <c r="H2" t="s">
        <v>264</v>
      </c>
      <c r="I2" t="s">
        <v>197</v>
      </c>
      <c r="J2" t="s">
        <v>1427</v>
      </c>
      <c r="K2" s="30">
        <v>42660</v>
      </c>
      <c r="L2" s="8">
        <v>42676.702789351853</v>
      </c>
      <c r="M2" s="21">
        <f>LEN(ProjTextTable[[#This Row],[text]])</f>
        <v>2866</v>
      </c>
      <c r="N2" s="21">
        <f>LEN(TRIM(CLEAN(SUBSTITUTE(ProjTextTable[[#This Row],[text]],CHAR(10)," "))))+1 - LEN(SUBSTITUTE(CLEAN(SUBSTITUTE(ProjTextTable[[#This Row],[text]],CHAR(10)," "))," ",""))</f>
        <v>407</v>
      </c>
      <c r="O2" t="s">
        <v>263</v>
      </c>
      <c r="P2" t="s">
        <v>1428</v>
      </c>
    </row>
    <row r="3" spans="1:16" x14ac:dyDescent="0.4">
      <c r="A3">
        <f t="shared" si="0"/>
        <v>1</v>
      </c>
      <c r="B3" t="s">
        <v>977</v>
      </c>
      <c r="C3" t="s">
        <v>978</v>
      </c>
      <c r="D3" t="s">
        <v>198</v>
      </c>
      <c r="E3" t="s">
        <v>422</v>
      </c>
      <c r="F3" t="s">
        <v>1429</v>
      </c>
      <c r="G3" t="s">
        <v>1430</v>
      </c>
      <c r="H3" t="s">
        <v>1431</v>
      </c>
      <c r="I3" t="s">
        <v>178</v>
      </c>
      <c r="J3" t="s">
        <v>178</v>
      </c>
      <c r="K3" s="30">
        <v>42655</v>
      </c>
      <c r="L3" s="8">
        <v>42655.515474537038</v>
      </c>
      <c r="M3" s="21">
        <f>LEN(ProjTextTable[[#This Row],[text]])</f>
        <v>5589</v>
      </c>
      <c r="N3" s="21">
        <f>LEN(TRIM(CLEAN(SUBSTITUTE(ProjTextTable[[#This Row],[text]],CHAR(10)," "))))+1 - LEN(SUBSTITUTE(CLEAN(SUBSTITUTE(ProjTextTable[[#This Row],[text]],CHAR(10)," "))," ",""))</f>
        <v>837</v>
      </c>
      <c r="O3" t="s">
        <v>267</v>
      </c>
      <c r="P3" t="s">
        <v>1432</v>
      </c>
    </row>
    <row r="4" spans="1:16" x14ac:dyDescent="0.4">
      <c r="A4">
        <f t="shared" si="0"/>
        <v>1</v>
      </c>
      <c r="B4" t="s">
        <v>977</v>
      </c>
      <c r="C4" t="s">
        <v>978</v>
      </c>
      <c r="D4" t="s">
        <v>198</v>
      </c>
      <c r="E4" t="s">
        <v>422</v>
      </c>
      <c r="F4" t="s">
        <v>1433</v>
      </c>
      <c r="G4" t="s">
        <v>1434</v>
      </c>
      <c r="H4" t="s">
        <v>1435</v>
      </c>
      <c r="I4" t="s">
        <v>215</v>
      </c>
      <c r="J4" t="s">
        <v>213</v>
      </c>
      <c r="K4" s="30">
        <v>42661</v>
      </c>
      <c r="L4" s="8">
        <v>42650.406504629631</v>
      </c>
      <c r="M4" s="21">
        <f>LEN(ProjTextTable[[#This Row],[text]])</f>
        <v>478</v>
      </c>
      <c r="N4" s="21">
        <f>LEN(TRIM(CLEAN(SUBSTITUTE(ProjTextTable[[#This Row],[text]],CHAR(10)," "))))+1 - LEN(SUBSTITUTE(CLEAN(SUBSTITUTE(ProjTextTable[[#This Row],[text]],CHAR(10)," "))," ",""))</f>
        <v>65</v>
      </c>
      <c r="O4" t="s">
        <v>178</v>
      </c>
      <c r="P4" t="s">
        <v>1436</v>
      </c>
    </row>
    <row r="5" spans="1:16" x14ac:dyDescent="0.4">
      <c r="A5">
        <f t="shared" si="0"/>
        <v>1</v>
      </c>
      <c r="B5" t="s">
        <v>977</v>
      </c>
      <c r="C5" t="s">
        <v>978</v>
      </c>
      <c r="D5" t="s">
        <v>198</v>
      </c>
      <c r="E5" t="s">
        <v>422</v>
      </c>
      <c r="F5" t="s">
        <v>1437</v>
      </c>
      <c r="G5" t="s">
        <v>1438</v>
      </c>
      <c r="H5" t="s">
        <v>1439</v>
      </c>
      <c r="I5" t="s">
        <v>215</v>
      </c>
      <c r="J5" t="s">
        <v>178</v>
      </c>
      <c r="K5" s="30">
        <v>42661</v>
      </c>
      <c r="L5" s="8">
        <v>42656.926863425928</v>
      </c>
      <c r="M5" s="21">
        <f>LEN(ProjTextTable[[#This Row],[text]])</f>
        <v>2867</v>
      </c>
      <c r="N5" s="21">
        <f>LEN(TRIM(CLEAN(SUBSTITUTE(ProjTextTable[[#This Row],[text]],CHAR(10)," "))))+1 - LEN(SUBSTITUTE(CLEAN(SUBSTITUTE(ProjTextTable[[#This Row],[text]],CHAR(10)," "))," ",""))</f>
        <v>441</v>
      </c>
      <c r="O5" t="s">
        <v>203</v>
      </c>
      <c r="P5" t="s">
        <v>1440</v>
      </c>
    </row>
    <row r="6" spans="1:16" x14ac:dyDescent="0.4">
      <c r="A6">
        <f t="shared" si="0"/>
        <v>1</v>
      </c>
      <c r="B6" t="s">
        <v>977</v>
      </c>
      <c r="C6" t="s">
        <v>978</v>
      </c>
      <c r="D6" t="s">
        <v>198</v>
      </c>
      <c r="E6" t="s">
        <v>422</v>
      </c>
      <c r="F6" t="s">
        <v>1441</v>
      </c>
      <c r="G6" t="s">
        <v>1442</v>
      </c>
      <c r="H6" t="s">
        <v>1443</v>
      </c>
      <c r="I6" t="s">
        <v>215</v>
      </c>
      <c r="J6" t="s">
        <v>178</v>
      </c>
      <c r="K6" s="30">
        <v>42661</v>
      </c>
      <c r="L6" s="8">
        <v>42658.968275462961</v>
      </c>
      <c r="M6" s="21">
        <f>LEN(ProjTextTable[[#This Row],[text]])</f>
        <v>2227</v>
      </c>
      <c r="N6" s="21">
        <f>LEN(TRIM(CLEAN(SUBSTITUTE(ProjTextTable[[#This Row],[text]],CHAR(10)," "))))+1 - LEN(SUBSTITUTE(CLEAN(SUBSTITUTE(ProjTextTable[[#This Row],[text]],CHAR(10)," "))," ",""))</f>
        <v>328</v>
      </c>
      <c r="O6" t="s">
        <v>206</v>
      </c>
      <c r="P6" t="s">
        <v>1444</v>
      </c>
    </row>
    <row r="7" spans="1:16" x14ac:dyDescent="0.4">
      <c r="A7">
        <f t="shared" si="0"/>
        <v>1</v>
      </c>
      <c r="B7" t="s">
        <v>977</v>
      </c>
      <c r="C7" t="s">
        <v>978</v>
      </c>
      <c r="D7" t="s">
        <v>198</v>
      </c>
      <c r="E7" t="s">
        <v>422</v>
      </c>
      <c r="F7" t="s">
        <v>1445</v>
      </c>
      <c r="G7" t="s">
        <v>1446</v>
      </c>
      <c r="H7" t="s">
        <v>1447</v>
      </c>
      <c r="I7" t="s">
        <v>215</v>
      </c>
      <c r="J7" t="s">
        <v>178</v>
      </c>
      <c r="K7" s="30">
        <v>42661</v>
      </c>
      <c r="L7" s="8">
        <v>42656.735486111109</v>
      </c>
      <c r="M7" s="21">
        <f>LEN(ProjTextTable[[#This Row],[text]])</f>
        <v>4831</v>
      </c>
      <c r="N7" s="21">
        <f>LEN(TRIM(CLEAN(SUBSTITUTE(ProjTextTable[[#This Row],[text]],CHAR(10)," "))))+1 - LEN(SUBSTITUTE(CLEAN(SUBSTITUTE(ProjTextTable[[#This Row],[text]],CHAR(10)," "))," ",""))</f>
        <v>714</v>
      </c>
      <c r="O7" t="s">
        <v>202</v>
      </c>
      <c r="P7" t="s">
        <v>1448</v>
      </c>
    </row>
    <row r="8" spans="1:16" x14ac:dyDescent="0.4">
      <c r="A8">
        <f t="shared" si="0"/>
        <v>1</v>
      </c>
      <c r="B8" t="s">
        <v>977</v>
      </c>
      <c r="C8" t="s">
        <v>978</v>
      </c>
      <c r="D8" t="s">
        <v>200</v>
      </c>
      <c r="E8" t="s">
        <v>422</v>
      </c>
      <c r="F8" t="s">
        <v>13</v>
      </c>
      <c r="G8" t="s">
        <v>13</v>
      </c>
      <c r="H8" t="s">
        <v>13</v>
      </c>
      <c r="K8" s="30"/>
      <c r="L8" s="8">
        <v>42570.04247685185</v>
      </c>
      <c r="M8" s="21">
        <f>LEN(ProjTextTable[[#This Row],[text]])</f>
        <v>4170</v>
      </c>
      <c r="N8" s="21">
        <f>LEN(TRIM(CLEAN(SUBSTITUTE(ProjTextTable[[#This Row],[text]],CHAR(10)," "))))+1 - LEN(SUBSTITUTE(CLEAN(SUBSTITUTE(ProjTextTable[[#This Row],[text]],CHAR(10)," "))," ",""))</f>
        <v>578</v>
      </c>
      <c r="O8" t="s">
        <v>13</v>
      </c>
      <c r="P8" t="s">
        <v>1449</v>
      </c>
    </row>
    <row r="9" spans="1:16" x14ac:dyDescent="0.4">
      <c r="A9">
        <f t="shared" si="0"/>
        <v>2</v>
      </c>
      <c r="B9" t="s">
        <v>986</v>
      </c>
      <c r="C9" t="s">
        <v>481</v>
      </c>
      <c r="D9" t="s">
        <v>209</v>
      </c>
      <c r="E9" t="s">
        <v>422</v>
      </c>
      <c r="F9" t="s">
        <v>1425</v>
      </c>
      <c r="G9" t="s">
        <v>1426</v>
      </c>
      <c r="H9" t="s">
        <v>212</v>
      </c>
      <c r="I9" t="s">
        <v>201</v>
      </c>
      <c r="J9" t="s">
        <v>1450</v>
      </c>
      <c r="K9" s="30">
        <v>42660</v>
      </c>
      <c r="L9" s="8">
        <v>42682.722638888888</v>
      </c>
      <c r="M9" s="21">
        <f>LEN(ProjTextTable[[#This Row],[text]])</f>
        <v>2255</v>
      </c>
      <c r="N9" s="21">
        <f>LEN(TRIM(CLEAN(SUBSTITUTE(ProjTextTable[[#This Row],[text]],CHAR(10)," "))))+1 - LEN(SUBSTITUTE(CLEAN(SUBSTITUTE(ProjTextTable[[#This Row],[text]],CHAR(10)," "))," ",""))</f>
        <v>327</v>
      </c>
      <c r="O9" t="s">
        <v>213</v>
      </c>
      <c r="P9" t="s">
        <v>1451</v>
      </c>
    </row>
    <row r="10" spans="1:16" x14ac:dyDescent="0.4">
      <c r="A10">
        <f t="shared" si="0"/>
        <v>2</v>
      </c>
      <c r="B10" t="s">
        <v>986</v>
      </c>
      <c r="C10" t="s">
        <v>481</v>
      </c>
      <c r="D10" t="s">
        <v>198</v>
      </c>
      <c r="E10" t="s">
        <v>422</v>
      </c>
      <c r="F10" t="s">
        <v>1452</v>
      </c>
      <c r="G10" t="s">
        <v>1453</v>
      </c>
      <c r="H10" t="s">
        <v>1454</v>
      </c>
      <c r="I10" t="s">
        <v>215</v>
      </c>
      <c r="J10" t="s">
        <v>178</v>
      </c>
      <c r="K10" s="30">
        <v>42661</v>
      </c>
      <c r="L10" s="8">
        <v>42658.775266203702</v>
      </c>
      <c r="M10" s="21">
        <f>LEN(ProjTextTable[[#This Row],[text]])</f>
        <v>4775</v>
      </c>
      <c r="N10" s="21">
        <f>LEN(TRIM(CLEAN(SUBSTITUTE(ProjTextTable[[#This Row],[text]],CHAR(10)," "))))+1 - LEN(SUBSTITUTE(CLEAN(SUBSTITUTE(ProjTextTable[[#This Row],[text]],CHAR(10)," "))," ",""))</f>
        <v>727</v>
      </c>
      <c r="O10" t="s">
        <v>203</v>
      </c>
      <c r="P10" t="s">
        <v>1455</v>
      </c>
    </row>
    <row r="11" spans="1:16" x14ac:dyDescent="0.4">
      <c r="A11">
        <f t="shared" si="0"/>
        <v>2</v>
      </c>
      <c r="B11" t="s">
        <v>986</v>
      </c>
      <c r="C11" t="s">
        <v>481</v>
      </c>
      <c r="D11" t="s">
        <v>198</v>
      </c>
      <c r="E11" t="s">
        <v>422</v>
      </c>
      <c r="F11" t="s">
        <v>1456</v>
      </c>
      <c r="G11" t="s">
        <v>1457</v>
      </c>
      <c r="H11" t="s">
        <v>1458</v>
      </c>
      <c r="I11" t="s">
        <v>215</v>
      </c>
      <c r="J11" t="s">
        <v>178</v>
      </c>
      <c r="K11" s="30">
        <v>42661</v>
      </c>
      <c r="L11" s="8">
        <v>42659.621053240742</v>
      </c>
      <c r="M11" s="21">
        <f>LEN(ProjTextTable[[#This Row],[text]])</f>
        <v>2575</v>
      </c>
      <c r="N11" s="21">
        <f>LEN(TRIM(CLEAN(SUBSTITUTE(ProjTextTable[[#This Row],[text]],CHAR(10)," "))))+1 - LEN(SUBSTITUTE(CLEAN(SUBSTITUTE(ProjTextTable[[#This Row],[text]],CHAR(10)," "))," ",""))</f>
        <v>390</v>
      </c>
      <c r="O11" t="s">
        <v>203</v>
      </c>
      <c r="P11" t="s">
        <v>1459</v>
      </c>
    </row>
    <row r="12" spans="1:16" x14ac:dyDescent="0.4">
      <c r="A12">
        <f t="shared" si="0"/>
        <v>2</v>
      </c>
      <c r="B12" t="s">
        <v>986</v>
      </c>
      <c r="C12" t="s">
        <v>481</v>
      </c>
      <c r="D12" t="s">
        <v>198</v>
      </c>
      <c r="E12" t="s">
        <v>422</v>
      </c>
      <c r="F12" t="s">
        <v>1460</v>
      </c>
      <c r="G12" t="s">
        <v>1461</v>
      </c>
      <c r="H12" t="s">
        <v>1462</v>
      </c>
      <c r="I12" t="s">
        <v>215</v>
      </c>
      <c r="J12" t="s">
        <v>178</v>
      </c>
      <c r="K12" s="30">
        <v>42661</v>
      </c>
      <c r="L12" s="8">
        <v>42660.115231481483</v>
      </c>
      <c r="M12" s="21">
        <f>LEN(ProjTextTable[[#This Row],[text]])</f>
        <v>4918</v>
      </c>
      <c r="N12" s="21">
        <f>LEN(TRIM(CLEAN(SUBSTITUTE(ProjTextTable[[#This Row],[text]],CHAR(10)," "))))+1 - LEN(SUBSTITUTE(CLEAN(SUBSTITUTE(ProjTextTable[[#This Row],[text]],CHAR(10)," "))," ",""))</f>
        <v>714</v>
      </c>
      <c r="O12" t="s">
        <v>203</v>
      </c>
      <c r="P12" t="s">
        <v>1463</v>
      </c>
    </row>
    <row r="13" spans="1:16" x14ac:dyDescent="0.4">
      <c r="A13">
        <f t="shared" si="0"/>
        <v>2</v>
      </c>
      <c r="B13" t="s">
        <v>986</v>
      </c>
      <c r="C13" t="s">
        <v>481</v>
      </c>
      <c r="D13" t="s">
        <v>198</v>
      </c>
      <c r="E13" t="s">
        <v>422</v>
      </c>
      <c r="F13" t="s">
        <v>797</v>
      </c>
      <c r="G13" t="s">
        <v>798</v>
      </c>
      <c r="H13" t="s">
        <v>799</v>
      </c>
      <c r="I13" t="s">
        <v>178</v>
      </c>
      <c r="J13" t="s">
        <v>178</v>
      </c>
      <c r="K13" s="30">
        <v>42655</v>
      </c>
      <c r="L13" s="8">
        <v>42659.42864583333</v>
      </c>
      <c r="M13" s="21">
        <f>LEN(ProjTextTable[[#This Row],[text]])</f>
        <v>5043</v>
      </c>
      <c r="N13" s="21">
        <f>LEN(TRIM(CLEAN(SUBSTITUTE(ProjTextTable[[#This Row],[text]],CHAR(10)," "))))+1 - LEN(SUBSTITUTE(CLEAN(SUBSTITUTE(ProjTextTable[[#This Row],[text]],CHAR(10)," "))," ",""))</f>
        <v>762</v>
      </c>
      <c r="O13" t="s">
        <v>199</v>
      </c>
      <c r="P13" t="s">
        <v>1464</v>
      </c>
    </row>
    <row r="14" spans="1:16" x14ac:dyDescent="0.4">
      <c r="A14">
        <f t="shared" si="0"/>
        <v>2</v>
      </c>
      <c r="B14" t="s">
        <v>986</v>
      </c>
      <c r="C14" t="s">
        <v>481</v>
      </c>
      <c r="D14" t="s">
        <v>200</v>
      </c>
      <c r="E14" t="s">
        <v>422</v>
      </c>
      <c r="F14" t="s">
        <v>13</v>
      </c>
      <c r="G14" t="s">
        <v>13</v>
      </c>
      <c r="H14" t="s">
        <v>13</v>
      </c>
      <c r="K14" s="30"/>
      <c r="L14" s="8">
        <v>42570.042615740742</v>
      </c>
      <c r="M14" s="21">
        <f>LEN(ProjTextTable[[#This Row],[text]])</f>
        <v>2736</v>
      </c>
      <c r="N14" s="21">
        <f>LEN(TRIM(CLEAN(SUBSTITUTE(ProjTextTable[[#This Row],[text]],CHAR(10)," "))))+1 - LEN(SUBSTITUTE(CLEAN(SUBSTITUTE(ProjTextTable[[#This Row],[text]],CHAR(10)," "))," ",""))</f>
        <v>366</v>
      </c>
      <c r="O14" t="s">
        <v>13</v>
      </c>
      <c r="P14" t="s">
        <v>1465</v>
      </c>
    </row>
    <row r="15" spans="1:16" x14ac:dyDescent="0.4">
      <c r="A15">
        <f t="shared" si="0"/>
        <v>3</v>
      </c>
      <c r="B15" t="s">
        <v>988</v>
      </c>
      <c r="C15" t="s">
        <v>414</v>
      </c>
      <c r="D15" t="s">
        <v>209</v>
      </c>
      <c r="E15" t="s">
        <v>422</v>
      </c>
      <c r="F15" t="s">
        <v>1425</v>
      </c>
      <c r="G15" t="s">
        <v>1426</v>
      </c>
      <c r="H15" t="s">
        <v>212</v>
      </c>
      <c r="I15" t="s">
        <v>201</v>
      </c>
      <c r="J15" t="s">
        <v>733</v>
      </c>
      <c r="K15" s="30">
        <v>42660</v>
      </c>
      <c r="L15" s="8">
        <v>42674.603738425925</v>
      </c>
      <c r="M15" s="21">
        <f>LEN(ProjTextTable[[#This Row],[text]])</f>
        <v>5433</v>
      </c>
      <c r="N15" s="21">
        <f>LEN(TRIM(CLEAN(SUBSTITUTE(ProjTextTable[[#This Row],[text]],CHAR(10)," "))))+1 - LEN(SUBSTITUTE(CLEAN(SUBSTITUTE(ProjTextTable[[#This Row],[text]],CHAR(10)," "))," ",""))</f>
        <v>814</v>
      </c>
      <c r="O15" t="s">
        <v>213</v>
      </c>
      <c r="P15" t="s">
        <v>1466</v>
      </c>
    </row>
    <row r="16" spans="1:16" x14ac:dyDescent="0.4">
      <c r="A16">
        <f t="shared" si="0"/>
        <v>3</v>
      </c>
      <c r="B16" t="s">
        <v>988</v>
      </c>
      <c r="C16" t="s">
        <v>414</v>
      </c>
      <c r="D16" t="s">
        <v>1467</v>
      </c>
      <c r="E16" t="s">
        <v>406</v>
      </c>
      <c r="F16" t="s">
        <v>988</v>
      </c>
      <c r="G16" t="s">
        <v>1468</v>
      </c>
      <c r="H16" t="s">
        <v>13</v>
      </c>
      <c r="I16" t="s">
        <v>13</v>
      </c>
      <c r="J16" t="s">
        <v>777</v>
      </c>
      <c r="K16" s="30">
        <v>42682.411111111112</v>
      </c>
      <c r="L16" s="8">
        <v>44508.411111111112</v>
      </c>
      <c r="M16" s="21">
        <f>LEN(ProjTextTable[[#This Row],[text]])</f>
        <v>3979</v>
      </c>
      <c r="N16" s="21">
        <f>LEN(TRIM(CLEAN(SUBSTITUTE(ProjTextTable[[#This Row],[text]],CHAR(10)," "))))+1 - LEN(SUBSTITUTE(CLEAN(SUBSTITUTE(ProjTextTable[[#This Row],[text]],CHAR(10)," "))," ",""))</f>
        <v>626</v>
      </c>
      <c r="O16" t="s">
        <v>13</v>
      </c>
      <c r="P16" t="s">
        <v>1469</v>
      </c>
    </row>
    <row r="17" spans="1:16" x14ac:dyDescent="0.4">
      <c r="A17">
        <f t="shared" si="0"/>
        <v>3</v>
      </c>
      <c r="B17" t="s">
        <v>988</v>
      </c>
      <c r="C17" t="s">
        <v>414</v>
      </c>
      <c r="D17" t="s">
        <v>2</v>
      </c>
      <c r="E17" t="s">
        <v>406</v>
      </c>
      <c r="F17" t="s">
        <v>13</v>
      </c>
      <c r="G17" t="s">
        <v>1470</v>
      </c>
      <c r="H17" t="s">
        <v>13</v>
      </c>
      <c r="I17" t="s">
        <v>13</v>
      </c>
      <c r="K17" s="30"/>
      <c r="L17" s="8">
        <v>42678.449837962966</v>
      </c>
      <c r="M17" s="21">
        <f>LEN(ProjTextTable[[#This Row],[text]])</f>
        <v>4523</v>
      </c>
      <c r="N17" s="21">
        <f>LEN(TRIM(CLEAN(SUBSTITUTE(ProjTextTable[[#This Row],[text]],CHAR(10)," "))))+1 - LEN(SUBSTITUTE(CLEAN(SUBSTITUTE(ProjTextTable[[#This Row],[text]],CHAR(10)," "))," ",""))</f>
        <v>688</v>
      </c>
      <c r="O17" t="s">
        <v>13</v>
      </c>
      <c r="P17" t="s">
        <v>1471</v>
      </c>
    </row>
    <row r="18" spans="1:16" x14ac:dyDescent="0.4">
      <c r="A18">
        <f t="shared" si="0"/>
        <v>3</v>
      </c>
      <c r="B18" t="s">
        <v>988</v>
      </c>
      <c r="C18" t="s">
        <v>414</v>
      </c>
      <c r="D18" t="s">
        <v>198</v>
      </c>
      <c r="E18" t="s">
        <v>406</v>
      </c>
      <c r="F18" t="s">
        <v>1472</v>
      </c>
      <c r="G18" t="s">
        <v>1473</v>
      </c>
      <c r="H18" t="s">
        <v>1474</v>
      </c>
      <c r="I18" t="s">
        <v>178</v>
      </c>
      <c r="J18" t="s">
        <v>178</v>
      </c>
      <c r="K18" s="30">
        <v>42654</v>
      </c>
      <c r="L18" s="8">
        <v>42653.735173611109</v>
      </c>
      <c r="M18" s="21">
        <f>LEN(ProjTextTable[[#This Row],[text]])</f>
        <v>4014</v>
      </c>
      <c r="N18" s="21">
        <f>LEN(TRIM(CLEAN(SUBSTITUTE(ProjTextTable[[#This Row],[text]],CHAR(10)," "))))+1 - LEN(SUBSTITUTE(CLEAN(SUBSTITUTE(ProjTextTable[[#This Row],[text]],CHAR(10)," "))," ",""))</f>
        <v>627</v>
      </c>
      <c r="O18" t="s">
        <v>202</v>
      </c>
      <c r="P18" t="s">
        <v>1475</v>
      </c>
    </row>
    <row r="19" spans="1:16" x14ac:dyDescent="0.4">
      <c r="A19">
        <f t="shared" si="0"/>
        <v>3</v>
      </c>
      <c r="B19" t="s">
        <v>988</v>
      </c>
      <c r="C19" t="s">
        <v>414</v>
      </c>
      <c r="D19" t="s">
        <v>198</v>
      </c>
      <c r="E19" t="s">
        <v>406</v>
      </c>
      <c r="F19" t="s">
        <v>1476</v>
      </c>
      <c r="G19" t="s">
        <v>1477</v>
      </c>
      <c r="H19" t="s">
        <v>1478</v>
      </c>
      <c r="I19" t="s">
        <v>215</v>
      </c>
      <c r="J19" t="s">
        <v>178</v>
      </c>
      <c r="K19" s="30">
        <v>42661</v>
      </c>
      <c r="L19" s="8">
        <v>42661.451435185183</v>
      </c>
      <c r="M19" s="21">
        <f>LEN(ProjTextTable[[#This Row],[text]])</f>
        <v>2460</v>
      </c>
      <c r="N19" s="21">
        <f>LEN(TRIM(CLEAN(SUBSTITUTE(ProjTextTable[[#This Row],[text]],CHAR(10)," "))))+1 - LEN(SUBSTITUTE(CLEAN(SUBSTITUTE(ProjTextTable[[#This Row],[text]],CHAR(10)," "))," ",""))</f>
        <v>367</v>
      </c>
      <c r="O19" t="s">
        <v>203</v>
      </c>
      <c r="P19" t="s">
        <v>1479</v>
      </c>
    </row>
    <row r="20" spans="1:16" x14ac:dyDescent="0.4">
      <c r="A20">
        <f t="shared" si="0"/>
        <v>3</v>
      </c>
      <c r="B20" t="s">
        <v>988</v>
      </c>
      <c r="C20" t="s">
        <v>414</v>
      </c>
      <c r="D20" t="s">
        <v>198</v>
      </c>
      <c r="E20" t="s">
        <v>406</v>
      </c>
      <c r="F20" t="s">
        <v>1456</v>
      </c>
      <c r="G20" t="s">
        <v>1457</v>
      </c>
      <c r="H20" t="s">
        <v>1458</v>
      </c>
      <c r="I20" t="s">
        <v>215</v>
      </c>
      <c r="J20" t="s">
        <v>178</v>
      </c>
      <c r="K20" s="30">
        <v>42661</v>
      </c>
      <c r="L20" s="8">
        <v>42658.775972222225</v>
      </c>
      <c r="M20" s="21">
        <f>LEN(ProjTextTable[[#This Row],[text]])</f>
        <v>2532</v>
      </c>
      <c r="N20" s="21">
        <f>LEN(TRIM(CLEAN(SUBSTITUTE(ProjTextTable[[#This Row],[text]],CHAR(10)," "))))+1 - LEN(SUBSTITUTE(CLEAN(SUBSTITUTE(ProjTextTable[[#This Row],[text]],CHAR(10)," "))," ",""))</f>
        <v>412</v>
      </c>
      <c r="O20" t="s">
        <v>203</v>
      </c>
      <c r="P20" t="s">
        <v>1480</v>
      </c>
    </row>
    <row r="21" spans="1:16" x14ac:dyDescent="0.4">
      <c r="A21">
        <f t="shared" si="0"/>
        <v>3</v>
      </c>
      <c r="B21" t="s">
        <v>988</v>
      </c>
      <c r="C21" t="s">
        <v>414</v>
      </c>
      <c r="D21" t="s">
        <v>198</v>
      </c>
      <c r="E21" t="s">
        <v>406</v>
      </c>
      <c r="F21" t="s">
        <v>1481</v>
      </c>
      <c r="G21" t="s">
        <v>1482</v>
      </c>
      <c r="H21" t="s">
        <v>1483</v>
      </c>
      <c r="I21" t="s">
        <v>215</v>
      </c>
      <c r="J21" t="s">
        <v>178</v>
      </c>
      <c r="K21" s="30">
        <v>42661</v>
      </c>
      <c r="L21" s="8">
        <v>42661.481412037036</v>
      </c>
      <c r="M21" s="21">
        <f>LEN(ProjTextTable[[#This Row],[text]])</f>
        <v>3416</v>
      </c>
      <c r="N21" s="21">
        <f>LEN(TRIM(CLEAN(SUBSTITUTE(ProjTextTable[[#This Row],[text]],CHAR(10)," "))))+1 - LEN(SUBSTITUTE(CLEAN(SUBSTITUTE(ProjTextTable[[#This Row],[text]],CHAR(10)," "))," ",""))</f>
        <v>499</v>
      </c>
      <c r="O21" t="s">
        <v>202</v>
      </c>
      <c r="P21" t="s">
        <v>1484</v>
      </c>
    </row>
    <row r="22" spans="1:16" x14ac:dyDescent="0.4">
      <c r="A22">
        <f t="shared" si="0"/>
        <v>3</v>
      </c>
      <c r="B22" t="s">
        <v>988</v>
      </c>
      <c r="C22" t="s">
        <v>414</v>
      </c>
      <c r="D22" t="s">
        <v>200</v>
      </c>
      <c r="E22" t="s">
        <v>406</v>
      </c>
      <c r="F22" t="s">
        <v>13</v>
      </c>
      <c r="G22" t="s">
        <v>13</v>
      </c>
      <c r="H22" t="s">
        <v>13</v>
      </c>
      <c r="K22" s="30"/>
      <c r="L22" s="8">
        <v>42571.042754629627</v>
      </c>
      <c r="M22" s="21">
        <f>LEN(ProjTextTable[[#This Row],[text]])</f>
        <v>3634</v>
      </c>
      <c r="N22" s="21">
        <f>LEN(TRIM(CLEAN(SUBSTITUTE(ProjTextTable[[#This Row],[text]],CHAR(10)," "))))+1 - LEN(SUBSTITUTE(CLEAN(SUBSTITUTE(ProjTextTable[[#This Row],[text]],CHAR(10)," "))," ",""))</f>
        <v>509</v>
      </c>
      <c r="O22" t="s">
        <v>13</v>
      </c>
      <c r="P22" t="s">
        <v>1485</v>
      </c>
    </row>
    <row r="23" spans="1:16" x14ac:dyDescent="0.4">
      <c r="A23">
        <f t="shared" si="0"/>
        <v>4</v>
      </c>
      <c r="B23" t="s">
        <v>990</v>
      </c>
      <c r="C23" t="s">
        <v>499</v>
      </c>
      <c r="D23" t="s">
        <v>209</v>
      </c>
      <c r="E23" t="s">
        <v>422</v>
      </c>
      <c r="F23" t="s">
        <v>1425</v>
      </c>
      <c r="G23" t="s">
        <v>1426</v>
      </c>
      <c r="H23" t="s">
        <v>212</v>
      </c>
      <c r="I23" t="s">
        <v>201</v>
      </c>
      <c r="J23" t="s">
        <v>268</v>
      </c>
      <c r="K23" s="30">
        <v>42660</v>
      </c>
      <c r="L23" s="8">
        <v>42715.915196759262</v>
      </c>
      <c r="M23" s="21">
        <f>LEN(ProjTextTable[[#This Row],[text]])</f>
        <v>2968</v>
      </c>
      <c r="N23" s="21">
        <f>LEN(TRIM(CLEAN(SUBSTITUTE(ProjTextTable[[#This Row],[text]],CHAR(10)," "))))+1 - LEN(SUBSTITUTE(CLEAN(SUBSTITUTE(ProjTextTable[[#This Row],[text]],CHAR(10)," "))," ",""))</f>
        <v>419</v>
      </c>
      <c r="O23" t="s">
        <v>213</v>
      </c>
      <c r="P23" t="s">
        <v>1486</v>
      </c>
    </row>
    <row r="24" spans="1:16" x14ac:dyDescent="0.4">
      <c r="A24">
        <f t="shared" si="0"/>
        <v>4</v>
      </c>
      <c r="B24" t="s">
        <v>990</v>
      </c>
      <c r="C24" t="s">
        <v>499</v>
      </c>
      <c r="D24" t="s">
        <v>2</v>
      </c>
      <c r="E24" t="s">
        <v>451</v>
      </c>
      <c r="F24" t="s">
        <v>13</v>
      </c>
      <c r="G24" t="s">
        <v>1470</v>
      </c>
      <c r="H24" t="s">
        <v>13</v>
      </c>
      <c r="I24" t="s">
        <v>13</v>
      </c>
      <c r="K24" s="30"/>
      <c r="L24" s="8">
        <v>42715.925185185188</v>
      </c>
      <c r="M24" s="21">
        <f>LEN(ProjTextTable[[#This Row],[text]])</f>
        <v>4139</v>
      </c>
      <c r="N24" s="21">
        <f>LEN(TRIM(CLEAN(SUBSTITUTE(ProjTextTable[[#This Row],[text]],CHAR(10)," "))))+1 - LEN(SUBSTITUTE(CLEAN(SUBSTITUTE(ProjTextTable[[#This Row],[text]],CHAR(10)," "))," ",""))</f>
        <v>624</v>
      </c>
      <c r="O24" t="s">
        <v>13</v>
      </c>
      <c r="P24" t="s">
        <v>1487</v>
      </c>
    </row>
    <row r="25" spans="1:16" x14ac:dyDescent="0.4">
      <c r="A25">
        <f t="shared" si="0"/>
        <v>4</v>
      </c>
      <c r="B25" t="s">
        <v>990</v>
      </c>
      <c r="C25" t="s">
        <v>499</v>
      </c>
      <c r="D25" t="s">
        <v>198</v>
      </c>
      <c r="E25" t="s">
        <v>451</v>
      </c>
      <c r="F25" t="s">
        <v>1452</v>
      </c>
      <c r="G25" t="s">
        <v>1453</v>
      </c>
      <c r="H25" t="s">
        <v>1454</v>
      </c>
      <c r="I25" t="s">
        <v>215</v>
      </c>
      <c r="J25" t="s">
        <v>178</v>
      </c>
      <c r="K25" s="30">
        <v>42661</v>
      </c>
      <c r="L25" s="8">
        <v>42659.452291666668</v>
      </c>
      <c r="M25" s="21">
        <f>LEN(ProjTextTable[[#This Row],[text]])</f>
        <v>4301</v>
      </c>
      <c r="N25" s="21">
        <f>LEN(TRIM(CLEAN(SUBSTITUTE(ProjTextTable[[#This Row],[text]],CHAR(10)," "))))+1 - LEN(SUBSTITUTE(CLEAN(SUBSTITUTE(ProjTextTable[[#This Row],[text]],CHAR(10)," "))," ",""))</f>
        <v>677</v>
      </c>
      <c r="O25" t="s">
        <v>202</v>
      </c>
      <c r="P25" t="s">
        <v>1488</v>
      </c>
    </row>
    <row r="26" spans="1:16" x14ac:dyDescent="0.4">
      <c r="A26">
        <f t="shared" si="0"/>
        <v>4</v>
      </c>
      <c r="B26" t="s">
        <v>990</v>
      </c>
      <c r="C26" t="s">
        <v>499</v>
      </c>
      <c r="D26" t="s">
        <v>198</v>
      </c>
      <c r="E26" t="s">
        <v>451</v>
      </c>
      <c r="F26" t="s">
        <v>1433</v>
      </c>
      <c r="G26" t="s">
        <v>1434</v>
      </c>
      <c r="H26" t="s">
        <v>1435</v>
      </c>
      <c r="I26" t="s">
        <v>215</v>
      </c>
      <c r="J26" t="s">
        <v>178</v>
      </c>
      <c r="K26" s="30">
        <v>42661</v>
      </c>
      <c r="L26" s="8">
        <v>42659.75980324074</v>
      </c>
      <c r="M26" s="21">
        <f>LEN(ProjTextTable[[#This Row],[text]])</f>
        <v>2516</v>
      </c>
      <c r="N26" s="21">
        <f>LEN(TRIM(CLEAN(SUBSTITUTE(ProjTextTable[[#This Row],[text]],CHAR(10)," "))))+1 - LEN(SUBSTITUTE(CLEAN(SUBSTITUTE(ProjTextTable[[#This Row],[text]],CHAR(10)," "))," ",""))</f>
        <v>378</v>
      </c>
      <c r="O26" t="s">
        <v>203</v>
      </c>
      <c r="P26" t="s">
        <v>1489</v>
      </c>
    </row>
    <row r="27" spans="1:16" x14ac:dyDescent="0.4">
      <c r="A27">
        <f t="shared" si="0"/>
        <v>4</v>
      </c>
      <c r="B27" t="s">
        <v>990</v>
      </c>
      <c r="C27" t="s">
        <v>499</v>
      </c>
      <c r="D27" t="s">
        <v>198</v>
      </c>
      <c r="E27" t="s">
        <v>451</v>
      </c>
      <c r="F27" t="s">
        <v>1460</v>
      </c>
      <c r="G27" t="s">
        <v>1461</v>
      </c>
      <c r="H27" t="s">
        <v>1462</v>
      </c>
      <c r="I27" t="s">
        <v>215</v>
      </c>
      <c r="J27" t="s">
        <v>178</v>
      </c>
      <c r="K27" s="30">
        <v>42661</v>
      </c>
      <c r="L27" s="8">
        <v>42660.115717592591</v>
      </c>
      <c r="M27" s="21">
        <f>LEN(ProjTextTable[[#This Row],[text]])</f>
        <v>5079</v>
      </c>
      <c r="N27" s="21">
        <f>LEN(TRIM(CLEAN(SUBSTITUTE(ProjTextTable[[#This Row],[text]],CHAR(10)," "))))+1 - LEN(SUBSTITUTE(CLEAN(SUBSTITUTE(ProjTextTable[[#This Row],[text]],CHAR(10)," "))," ",""))</f>
        <v>724</v>
      </c>
      <c r="O27" t="s">
        <v>202</v>
      </c>
      <c r="P27" t="s">
        <v>1490</v>
      </c>
    </row>
    <row r="28" spans="1:16" x14ac:dyDescent="0.4">
      <c r="A28">
        <f t="shared" si="0"/>
        <v>4</v>
      </c>
      <c r="B28" t="s">
        <v>990</v>
      </c>
      <c r="C28" t="s">
        <v>499</v>
      </c>
      <c r="D28" t="s">
        <v>198</v>
      </c>
      <c r="E28" t="s">
        <v>451</v>
      </c>
      <c r="F28" t="s">
        <v>1491</v>
      </c>
      <c r="G28" t="s">
        <v>1492</v>
      </c>
      <c r="H28" t="s">
        <v>1493</v>
      </c>
      <c r="I28" t="s">
        <v>178</v>
      </c>
      <c r="J28" t="s">
        <v>178</v>
      </c>
      <c r="K28" s="30">
        <v>42650</v>
      </c>
      <c r="L28" s="8">
        <v>42650.746342592596</v>
      </c>
      <c r="M28" s="21">
        <f>LEN(ProjTextTable[[#This Row],[text]])</f>
        <v>3837</v>
      </c>
      <c r="N28" s="21">
        <f>LEN(TRIM(CLEAN(SUBSTITUTE(ProjTextTable[[#This Row],[text]],CHAR(10)," "))))+1 - LEN(SUBSTITUTE(CLEAN(SUBSTITUTE(ProjTextTable[[#This Row],[text]],CHAR(10)," "))," ",""))</f>
        <v>570</v>
      </c>
      <c r="O28" t="s">
        <v>203</v>
      </c>
      <c r="P28" t="s">
        <v>1494</v>
      </c>
    </row>
    <row r="29" spans="1:16" x14ac:dyDescent="0.4">
      <c r="A29">
        <f t="shared" si="0"/>
        <v>4</v>
      </c>
      <c r="B29" t="s">
        <v>990</v>
      </c>
      <c r="C29" t="s">
        <v>499</v>
      </c>
      <c r="D29" t="s">
        <v>200</v>
      </c>
      <c r="E29" t="s">
        <v>451</v>
      </c>
      <c r="F29" t="s">
        <v>13</v>
      </c>
      <c r="G29" t="s">
        <v>13</v>
      </c>
      <c r="H29" t="s">
        <v>13</v>
      </c>
      <c r="K29" s="30"/>
      <c r="L29" s="8">
        <v>42571.043078703704</v>
      </c>
      <c r="M29" s="21">
        <f>LEN(ProjTextTable[[#This Row],[text]])</f>
        <v>4273</v>
      </c>
      <c r="N29" s="21">
        <f>LEN(TRIM(CLEAN(SUBSTITUTE(ProjTextTable[[#This Row],[text]],CHAR(10)," "))))+1 - LEN(SUBSTITUTE(CLEAN(SUBSTITUTE(ProjTextTable[[#This Row],[text]],CHAR(10)," "))," ",""))</f>
        <v>613</v>
      </c>
      <c r="O29" t="s">
        <v>13</v>
      </c>
      <c r="P29" t="s">
        <v>1495</v>
      </c>
    </row>
    <row r="30" spans="1:16" x14ac:dyDescent="0.4">
      <c r="A30">
        <f t="shared" si="0"/>
        <v>5</v>
      </c>
      <c r="B30" t="s">
        <v>993</v>
      </c>
      <c r="C30" t="s">
        <v>994</v>
      </c>
      <c r="D30" t="s">
        <v>209</v>
      </c>
      <c r="E30" t="s">
        <v>422</v>
      </c>
      <c r="F30" t="s">
        <v>1425</v>
      </c>
      <c r="G30" t="s">
        <v>1426</v>
      </c>
      <c r="H30" t="s">
        <v>212</v>
      </c>
      <c r="I30" t="s">
        <v>201</v>
      </c>
      <c r="J30" t="s">
        <v>269</v>
      </c>
      <c r="K30" s="30">
        <v>42660</v>
      </c>
      <c r="L30" s="8">
        <v>42800.446018518516</v>
      </c>
      <c r="M30" s="21">
        <f>LEN(ProjTextTable[[#This Row],[text]])</f>
        <v>4438</v>
      </c>
      <c r="N30" s="21">
        <f>LEN(TRIM(CLEAN(SUBSTITUTE(ProjTextTable[[#This Row],[text]],CHAR(10)," "))))+1 - LEN(SUBSTITUTE(CLEAN(SUBSTITUTE(ProjTextTable[[#This Row],[text]],CHAR(10)," "))," ",""))</f>
        <v>656</v>
      </c>
      <c r="O30" t="s">
        <v>213</v>
      </c>
      <c r="P30" t="s">
        <v>1496</v>
      </c>
    </row>
    <row r="31" spans="1:16" x14ac:dyDescent="0.4">
      <c r="A31">
        <f t="shared" si="0"/>
        <v>5</v>
      </c>
      <c r="B31" t="s">
        <v>993</v>
      </c>
      <c r="C31" t="s">
        <v>994</v>
      </c>
      <c r="D31" t="s">
        <v>908</v>
      </c>
      <c r="E31" t="s">
        <v>451</v>
      </c>
      <c r="F31" t="s">
        <v>13</v>
      </c>
      <c r="G31" t="s">
        <v>1497</v>
      </c>
      <c r="H31" t="s">
        <v>13</v>
      </c>
      <c r="I31" t="s">
        <v>13</v>
      </c>
      <c r="K31" s="30"/>
      <c r="L31" s="8">
        <v>42808.604537037034</v>
      </c>
      <c r="M31" s="21">
        <f>LEN(ProjTextTable[[#This Row],[text]])</f>
        <v>3481</v>
      </c>
      <c r="N31" s="21">
        <f>LEN(TRIM(CLEAN(SUBSTITUTE(ProjTextTable[[#This Row],[text]],CHAR(10)," "))))+1 - LEN(SUBSTITUTE(CLEAN(SUBSTITUTE(ProjTextTable[[#This Row],[text]],CHAR(10)," "))," ",""))</f>
        <v>529</v>
      </c>
      <c r="O31" t="s">
        <v>13</v>
      </c>
      <c r="P31" t="s">
        <v>1498</v>
      </c>
    </row>
    <row r="32" spans="1:16" x14ac:dyDescent="0.4">
      <c r="A32">
        <f t="shared" si="0"/>
        <v>5</v>
      </c>
      <c r="B32" t="s">
        <v>993</v>
      </c>
      <c r="C32" t="s">
        <v>994</v>
      </c>
      <c r="D32" t="s">
        <v>2</v>
      </c>
      <c r="E32" t="s">
        <v>451</v>
      </c>
      <c r="F32" t="s">
        <v>13</v>
      </c>
      <c r="G32" t="s">
        <v>1470</v>
      </c>
      <c r="H32" t="s">
        <v>13</v>
      </c>
      <c r="I32" t="s">
        <v>13</v>
      </c>
      <c r="K32" s="30"/>
      <c r="L32" s="8">
        <v>42800.442499999997</v>
      </c>
      <c r="M32" s="21">
        <f>LEN(ProjTextTable[[#This Row],[text]])</f>
        <v>8082</v>
      </c>
      <c r="N32" s="21">
        <f>LEN(TRIM(CLEAN(SUBSTITUTE(ProjTextTable[[#This Row],[text]],CHAR(10)," "))))+1 - LEN(SUBSTITUTE(CLEAN(SUBSTITUTE(ProjTextTable[[#This Row],[text]],CHAR(10)," "))," ",""))</f>
        <v>1227</v>
      </c>
      <c r="O32" t="s">
        <v>13</v>
      </c>
      <c r="P32" t="s">
        <v>1499</v>
      </c>
    </row>
    <row r="33" spans="1:16" x14ac:dyDescent="0.4">
      <c r="A33">
        <f t="shared" si="0"/>
        <v>5</v>
      </c>
      <c r="B33" t="s">
        <v>993</v>
      </c>
      <c r="C33" t="s">
        <v>994</v>
      </c>
      <c r="D33" t="s">
        <v>198</v>
      </c>
      <c r="E33" t="s">
        <v>451</v>
      </c>
      <c r="F33" t="s">
        <v>1460</v>
      </c>
      <c r="G33" t="s">
        <v>1461</v>
      </c>
      <c r="H33" t="s">
        <v>1462</v>
      </c>
      <c r="I33" t="s">
        <v>215</v>
      </c>
      <c r="J33" t="s">
        <v>178</v>
      </c>
      <c r="K33" s="30">
        <v>42661</v>
      </c>
      <c r="L33" s="8">
        <v>42660.11614583333</v>
      </c>
      <c r="M33" s="21">
        <f>LEN(ProjTextTable[[#This Row],[text]])</f>
        <v>6977</v>
      </c>
      <c r="N33" s="21">
        <f>LEN(TRIM(CLEAN(SUBSTITUTE(ProjTextTable[[#This Row],[text]],CHAR(10)," "))))+1 - LEN(SUBSTITUTE(CLEAN(SUBSTITUTE(ProjTextTable[[#This Row],[text]],CHAR(10)," "))," ",""))</f>
        <v>1065</v>
      </c>
      <c r="O33" t="s">
        <v>267</v>
      </c>
      <c r="P33" t="s">
        <v>1500</v>
      </c>
    </row>
    <row r="34" spans="1:16" x14ac:dyDescent="0.4">
      <c r="A34">
        <f t="shared" si="0"/>
        <v>5</v>
      </c>
      <c r="B34" t="s">
        <v>993</v>
      </c>
      <c r="C34" t="s">
        <v>994</v>
      </c>
      <c r="D34" t="s">
        <v>198</v>
      </c>
      <c r="E34" t="s">
        <v>451</v>
      </c>
      <c r="F34" t="s">
        <v>1501</v>
      </c>
      <c r="G34" t="s">
        <v>1502</v>
      </c>
      <c r="H34" t="s">
        <v>1503</v>
      </c>
      <c r="I34" t="s">
        <v>178</v>
      </c>
      <c r="J34" t="s">
        <v>178</v>
      </c>
      <c r="K34" s="30">
        <v>42650</v>
      </c>
      <c r="L34" s="8">
        <v>42649.562094907407</v>
      </c>
      <c r="M34" s="21">
        <f>LEN(ProjTextTable[[#This Row],[text]])</f>
        <v>4708</v>
      </c>
      <c r="N34" s="21">
        <f>LEN(TRIM(CLEAN(SUBSTITUTE(ProjTextTable[[#This Row],[text]],CHAR(10)," "))))+1 - LEN(SUBSTITUTE(CLEAN(SUBSTITUTE(ProjTextTable[[#This Row],[text]],CHAR(10)," "))," ",""))</f>
        <v>735</v>
      </c>
      <c r="O34" t="s">
        <v>215</v>
      </c>
      <c r="P34" t="s">
        <v>1504</v>
      </c>
    </row>
    <row r="35" spans="1:16" x14ac:dyDescent="0.4">
      <c r="A35">
        <f t="shared" si="0"/>
        <v>5</v>
      </c>
      <c r="B35" t="s">
        <v>993</v>
      </c>
      <c r="C35" t="s">
        <v>994</v>
      </c>
      <c r="D35" t="s">
        <v>198</v>
      </c>
      <c r="E35" t="s">
        <v>451</v>
      </c>
      <c r="F35" t="s">
        <v>1505</v>
      </c>
      <c r="G35" t="s">
        <v>1506</v>
      </c>
      <c r="H35" t="s">
        <v>1507</v>
      </c>
      <c r="I35" t="s">
        <v>215</v>
      </c>
      <c r="J35" t="s">
        <v>178</v>
      </c>
      <c r="K35" s="30">
        <v>42661</v>
      </c>
      <c r="L35" s="8">
        <v>42660.407372685186</v>
      </c>
      <c r="M35" s="21">
        <f>LEN(ProjTextTable[[#This Row],[text]])</f>
        <v>2910</v>
      </c>
      <c r="N35" s="21">
        <f>LEN(TRIM(CLEAN(SUBSTITUTE(ProjTextTable[[#This Row],[text]],CHAR(10)," "))))+1 - LEN(SUBSTITUTE(CLEAN(SUBSTITUTE(ProjTextTable[[#This Row],[text]],CHAR(10)," "))," ",""))</f>
        <v>443</v>
      </c>
      <c r="O35" t="s">
        <v>203</v>
      </c>
      <c r="P35" t="s">
        <v>1508</v>
      </c>
    </row>
    <row r="36" spans="1:16" x14ac:dyDescent="0.4">
      <c r="A36">
        <f t="shared" si="0"/>
        <v>5</v>
      </c>
      <c r="B36" t="s">
        <v>993</v>
      </c>
      <c r="C36" t="s">
        <v>994</v>
      </c>
      <c r="D36" t="s">
        <v>198</v>
      </c>
      <c r="E36" t="s">
        <v>451</v>
      </c>
      <c r="F36" t="s">
        <v>1509</v>
      </c>
      <c r="G36" t="s">
        <v>1510</v>
      </c>
      <c r="H36" t="s">
        <v>1511</v>
      </c>
      <c r="I36" t="s">
        <v>178</v>
      </c>
      <c r="J36" t="s">
        <v>178</v>
      </c>
      <c r="K36" s="30">
        <v>42657</v>
      </c>
      <c r="L36" s="8">
        <v>42655.757800925923</v>
      </c>
      <c r="M36" s="21">
        <f>LEN(ProjTextTable[[#This Row],[text]])</f>
        <v>4988</v>
      </c>
      <c r="N36" s="21">
        <f>LEN(TRIM(CLEAN(SUBSTITUTE(ProjTextTable[[#This Row],[text]],CHAR(10)," "))))+1 - LEN(SUBSTITUTE(CLEAN(SUBSTITUTE(ProjTextTable[[#This Row],[text]],CHAR(10)," "))," ",""))</f>
        <v>808</v>
      </c>
      <c r="O36" t="s">
        <v>203</v>
      </c>
      <c r="P36" t="s">
        <v>1512</v>
      </c>
    </row>
    <row r="37" spans="1:16" x14ac:dyDescent="0.4">
      <c r="A37">
        <f t="shared" si="0"/>
        <v>5</v>
      </c>
      <c r="B37" t="s">
        <v>993</v>
      </c>
      <c r="C37" t="s">
        <v>994</v>
      </c>
      <c r="D37" t="s">
        <v>198</v>
      </c>
      <c r="E37" t="s">
        <v>451</v>
      </c>
      <c r="F37" t="s">
        <v>1445</v>
      </c>
      <c r="G37" t="s">
        <v>1446</v>
      </c>
      <c r="H37" t="s">
        <v>1447</v>
      </c>
      <c r="I37" t="s">
        <v>215</v>
      </c>
      <c r="J37" t="s">
        <v>178</v>
      </c>
      <c r="K37" s="30">
        <v>42661</v>
      </c>
      <c r="L37" s="8">
        <v>42658.796643518515</v>
      </c>
      <c r="M37" s="21">
        <f>LEN(ProjTextTable[[#This Row],[text]])</f>
        <v>4034</v>
      </c>
      <c r="N37" s="21">
        <f>LEN(TRIM(CLEAN(SUBSTITUTE(ProjTextTable[[#This Row],[text]],CHAR(10)," "))))+1 - LEN(SUBSTITUTE(CLEAN(SUBSTITUTE(ProjTextTable[[#This Row],[text]],CHAR(10)," "))," ",""))</f>
        <v>606</v>
      </c>
      <c r="O37" t="s">
        <v>267</v>
      </c>
      <c r="P37" t="s">
        <v>1513</v>
      </c>
    </row>
    <row r="38" spans="1:16" x14ac:dyDescent="0.4">
      <c r="A38">
        <f t="shared" si="0"/>
        <v>5</v>
      </c>
      <c r="B38" t="s">
        <v>993</v>
      </c>
      <c r="C38" t="s">
        <v>994</v>
      </c>
      <c r="D38" t="s">
        <v>200</v>
      </c>
      <c r="E38" t="s">
        <v>451</v>
      </c>
      <c r="F38" t="s">
        <v>13</v>
      </c>
      <c r="G38" t="s">
        <v>13</v>
      </c>
      <c r="H38" t="s">
        <v>13</v>
      </c>
      <c r="K38" s="30"/>
      <c r="L38" s="8">
        <v>42571.044016203705</v>
      </c>
      <c r="M38" s="21">
        <f>LEN(ProjTextTable[[#This Row],[text]])</f>
        <v>4087</v>
      </c>
      <c r="N38" s="21">
        <f>LEN(TRIM(CLEAN(SUBSTITUTE(ProjTextTable[[#This Row],[text]],CHAR(10)," "))))+1 - LEN(SUBSTITUTE(CLEAN(SUBSTITUTE(ProjTextTable[[#This Row],[text]],CHAR(10)," "))," ",""))</f>
        <v>616</v>
      </c>
      <c r="O38" t="s">
        <v>13</v>
      </c>
      <c r="P38" t="s">
        <v>1514</v>
      </c>
    </row>
    <row r="39" spans="1:16" x14ac:dyDescent="0.4">
      <c r="A39">
        <f t="shared" si="0"/>
        <v>5</v>
      </c>
      <c r="B39" t="s">
        <v>993</v>
      </c>
      <c r="C39" t="s">
        <v>994</v>
      </c>
      <c r="D39" t="s">
        <v>1515</v>
      </c>
      <c r="E39" t="s">
        <v>451</v>
      </c>
      <c r="F39" t="s">
        <v>993</v>
      </c>
      <c r="G39" t="s">
        <v>1497</v>
      </c>
      <c r="H39" t="s">
        <v>1516</v>
      </c>
      <c r="K39" s="30"/>
      <c r="L39" s="8">
        <v>42800.382523148146</v>
      </c>
      <c r="M39" s="21">
        <f>LEN(ProjTextTable[[#This Row],[text]])</f>
        <v>916</v>
      </c>
      <c r="N39" s="21">
        <f>LEN(TRIM(CLEAN(SUBSTITUTE(ProjTextTable[[#This Row],[text]],CHAR(10)," "))))+1 - LEN(SUBSTITUTE(CLEAN(SUBSTITUTE(ProjTextTable[[#This Row],[text]],CHAR(10)," "))," ",""))</f>
        <v>132</v>
      </c>
      <c r="O39" t="s">
        <v>13</v>
      </c>
      <c r="P39" t="s">
        <v>1517</v>
      </c>
    </row>
    <row r="40" spans="1:16" x14ac:dyDescent="0.4">
      <c r="A40">
        <f t="shared" si="0"/>
        <v>6</v>
      </c>
      <c r="B40" t="s">
        <v>999</v>
      </c>
      <c r="C40" t="s">
        <v>1000</v>
      </c>
      <c r="D40" t="s">
        <v>209</v>
      </c>
      <c r="E40" t="s">
        <v>422</v>
      </c>
      <c r="F40" t="s">
        <v>1425</v>
      </c>
      <c r="G40" t="s">
        <v>1426</v>
      </c>
      <c r="H40" t="s">
        <v>259</v>
      </c>
      <c r="I40" t="s">
        <v>95</v>
      </c>
      <c r="J40" t="s">
        <v>201</v>
      </c>
      <c r="K40" s="30">
        <v>42660</v>
      </c>
      <c r="L40" s="8">
        <v>42709.757152777776</v>
      </c>
      <c r="M40" s="21">
        <f>LEN(ProjTextTable[[#This Row],[text]])</f>
        <v>4675</v>
      </c>
      <c r="N40" s="21">
        <f>LEN(TRIM(CLEAN(SUBSTITUTE(ProjTextTable[[#This Row],[text]],CHAR(10)," "))))+1 - LEN(SUBSTITUTE(CLEAN(SUBSTITUTE(ProjTextTable[[#This Row],[text]],CHAR(10)," "))," ",""))</f>
        <v>696</v>
      </c>
      <c r="O40" t="s">
        <v>257</v>
      </c>
      <c r="P40" t="s">
        <v>1518</v>
      </c>
    </row>
    <row r="41" spans="1:16" x14ac:dyDescent="0.4">
      <c r="A41">
        <f t="shared" si="0"/>
        <v>6</v>
      </c>
      <c r="B41" t="s">
        <v>999</v>
      </c>
      <c r="C41" t="s">
        <v>1000</v>
      </c>
      <c r="D41" t="s">
        <v>908</v>
      </c>
      <c r="E41" t="s">
        <v>422</v>
      </c>
      <c r="F41" t="s">
        <v>13</v>
      </c>
      <c r="G41" t="s">
        <v>909</v>
      </c>
      <c r="H41" t="s">
        <v>13</v>
      </c>
      <c r="I41" t="s">
        <v>13</v>
      </c>
      <c r="K41" s="30"/>
      <c r="L41" s="8">
        <v>42704.693958333337</v>
      </c>
      <c r="M41" s="21">
        <f>LEN(ProjTextTable[[#This Row],[text]])</f>
        <v>1615</v>
      </c>
      <c r="N41" s="21">
        <f>LEN(TRIM(CLEAN(SUBSTITUTE(ProjTextTable[[#This Row],[text]],CHAR(10)," "))))+1 - LEN(SUBSTITUTE(CLEAN(SUBSTITUTE(ProjTextTable[[#This Row],[text]],CHAR(10)," "))," ",""))</f>
        <v>228</v>
      </c>
      <c r="O41" t="s">
        <v>13</v>
      </c>
      <c r="P41" t="s">
        <v>1519</v>
      </c>
    </row>
    <row r="42" spans="1:16" x14ac:dyDescent="0.4">
      <c r="A42">
        <f t="shared" si="0"/>
        <v>6</v>
      </c>
      <c r="B42" t="s">
        <v>999</v>
      </c>
      <c r="C42" t="s">
        <v>1000</v>
      </c>
      <c r="D42" t="s">
        <v>198</v>
      </c>
      <c r="E42" t="s">
        <v>422</v>
      </c>
      <c r="F42" t="s">
        <v>1452</v>
      </c>
      <c r="G42" t="s">
        <v>1453</v>
      </c>
      <c r="H42" t="s">
        <v>1454</v>
      </c>
      <c r="I42" t="s">
        <v>215</v>
      </c>
      <c r="J42" t="s">
        <v>178</v>
      </c>
      <c r="K42" s="30">
        <v>42661</v>
      </c>
      <c r="L42" s="8">
        <v>42659.018750000003</v>
      </c>
      <c r="M42" s="21">
        <f>LEN(ProjTextTable[[#This Row],[text]])</f>
        <v>4677</v>
      </c>
      <c r="N42" s="21">
        <f>LEN(TRIM(CLEAN(SUBSTITUTE(ProjTextTable[[#This Row],[text]],CHAR(10)," "))))+1 - LEN(SUBSTITUTE(CLEAN(SUBSTITUTE(ProjTextTable[[#This Row],[text]],CHAR(10)," "))," ",""))</f>
        <v>752</v>
      </c>
      <c r="O42" t="s">
        <v>199</v>
      </c>
      <c r="P42" t="s">
        <v>1520</v>
      </c>
    </row>
    <row r="43" spans="1:16" x14ac:dyDescent="0.4">
      <c r="A43">
        <f t="shared" si="0"/>
        <v>6</v>
      </c>
      <c r="B43" t="s">
        <v>999</v>
      </c>
      <c r="C43" t="s">
        <v>1000</v>
      </c>
      <c r="D43" t="s">
        <v>198</v>
      </c>
      <c r="E43" t="s">
        <v>422</v>
      </c>
      <c r="F43" t="s">
        <v>1460</v>
      </c>
      <c r="G43" t="s">
        <v>1461</v>
      </c>
      <c r="H43" t="s">
        <v>1462</v>
      </c>
      <c r="I43" t="s">
        <v>215</v>
      </c>
      <c r="J43" t="s">
        <v>178</v>
      </c>
      <c r="K43" s="30">
        <v>42661</v>
      </c>
      <c r="L43" s="8">
        <v>42660.116712962961</v>
      </c>
      <c r="M43" s="21">
        <f>LEN(ProjTextTable[[#This Row],[text]])</f>
        <v>6820</v>
      </c>
      <c r="N43" s="21">
        <f>LEN(TRIM(CLEAN(SUBSTITUTE(ProjTextTable[[#This Row],[text]],CHAR(10)," "))))+1 - LEN(SUBSTITUTE(CLEAN(SUBSTITUTE(ProjTextTable[[#This Row],[text]],CHAR(10)," "))," ",""))</f>
        <v>1014</v>
      </c>
      <c r="O43" t="s">
        <v>202</v>
      </c>
      <c r="P43" t="s">
        <v>1521</v>
      </c>
    </row>
    <row r="44" spans="1:16" x14ac:dyDescent="0.4">
      <c r="A44">
        <f t="shared" si="0"/>
        <v>6</v>
      </c>
      <c r="B44" t="s">
        <v>999</v>
      </c>
      <c r="C44" t="s">
        <v>1000</v>
      </c>
      <c r="D44" t="s">
        <v>198</v>
      </c>
      <c r="E44" t="s">
        <v>422</v>
      </c>
      <c r="F44" t="s">
        <v>1441</v>
      </c>
      <c r="G44" t="s">
        <v>1442</v>
      </c>
      <c r="H44" t="s">
        <v>1443</v>
      </c>
      <c r="I44" t="s">
        <v>215</v>
      </c>
      <c r="J44" t="s">
        <v>178</v>
      </c>
      <c r="K44" s="30">
        <v>42661</v>
      </c>
      <c r="L44" s="8">
        <v>42656.623310185183</v>
      </c>
      <c r="M44" s="21">
        <f>LEN(ProjTextTable[[#This Row],[text]])</f>
        <v>1730</v>
      </c>
      <c r="N44" s="21">
        <f>LEN(TRIM(CLEAN(SUBSTITUTE(ProjTextTable[[#This Row],[text]],CHAR(10)," "))))+1 - LEN(SUBSTITUTE(CLEAN(SUBSTITUTE(ProjTextTable[[#This Row],[text]],CHAR(10)," "))," ",""))</f>
        <v>257</v>
      </c>
      <c r="O44" t="s">
        <v>267</v>
      </c>
      <c r="P44" t="s">
        <v>1522</v>
      </c>
    </row>
    <row r="45" spans="1:16" x14ac:dyDescent="0.4">
      <c r="A45">
        <f t="shared" si="0"/>
        <v>6</v>
      </c>
      <c r="B45" t="s">
        <v>999</v>
      </c>
      <c r="C45" t="s">
        <v>1000</v>
      </c>
      <c r="D45" t="s">
        <v>198</v>
      </c>
      <c r="E45" t="s">
        <v>422</v>
      </c>
      <c r="F45" t="s">
        <v>1523</v>
      </c>
      <c r="G45" t="s">
        <v>1524</v>
      </c>
      <c r="H45" t="s">
        <v>1525</v>
      </c>
      <c r="I45" t="s">
        <v>178</v>
      </c>
      <c r="J45" t="s">
        <v>178</v>
      </c>
      <c r="K45" s="30">
        <v>42655</v>
      </c>
      <c r="L45" s="8">
        <v>42652.91170138889</v>
      </c>
      <c r="M45" s="21">
        <f>LEN(ProjTextTable[[#This Row],[text]])</f>
        <v>4341</v>
      </c>
      <c r="N45" s="21">
        <f>LEN(TRIM(CLEAN(SUBSTITUTE(ProjTextTable[[#This Row],[text]],CHAR(10)," "))))+1 - LEN(SUBSTITUTE(CLEAN(SUBSTITUTE(ProjTextTable[[#This Row],[text]],CHAR(10)," "))," ",""))</f>
        <v>674</v>
      </c>
      <c r="O45" t="s">
        <v>267</v>
      </c>
      <c r="P45" t="s">
        <v>1526</v>
      </c>
    </row>
    <row r="46" spans="1:16" x14ac:dyDescent="0.4">
      <c r="A46">
        <f t="shared" si="0"/>
        <v>7</v>
      </c>
      <c r="B46" t="s">
        <v>1005</v>
      </c>
      <c r="C46" t="s">
        <v>505</v>
      </c>
      <c r="D46" t="s">
        <v>209</v>
      </c>
      <c r="E46" t="s">
        <v>422</v>
      </c>
      <c r="F46" t="s">
        <v>1425</v>
      </c>
      <c r="G46" t="s">
        <v>1426</v>
      </c>
      <c r="H46" t="s">
        <v>264</v>
      </c>
      <c r="I46" t="s">
        <v>197</v>
      </c>
      <c r="J46" t="s">
        <v>1427</v>
      </c>
      <c r="K46" s="30">
        <v>42660</v>
      </c>
      <c r="L46" s="8">
        <v>42674.603738425925</v>
      </c>
      <c r="M46" s="21">
        <f>LEN(ProjTextTable[[#This Row],[text]])</f>
        <v>4370</v>
      </c>
      <c r="N46" s="21">
        <f>LEN(TRIM(CLEAN(SUBSTITUTE(ProjTextTable[[#This Row],[text]],CHAR(10)," "))))+1 - LEN(SUBSTITUTE(CLEAN(SUBSTITUTE(ProjTextTable[[#This Row],[text]],CHAR(10)," "))," ",""))</f>
        <v>628</v>
      </c>
      <c r="O46" t="s">
        <v>263</v>
      </c>
      <c r="P46" t="s">
        <v>1527</v>
      </c>
    </row>
    <row r="47" spans="1:16" x14ac:dyDescent="0.4">
      <c r="A47">
        <f t="shared" si="0"/>
        <v>7</v>
      </c>
      <c r="B47" t="s">
        <v>1005</v>
      </c>
      <c r="C47" t="s">
        <v>505</v>
      </c>
      <c r="D47" t="s">
        <v>1467</v>
      </c>
      <c r="E47" t="s">
        <v>406</v>
      </c>
      <c r="F47" t="s">
        <v>1005</v>
      </c>
      <c r="G47" t="s">
        <v>1468</v>
      </c>
      <c r="H47" t="s">
        <v>13</v>
      </c>
      <c r="I47" t="s">
        <v>13</v>
      </c>
      <c r="J47" t="s">
        <v>777</v>
      </c>
      <c r="K47" s="30">
        <v>42676.693749999999</v>
      </c>
      <c r="L47" s="8">
        <v>44502.693749999999</v>
      </c>
      <c r="M47" s="21">
        <f>LEN(ProjTextTable[[#This Row],[text]])</f>
        <v>4046</v>
      </c>
      <c r="N47" s="21">
        <f>LEN(TRIM(CLEAN(SUBSTITUTE(ProjTextTable[[#This Row],[text]],CHAR(10)," "))))+1 - LEN(SUBSTITUTE(CLEAN(SUBSTITUTE(ProjTextTable[[#This Row],[text]],CHAR(10)," "))," ",""))</f>
        <v>647</v>
      </c>
      <c r="O47" t="s">
        <v>13</v>
      </c>
      <c r="P47" t="s">
        <v>1528</v>
      </c>
    </row>
    <row r="48" spans="1:16" x14ac:dyDescent="0.4">
      <c r="A48">
        <f t="shared" si="0"/>
        <v>7</v>
      </c>
      <c r="B48" t="s">
        <v>1005</v>
      </c>
      <c r="C48" t="s">
        <v>505</v>
      </c>
      <c r="D48" t="s">
        <v>2</v>
      </c>
      <c r="E48" t="s">
        <v>406</v>
      </c>
      <c r="F48" t="s">
        <v>13</v>
      </c>
      <c r="G48" t="s">
        <v>1470</v>
      </c>
      <c r="H48" t="s">
        <v>13</v>
      </c>
      <c r="I48" t="s">
        <v>13</v>
      </c>
      <c r="K48" s="30"/>
      <c r="L48" s="8">
        <v>42674.602546296293</v>
      </c>
      <c r="M48" s="21">
        <f>LEN(ProjTextTable[[#This Row],[text]])</f>
        <v>4200</v>
      </c>
      <c r="N48" s="21">
        <f>LEN(TRIM(CLEAN(SUBSTITUTE(ProjTextTable[[#This Row],[text]],CHAR(10)," "))))+1 - LEN(SUBSTITUTE(CLEAN(SUBSTITUTE(ProjTextTable[[#This Row],[text]],CHAR(10)," "))," ",""))</f>
        <v>642</v>
      </c>
      <c r="O48" t="s">
        <v>13</v>
      </c>
      <c r="P48" t="s">
        <v>1529</v>
      </c>
    </row>
    <row r="49" spans="1:16" x14ac:dyDescent="0.4">
      <c r="A49">
        <f t="shared" si="0"/>
        <v>7</v>
      </c>
      <c r="B49" t="s">
        <v>1005</v>
      </c>
      <c r="C49" t="s">
        <v>505</v>
      </c>
      <c r="D49" t="s">
        <v>198</v>
      </c>
      <c r="E49" t="s">
        <v>406</v>
      </c>
      <c r="F49" t="s">
        <v>743</v>
      </c>
      <c r="G49" t="s">
        <v>744</v>
      </c>
      <c r="H49" t="s">
        <v>745</v>
      </c>
      <c r="I49" t="s">
        <v>178</v>
      </c>
      <c r="J49" t="s">
        <v>178</v>
      </c>
      <c r="K49" s="30">
        <v>42654</v>
      </c>
      <c r="L49" s="8">
        <v>42649.801180555558</v>
      </c>
      <c r="M49" s="21">
        <f>LEN(ProjTextTable[[#This Row],[text]])</f>
        <v>6018</v>
      </c>
      <c r="N49" s="21">
        <f>LEN(TRIM(CLEAN(SUBSTITUTE(ProjTextTable[[#This Row],[text]],CHAR(10)," "))))+1 - LEN(SUBSTITUTE(CLEAN(SUBSTITUTE(ProjTextTable[[#This Row],[text]],CHAR(10)," "))," ",""))</f>
        <v>888</v>
      </c>
      <c r="O49" t="s">
        <v>267</v>
      </c>
      <c r="P49" t="s">
        <v>1530</v>
      </c>
    </row>
    <row r="50" spans="1:16" x14ac:dyDescent="0.4">
      <c r="A50">
        <f t="shared" si="0"/>
        <v>7</v>
      </c>
      <c r="B50" t="s">
        <v>1005</v>
      </c>
      <c r="C50" t="s">
        <v>505</v>
      </c>
      <c r="D50" t="s">
        <v>198</v>
      </c>
      <c r="E50" t="s">
        <v>406</v>
      </c>
      <c r="F50" t="s">
        <v>1476</v>
      </c>
      <c r="G50" t="s">
        <v>1477</v>
      </c>
      <c r="H50" t="s">
        <v>1478</v>
      </c>
      <c r="I50" t="s">
        <v>215</v>
      </c>
      <c r="J50" t="s">
        <v>178</v>
      </c>
      <c r="K50" s="30">
        <v>42661</v>
      </c>
      <c r="L50" s="8">
        <v>42659.834328703706</v>
      </c>
      <c r="M50" s="21">
        <f>LEN(ProjTextTable[[#This Row],[text]])</f>
        <v>2941</v>
      </c>
      <c r="N50" s="21">
        <f>LEN(TRIM(CLEAN(SUBSTITUTE(ProjTextTable[[#This Row],[text]],CHAR(10)," "))))+1 - LEN(SUBSTITUTE(CLEAN(SUBSTITUTE(ProjTextTable[[#This Row],[text]],CHAR(10)," "))," ",""))</f>
        <v>417</v>
      </c>
      <c r="O50" t="s">
        <v>203</v>
      </c>
      <c r="P50" t="s">
        <v>1531</v>
      </c>
    </row>
    <row r="51" spans="1:16" x14ac:dyDescent="0.4">
      <c r="A51">
        <f t="shared" si="0"/>
        <v>7</v>
      </c>
      <c r="B51" t="s">
        <v>1005</v>
      </c>
      <c r="C51" t="s">
        <v>505</v>
      </c>
      <c r="D51" t="s">
        <v>198</v>
      </c>
      <c r="E51" t="s">
        <v>406</v>
      </c>
      <c r="F51" t="s">
        <v>1532</v>
      </c>
      <c r="G51" t="s">
        <v>1533</v>
      </c>
      <c r="H51" t="s">
        <v>1534</v>
      </c>
      <c r="I51" t="s">
        <v>215</v>
      </c>
      <c r="J51" t="s">
        <v>178</v>
      </c>
      <c r="K51" s="30">
        <v>42661</v>
      </c>
      <c r="L51" s="8">
        <v>42657.714942129627</v>
      </c>
      <c r="M51" s="21">
        <f>LEN(ProjTextTable[[#This Row],[text]])</f>
        <v>2708</v>
      </c>
      <c r="N51" s="21">
        <f>LEN(TRIM(CLEAN(SUBSTITUTE(ProjTextTable[[#This Row],[text]],CHAR(10)," "))))+1 - LEN(SUBSTITUTE(CLEAN(SUBSTITUTE(ProjTextTable[[#This Row],[text]],CHAR(10)," "))," ",""))</f>
        <v>407</v>
      </c>
      <c r="O51" t="s">
        <v>203</v>
      </c>
      <c r="P51" t="s">
        <v>1535</v>
      </c>
    </row>
    <row r="52" spans="1:16" x14ac:dyDescent="0.4">
      <c r="A52">
        <f t="shared" si="0"/>
        <v>7</v>
      </c>
      <c r="B52" t="s">
        <v>1005</v>
      </c>
      <c r="C52" t="s">
        <v>505</v>
      </c>
      <c r="D52" t="s">
        <v>198</v>
      </c>
      <c r="E52" t="s">
        <v>406</v>
      </c>
      <c r="F52" t="s">
        <v>1536</v>
      </c>
      <c r="G52" t="s">
        <v>1537</v>
      </c>
      <c r="H52" t="s">
        <v>1538</v>
      </c>
      <c r="I52" t="s">
        <v>215</v>
      </c>
      <c r="J52" t="s">
        <v>178</v>
      </c>
      <c r="K52" s="30">
        <v>42661</v>
      </c>
      <c r="L52" s="8">
        <v>42660.460740740738</v>
      </c>
      <c r="M52" s="21">
        <f>LEN(ProjTextTable[[#This Row],[text]])</f>
        <v>2648</v>
      </c>
      <c r="N52" s="21">
        <f>LEN(TRIM(CLEAN(SUBSTITUTE(ProjTextTable[[#This Row],[text]],CHAR(10)," "))))+1 - LEN(SUBSTITUTE(CLEAN(SUBSTITUTE(ProjTextTable[[#This Row],[text]],CHAR(10)," "))," ",""))</f>
        <v>393</v>
      </c>
      <c r="O52" t="s">
        <v>206</v>
      </c>
      <c r="P52" t="s">
        <v>1539</v>
      </c>
    </row>
    <row r="53" spans="1:16" x14ac:dyDescent="0.4">
      <c r="A53">
        <f t="shared" si="0"/>
        <v>7</v>
      </c>
      <c r="B53" t="s">
        <v>1005</v>
      </c>
      <c r="C53" t="s">
        <v>505</v>
      </c>
      <c r="D53" t="s">
        <v>200</v>
      </c>
      <c r="E53" t="s">
        <v>406</v>
      </c>
      <c r="F53" t="s">
        <v>13</v>
      </c>
      <c r="G53" t="s">
        <v>13</v>
      </c>
      <c r="H53" t="s">
        <v>13</v>
      </c>
      <c r="K53" s="30"/>
      <c r="L53" s="8">
        <v>42572.042303240742</v>
      </c>
      <c r="M53" s="21">
        <f>LEN(ProjTextTable[[#This Row],[text]])</f>
        <v>4376</v>
      </c>
      <c r="N53" s="21">
        <f>LEN(TRIM(CLEAN(SUBSTITUTE(ProjTextTable[[#This Row],[text]],CHAR(10)," "))))+1 - LEN(SUBSTITUTE(CLEAN(SUBSTITUTE(ProjTextTable[[#This Row],[text]],CHAR(10)," "))," ",""))</f>
        <v>647</v>
      </c>
      <c r="O53" t="s">
        <v>13</v>
      </c>
      <c r="P53" t="s">
        <v>1540</v>
      </c>
    </row>
    <row r="54" spans="1:16" x14ac:dyDescent="0.4">
      <c r="A54">
        <f t="shared" si="0"/>
        <v>8</v>
      </c>
      <c r="B54" t="s">
        <v>1008</v>
      </c>
      <c r="C54" t="s">
        <v>1009</v>
      </c>
      <c r="D54" t="s">
        <v>209</v>
      </c>
      <c r="E54" t="s">
        <v>422</v>
      </c>
      <c r="F54" t="s">
        <v>1425</v>
      </c>
      <c r="G54" t="s">
        <v>1426</v>
      </c>
      <c r="H54" t="s">
        <v>212</v>
      </c>
      <c r="I54" t="s">
        <v>201</v>
      </c>
      <c r="J54" t="s">
        <v>872</v>
      </c>
      <c r="K54" s="30">
        <v>42660</v>
      </c>
      <c r="L54" s="8">
        <v>42705.529409722221</v>
      </c>
      <c r="M54" s="21">
        <f>LEN(ProjTextTable[[#This Row],[text]])</f>
        <v>2776</v>
      </c>
      <c r="N54" s="21">
        <f>LEN(TRIM(CLEAN(SUBSTITUTE(ProjTextTable[[#This Row],[text]],CHAR(10)," "))))+1 - LEN(SUBSTITUTE(CLEAN(SUBSTITUTE(ProjTextTable[[#This Row],[text]],CHAR(10)," "))," ",""))</f>
        <v>402</v>
      </c>
      <c r="O54" t="s">
        <v>213</v>
      </c>
      <c r="P54" t="s">
        <v>1541</v>
      </c>
    </row>
    <row r="55" spans="1:16" x14ac:dyDescent="0.4">
      <c r="A55">
        <f t="shared" si="0"/>
        <v>8</v>
      </c>
      <c r="B55" t="s">
        <v>1008</v>
      </c>
      <c r="C55" t="s">
        <v>1009</v>
      </c>
      <c r="D55" t="s">
        <v>198</v>
      </c>
      <c r="E55" t="s">
        <v>422</v>
      </c>
      <c r="F55" t="s">
        <v>1532</v>
      </c>
      <c r="G55" t="s">
        <v>1533</v>
      </c>
      <c r="H55" t="s">
        <v>1534</v>
      </c>
      <c r="I55" t="s">
        <v>215</v>
      </c>
      <c r="J55" t="s">
        <v>178</v>
      </c>
      <c r="K55" s="30">
        <v>42661</v>
      </c>
      <c r="L55" s="8">
        <v>42661.832905092589</v>
      </c>
      <c r="M55" s="21">
        <f>LEN(ProjTextTable[[#This Row],[text]])</f>
        <v>3070</v>
      </c>
      <c r="N55" s="21">
        <f>LEN(TRIM(CLEAN(SUBSTITUTE(ProjTextTable[[#This Row],[text]],CHAR(10)," "))))+1 - LEN(SUBSTITUTE(CLEAN(SUBSTITUTE(ProjTextTable[[#This Row],[text]],CHAR(10)," "))," ",""))</f>
        <v>477</v>
      </c>
      <c r="O55" t="s">
        <v>203</v>
      </c>
      <c r="P55" t="s">
        <v>1542</v>
      </c>
    </row>
    <row r="56" spans="1:16" x14ac:dyDescent="0.4">
      <c r="A56">
        <f t="shared" si="0"/>
        <v>8</v>
      </c>
      <c r="B56" t="s">
        <v>1008</v>
      </c>
      <c r="C56" t="s">
        <v>1009</v>
      </c>
      <c r="D56" t="s">
        <v>198</v>
      </c>
      <c r="E56" t="s">
        <v>422</v>
      </c>
      <c r="F56" t="s">
        <v>1543</v>
      </c>
      <c r="G56" t="s">
        <v>1544</v>
      </c>
      <c r="H56" t="s">
        <v>1545</v>
      </c>
      <c r="I56" t="s">
        <v>178</v>
      </c>
      <c r="J56" t="s">
        <v>178</v>
      </c>
      <c r="K56" s="30">
        <v>42655</v>
      </c>
      <c r="L56" s="8">
        <v>42654.814166666663</v>
      </c>
      <c r="M56" s="21">
        <f>LEN(ProjTextTable[[#This Row],[text]])</f>
        <v>3619</v>
      </c>
      <c r="N56" s="21">
        <f>LEN(TRIM(CLEAN(SUBSTITUTE(ProjTextTable[[#This Row],[text]],CHAR(10)," "))))+1 - LEN(SUBSTITUTE(CLEAN(SUBSTITUTE(ProjTextTable[[#This Row],[text]],CHAR(10)," "))," ",""))</f>
        <v>562</v>
      </c>
      <c r="O56" t="s">
        <v>203</v>
      </c>
      <c r="P56" t="s">
        <v>1546</v>
      </c>
    </row>
    <row r="57" spans="1:16" x14ac:dyDescent="0.4">
      <c r="A57">
        <f t="shared" si="0"/>
        <v>8</v>
      </c>
      <c r="B57" t="s">
        <v>1008</v>
      </c>
      <c r="C57" t="s">
        <v>1009</v>
      </c>
      <c r="D57" t="s">
        <v>198</v>
      </c>
      <c r="E57" t="s">
        <v>422</v>
      </c>
      <c r="F57" t="s">
        <v>1505</v>
      </c>
      <c r="G57" t="s">
        <v>1506</v>
      </c>
      <c r="H57" t="s">
        <v>1507</v>
      </c>
      <c r="I57" t="s">
        <v>215</v>
      </c>
      <c r="J57" t="s">
        <v>178</v>
      </c>
      <c r="K57" s="30">
        <v>42661</v>
      </c>
      <c r="L57" s="8">
        <v>42660.407708333332</v>
      </c>
      <c r="M57" s="21">
        <f>LEN(ProjTextTable[[#This Row],[text]])</f>
        <v>2871</v>
      </c>
      <c r="N57" s="21">
        <f>LEN(TRIM(CLEAN(SUBSTITUTE(ProjTextTable[[#This Row],[text]],CHAR(10)," "))))+1 - LEN(SUBSTITUTE(CLEAN(SUBSTITUTE(ProjTextTable[[#This Row],[text]],CHAR(10)," "))," ",""))</f>
        <v>461</v>
      </c>
      <c r="O57" t="s">
        <v>203</v>
      </c>
      <c r="P57" t="s">
        <v>1547</v>
      </c>
    </row>
    <row r="58" spans="1:16" x14ac:dyDescent="0.4">
      <c r="A58">
        <f t="shared" si="0"/>
        <v>8</v>
      </c>
      <c r="B58" t="s">
        <v>1008</v>
      </c>
      <c r="C58" t="s">
        <v>1009</v>
      </c>
      <c r="D58" t="s">
        <v>198</v>
      </c>
      <c r="E58" t="s">
        <v>422</v>
      </c>
      <c r="F58" t="s">
        <v>1445</v>
      </c>
      <c r="G58" t="s">
        <v>1446</v>
      </c>
      <c r="H58" t="s">
        <v>1447</v>
      </c>
      <c r="I58" t="s">
        <v>215</v>
      </c>
      <c r="J58" t="s">
        <v>178</v>
      </c>
      <c r="K58" s="30">
        <v>42661</v>
      </c>
      <c r="L58" s="8">
        <v>42658.449849537035</v>
      </c>
      <c r="M58" s="21">
        <f>LEN(ProjTextTable[[#This Row],[text]])</f>
        <v>4033</v>
      </c>
      <c r="N58" s="21">
        <f>LEN(TRIM(CLEAN(SUBSTITUTE(ProjTextTable[[#This Row],[text]],CHAR(10)," "))))+1 - LEN(SUBSTITUTE(CLEAN(SUBSTITUTE(ProjTextTable[[#This Row],[text]],CHAR(10)," "))," ",""))</f>
        <v>585</v>
      </c>
      <c r="O58" t="s">
        <v>202</v>
      </c>
      <c r="P58" t="s">
        <v>1548</v>
      </c>
    </row>
    <row r="59" spans="1:16" x14ac:dyDescent="0.4">
      <c r="A59">
        <f t="shared" si="0"/>
        <v>8</v>
      </c>
      <c r="B59" t="s">
        <v>1008</v>
      </c>
      <c r="C59" t="s">
        <v>1009</v>
      </c>
      <c r="D59" t="s">
        <v>200</v>
      </c>
      <c r="E59" t="s">
        <v>422</v>
      </c>
      <c r="F59" t="s">
        <v>13</v>
      </c>
      <c r="G59" t="s">
        <v>13</v>
      </c>
      <c r="H59" t="s">
        <v>13</v>
      </c>
      <c r="K59" s="30"/>
      <c r="L59" s="8">
        <v>42572.042314814818</v>
      </c>
      <c r="M59" s="21">
        <f>LEN(ProjTextTable[[#This Row],[text]])</f>
        <v>3485</v>
      </c>
      <c r="N59" s="21">
        <f>LEN(TRIM(CLEAN(SUBSTITUTE(ProjTextTable[[#This Row],[text]],CHAR(10)," "))))+1 - LEN(SUBSTITUTE(CLEAN(SUBSTITUTE(ProjTextTable[[#This Row],[text]],CHAR(10)," "))," ",""))</f>
        <v>495</v>
      </c>
      <c r="O59" t="s">
        <v>13</v>
      </c>
      <c r="P59" t="s">
        <v>1549</v>
      </c>
    </row>
    <row r="60" spans="1:16" x14ac:dyDescent="0.4">
      <c r="A60">
        <f t="shared" si="0"/>
        <v>9</v>
      </c>
      <c r="B60" t="s">
        <v>1015</v>
      </c>
      <c r="C60" t="s">
        <v>1016</v>
      </c>
      <c r="D60" t="s">
        <v>209</v>
      </c>
      <c r="E60" t="s">
        <v>422</v>
      </c>
      <c r="F60" t="s">
        <v>1425</v>
      </c>
      <c r="G60" t="s">
        <v>1426</v>
      </c>
      <c r="H60" t="s">
        <v>264</v>
      </c>
      <c r="I60" t="s">
        <v>197</v>
      </c>
      <c r="J60" t="s">
        <v>1427</v>
      </c>
      <c r="K60" s="30">
        <v>42660</v>
      </c>
      <c r="L60" s="8">
        <v>42676.666145833333</v>
      </c>
      <c r="M60" s="21">
        <f>LEN(ProjTextTable[[#This Row],[text]])</f>
        <v>2179</v>
      </c>
      <c r="N60" s="21">
        <f>LEN(TRIM(CLEAN(SUBSTITUTE(ProjTextTable[[#This Row],[text]],CHAR(10)," "))))+1 - LEN(SUBSTITUTE(CLEAN(SUBSTITUTE(ProjTextTable[[#This Row],[text]],CHAR(10)," "))," ",""))</f>
        <v>319</v>
      </c>
      <c r="O60" t="s">
        <v>263</v>
      </c>
      <c r="P60" t="s">
        <v>1550</v>
      </c>
    </row>
    <row r="61" spans="1:16" x14ac:dyDescent="0.4">
      <c r="A61">
        <f t="shared" si="0"/>
        <v>9</v>
      </c>
      <c r="B61" t="s">
        <v>1015</v>
      </c>
      <c r="C61" t="s">
        <v>1016</v>
      </c>
      <c r="D61" t="s">
        <v>198</v>
      </c>
      <c r="E61" t="s">
        <v>422</v>
      </c>
      <c r="F61" t="s">
        <v>1532</v>
      </c>
      <c r="G61" t="s">
        <v>1533</v>
      </c>
      <c r="H61" t="s">
        <v>1534</v>
      </c>
      <c r="I61" t="s">
        <v>215</v>
      </c>
      <c r="J61" t="s">
        <v>178</v>
      </c>
      <c r="K61" s="30">
        <v>42661</v>
      </c>
      <c r="L61" s="8">
        <v>42661.835277777776</v>
      </c>
      <c r="M61" s="21">
        <f>LEN(ProjTextTable[[#This Row],[text]])</f>
        <v>3256</v>
      </c>
      <c r="N61" s="21">
        <f>LEN(TRIM(CLEAN(SUBSTITUTE(ProjTextTable[[#This Row],[text]],CHAR(10)," "))))+1 - LEN(SUBSTITUTE(CLEAN(SUBSTITUTE(ProjTextTable[[#This Row],[text]],CHAR(10)," "))," ",""))</f>
        <v>495</v>
      </c>
      <c r="O61" t="s">
        <v>206</v>
      </c>
      <c r="P61" t="s">
        <v>1551</v>
      </c>
    </row>
    <row r="62" spans="1:16" x14ac:dyDescent="0.4">
      <c r="A62">
        <f t="shared" si="0"/>
        <v>9</v>
      </c>
      <c r="B62" t="s">
        <v>1015</v>
      </c>
      <c r="C62" t="s">
        <v>1016</v>
      </c>
      <c r="D62" t="s">
        <v>198</v>
      </c>
      <c r="E62" t="s">
        <v>422</v>
      </c>
      <c r="F62" t="s">
        <v>1552</v>
      </c>
      <c r="G62" t="s">
        <v>1553</v>
      </c>
      <c r="H62" t="s">
        <v>1554</v>
      </c>
      <c r="I62" t="s">
        <v>178</v>
      </c>
      <c r="J62" t="s">
        <v>178</v>
      </c>
      <c r="K62" s="30">
        <v>42655</v>
      </c>
      <c r="L62" s="8">
        <v>42654.718530092592</v>
      </c>
      <c r="M62" s="21">
        <f>LEN(ProjTextTable[[#This Row],[text]])</f>
        <v>4370</v>
      </c>
      <c r="N62" s="21">
        <f>LEN(TRIM(CLEAN(SUBSTITUTE(ProjTextTable[[#This Row],[text]],CHAR(10)," "))))+1 - LEN(SUBSTITUTE(CLEAN(SUBSTITUTE(ProjTextTable[[#This Row],[text]],CHAR(10)," "))," ",""))</f>
        <v>689</v>
      </c>
      <c r="O62" t="s">
        <v>203</v>
      </c>
      <c r="P62" t="s">
        <v>1555</v>
      </c>
    </row>
    <row r="63" spans="1:16" x14ac:dyDescent="0.4">
      <c r="A63">
        <f t="shared" si="0"/>
        <v>9</v>
      </c>
      <c r="B63" t="s">
        <v>1015</v>
      </c>
      <c r="C63" t="s">
        <v>1016</v>
      </c>
      <c r="D63" t="s">
        <v>198</v>
      </c>
      <c r="E63" t="s">
        <v>422</v>
      </c>
      <c r="F63" t="s">
        <v>1505</v>
      </c>
      <c r="G63" t="s">
        <v>1506</v>
      </c>
      <c r="H63" t="s">
        <v>1507</v>
      </c>
      <c r="I63" t="s">
        <v>215</v>
      </c>
      <c r="J63" t="s">
        <v>178</v>
      </c>
      <c r="K63" s="30">
        <v>42661</v>
      </c>
      <c r="L63" s="8">
        <v>42660.957303240742</v>
      </c>
      <c r="M63" s="21">
        <f>LEN(ProjTextTable[[#This Row],[text]])</f>
        <v>2981</v>
      </c>
      <c r="N63" s="21">
        <f>LEN(TRIM(CLEAN(SUBSTITUTE(ProjTextTable[[#This Row],[text]],CHAR(10)," "))))+1 - LEN(SUBSTITUTE(CLEAN(SUBSTITUTE(ProjTextTable[[#This Row],[text]],CHAR(10)," "))," ",""))</f>
        <v>483</v>
      </c>
      <c r="O63" t="s">
        <v>215</v>
      </c>
      <c r="P63" t="s">
        <v>1556</v>
      </c>
    </row>
    <row r="64" spans="1:16" x14ac:dyDescent="0.4">
      <c r="A64">
        <f t="shared" si="0"/>
        <v>10</v>
      </c>
      <c r="B64" t="s">
        <v>1023</v>
      </c>
      <c r="C64" t="s">
        <v>423</v>
      </c>
      <c r="D64" t="s">
        <v>209</v>
      </c>
      <c r="E64" t="s">
        <v>422</v>
      </c>
      <c r="F64" t="s">
        <v>1425</v>
      </c>
      <c r="G64" t="s">
        <v>1426</v>
      </c>
      <c r="H64" t="s">
        <v>264</v>
      </c>
      <c r="I64" t="s">
        <v>197</v>
      </c>
      <c r="J64" t="s">
        <v>1427</v>
      </c>
      <c r="K64" s="30">
        <v>42660</v>
      </c>
      <c r="L64" s="8">
        <v>42674.353055555555</v>
      </c>
      <c r="M64" s="21">
        <f>LEN(ProjTextTable[[#This Row],[text]])</f>
        <v>2782</v>
      </c>
      <c r="N64" s="21">
        <f>LEN(TRIM(CLEAN(SUBSTITUTE(ProjTextTable[[#This Row],[text]],CHAR(10)," "))))+1 - LEN(SUBSTITUTE(CLEAN(SUBSTITUTE(ProjTextTable[[#This Row],[text]],CHAR(10)," "))," ",""))</f>
        <v>368</v>
      </c>
      <c r="O64" t="s">
        <v>263</v>
      </c>
      <c r="P64" t="s">
        <v>1557</v>
      </c>
    </row>
    <row r="65" spans="1:16" x14ac:dyDescent="0.4">
      <c r="A65">
        <f t="shared" si="0"/>
        <v>10</v>
      </c>
      <c r="B65" t="s">
        <v>1023</v>
      </c>
      <c r="C65" t="s">
        <v>423</v>
      </c>
      <c r="D65" t="s">
        <v>2</v>
      </c>
      <c r="E65" t="s">
        <v>451</v>
      </c>
      <c r="F65" t="s">
        <v>13</v>
      </c>
      <c r="G65" t="s">
        <v>1470</v>
      </c>
      <c r="H65" t="s">
        <v>13</v>
      </c>
      <c r="I65" t="s">
        <v>13</v>
      </c>
      <c r="K65" s="30"/>
      <c r="L65" s="8">
        <v>42667.539583333331</v>
      </c>
      <c r="M65" s="21">
        <f>LEN(ProjTextTable[[#This Row],[text]])</f>
        <v>2774</v>
      </c>
      <c r="N65" s="21">
        <f>LEN(TRIM(CLEAN(SUBSTITUTE(ProjTextTable[[#This Row],[text]],CHAR(10)," "))))+1 - LEN(SUBSTITUTE(CLEAN(SUBSTITUTE(ProjTextTable[[#This Row],[text]],CHAR(10)," "))," ",""))</f>
        <v>406</v>
      </c>
      <c r="O65" t="s">
        <v>13</v>
      </c>
      <c r="P65" t="s">
        <v>1558</v>
      </c>
    </row>
    <row r="66" spans="1:16" x14ac:dyDescent="0.4">
      <c r="A66">
        <f t="shared" ref="A66:A129" si="1">A65+(B66&lt;&gt;B65)</f>
        <v>10</v>
      </c>
      <c r="B66" t="s">
        <v>1023</v>
      </c>
      <c r="C66" t="s">
        <v>423</v>
      </c>
      <c r="D66" t="s">
        <v>198</v>
      </c>
      <c r="E66" t="s">
        <v>451</v>
      </c>
      <c r="F66" t="s">
        <v>1452</v>
      </c>
      <c r="G66" t="s">
        <v>1453</v>
      </c>
      <c r="H66" t="s">
        <v>1454</v>
      </c>
      <c r="I66" t="s">
        <v>215</v>
      </c>
      <c r="J66" t="s">
        <v>178</v>
      </c>
      <c r="K66" s="30">
        <v>42661</v>
      </c>
      <c r="L66" s="8">
        <v>42661.502685185187</v>
      </c>
      <c r="M66" s="21">
        <f>LEN(ProjTextTable[[#This Row],[text]])</f>
        <v>5024</v>
      </c>
      <c r="N66" s="21">
        <f>LEN(TRIM(CLEAN(SUBSTITUTE(ProjTextTable[[#This Row],[text]],CHAR(10)," "))))+1 - LEN(SUBSTITUTE(CLEAN(SUBSTITUTE(ProjTextTable[[#This Row],[text]],CHAR(10)," "))," ",""))</f>
        <v>787</v>
      </c>
      <c r="O66" t="s">
        <v>203</v>
      </c>
      <c r="P66" t="s">
        <v>1559</v>
      </c>
    </row>
    <row r="67" spans="1:16" x14ac:dyDescent="0.4">
      <c r="A67">
        <f t="shared" si="1"/>
        <v>10</v>
      </c>
      <c r="B67" t="s">
        <v>1023</v>
      </c>
      <c r="C67" t="s">
        <v>423</v>
      </c>
      <c r="D67" t="s">
        <v>198</v>
      </c>
      <c r="E67" t="s">
        <v>451</v>
      </c>
      <c r="F67" t="s">
        <v>1560</v>
      </c>
      <c r="G67" t="s">
        <v>1561</v>
      </c>
      <c r="H67" t="s">
        <v>1562</v>
      </c>
      <c r="I67" t="s">
        <v>178</v>
      </c>
      <c r="J67" t="s">
        <v>178</v>
      </c>
      <c r="K67" s="30">
        <v>42650</v>
      </c>
      <c r="L67" s="8">
        <v>42645.6090625</v>
      </c>
      <c r="M67" s="21">
        <f>LEN(ProjTextTable[[#This Row],[text]])</f>
        <v>4150</v>
      </c>
      <c r="N67" s="21">
        <f>LEN(TRIM(CLEAN(SUBSTITUTE(ProjTextTable[[#This Row],[text]],CHAR(10)," "))))+1 - LEN(SUBSTITUTE(CLEAN(SUBSTITUTE(ProjTextTable[[#This Row],[text]],CHAR(10)," "))," ",""))</f>
        <v>634</v>
      </c>
      <c r="O67" t="s">
        <v>206</v>
      </c>
      <c r="P67" t="s">
        <v>1563</v>
      </c>
    </row>
    <row r="68" spans="1:16" x14ac:dyDescent="0.4">
      <c r="A68">
        <f t="shared" si="1"/>
        <v>10</v>
      </c>
      <c r="B68" t="s">
        <v>1023</v>
      </c>
      <c r="C68" t="s">
        <v>423</v>
      </c>
      <c r="D68" t="s">
        <v>198</v>
      </c>
      <c r="E68" t="s">
        <v>451</v>
      </c>
      <c r="F68" t="s">
        <v>1532</v>
      </c>
      <c r="G68" t="s">
        <v>1533</v>
      </c>
      <c r="H68" t="s">
        <v>1534</v>
      </c>
      <c r="I68" t="s">
        <v>215</v>
      </c>
      <c r="J68" t="s">
        <v>178</v>
      </c>
      <c r="K68" s="30">
        <v>42661</v>
      </c>
      <c r="L68" s="8">
        <v>42658.831423611111</v>
      </c>
      <c r="M68" s="21">
        <f>LEN(ProjTextTable[[#This Row],[text]])</f>
        <v>2930</v>
      </c>
      <c r="N68" s="21">
        <f>LEN(TRIM(CLEAN(SUBSTITUTE(ProjTextTable[[#This Row],[text]],CHAR(10)," "))))+1 - LEN(SUBSTITUTE(CLEAN(SUBSTITUTE(ProjTextTable[[#This Row],[text]],CHAR(10)," "))," ",""))</f>
        <v>424</v>
      </c>
      <c r="O68" t="s">
        <v>203</v>
      </c>
      <c r="P68" t="s">
        <v>1564</v>
      </c>
    </row>
    <row r="69" spans="1:16" x14ac:dyDescent="0.4">
      <c r="A69">
        <f t="shared" si="1"/>
        <v>10</v>
      </c>
      <c r="B69" t="s">
        <v>1023</v>
      </c>
      <c r="C69" t="s">
        <v>423</v>
      </c>
      <c r="D69" t="s">
        <v>198</v>
      </c>
      <c r="E69" t="s">
        <v>451</v>
      </c>
      <c r="F69" t="s">
        <v>1456</v>
      </c>
      <c r="G69" t="s">
        <v>1457</v>
      </c>
      <c r="H69" t="s">
        <v>1458</v>
      </c>
      <c r="I69" t="s">
        <v>215</v>
      </c>
      <c r="J69" t="s">
        <v>178</v>
      </c>
      <c r="K69" s="30">
        <v>42661</v>
      </c>
      <c r="L69" s="8">
        <v>42659.410115740742</v>
      </c>
      <c r="M69" s="21">
        <f>LEN(ProjTextTable[[#This Row],[text]])</f>
        <v>2788</v>
      </c>
      <c r="N69" s="21">
        <f>LEN(TRIM(CLEAN(SUBSTITUTE(ProjTextTable[[#This Row],[text]],CHAR(10)," "))))+1 - LEN(SUBSTITUTE(CLEAN(SUBSTITUTE(ProjTextTable[[#This Row],[text]],CHAR(10)," "))," ",""))</f>
        <v>462</v>
      </c>
      <c r="O69" t="s">
        <v>203</v>
      </c>
      <c r="P69" t="s">
        <v>1565</v>
      </c>
    </row>
    <row r="70" spans="1:16" x14ac:dyDescent="0.4">
      <c r="A70">
        <f t="shared" si="1"/>
        <v>10</v>
      </c>
      <c r="B70" t="s">
        <v>1023</v>
      </c>
      <c r="C70" t="s">
        <v>423</v>
      </c>
      <c r="D70" t="s">
        <v>200</v>
      </c>
      <c r="E70" t="s">
        <v>451</v>
      </c>
      <c r="F70" t="s">
        <v>13</v>
      </c>
      <c r="G70" t="s">
        <v>13</v>
      </c>
      <c r="H70" t="s">
        <v>13</v>
      </c>
      <c r="K70" s="30"/>
      <c r="L70" s="8">
        <v>42572.042337962965</v>
      </c>
      <c r="M70" s="21">
        <f>LEN(ProjTextTable[[#This Row],[text]])</f>
        <v>3512</v>
      </c>
      <c r="N70" s="21">
        <f>LEN(TRIM(CLEAN(SUBSTITUTE(ProjTextTable[[#This Row],[text]],CHAR(10)," "))))+1 - LEN(SUBSTITUTE(CLEAN(SUBSTITUTE(ProjTextTable[[#This Row],[text]],CHAR(10)," "))," ",""))</f>
        <v>498</v>
      </c>
      <c r="O70" t="s">
        <v>13</v>
      </c>
      <c r="P70" t="s">
        <v>1566</v>
      </c>
    </row>
    <row r="71" spans="1:16" x14ac:dyDescent="0.4">
      <c r="A71">
        <f t="shared" si="1"/>
        <v>11</v>
      </c>
      <c r="B71" t="s">
        <v>1025</v>
      </c>
      <c r="C71" t="s">
        <v>1026</v>
      </c>
      <c r="D71" t="s">
        <v>209</v>
      </c>
      <c r="E71" t="s">
        <v>422</v>
      </c>
      <c r="F71" t="s">
        <v>1425</v>
      </c>
      <c r="G71" t="s">
        <v>1426</v>
      </c>
      <c r="H71" t="s">
        <v>264</v>
      </c>
      <c r="I71" t="s">
        <v>197</v>
      </c>
      <c r="J71" t="s">
        <v>1427</v>
      </c>
      <c r="K71" s="30">
        <v>42660</v>
      </c>
      <c r="L71" s="8">
        <v>42674.3515625</v>
      </c>
      <c r="M71" s="21">
        <f>LEN(ProjTextTable[[#This Row],[text]])</f>
        <v>5524</v>
      </c>
      <c r="N71" s="21">
        <f>LEN(TRIM(CLEAN(SUBSTITUTE(ProjTextTable[[#This Row],[text]],CHAR(10)," "))))+1 - LEN(SUBSTITUTE(CLEAN(SUBSTITUTE(ProjTextTable[[#This Row],[text]],CHAR(10)," "))," ",""))</f>
        <v>825</v>
      </c>
      <c r="O71" t="s">
        <v>263</v>
      </c>
      <c r="P71" t="s">
        <v>1567</v>
      </c>
    </row>
    <row r="72" spans="1:16" x14ac:dyDescent="0.4">
      <c r="A72">
        <f t="shared" si="1"/>
        <v>11</v>
      </c>
      <c r="B72" t="s">
        <v>1025</v>
      </c>
      <c r="C72" t="s">
        <v>1026</v>
      </c>
      <c r="D72" t="s">
        <v>2</v>
      </c>
      <c r="E72" t="s">
        <v>451</v>
      </c>
      <c r="F72" t="s">
        <v>13</v>
      </c>
      <c r="G72" t="s">
        <v>1470</v>
      </c>
      <c r="H72" t="s">
        <v>13</v>
      </c>
      <c r="I72" t="s">
        <v>13</v>
      </c>
      <c r="K72" s="30"/>
      <c r="L72" s="8">
        <v>42667.540162037039</v>
      </c>
      <c r="M72" s="21">
        <f>LEN(ProjTextTable[[#This Row],[text]])</f>
        <v>3180</v>
      </c>
      <c r="N72" s="21">
        <f>LEN(TRIM(CLEAN(SUBSTITUTE(ProjTextTable[[#This Row],[text]],CHAR(10)," "))))+1 - LEN(SUBSTITUTE(CLEAN(SUBSTITUTE(ProjTextTable[[#This Row],[text]],CHAR(10)," "))," ",""))</f>
        <v>470</v>
      </c>
      <c r="O72" t="s">
        <v>13</v>
      </c>
      <c r="P72" t="s">
        <v>1568</v>
      </c>
    </row>
    <row r="73" spans="1:16" x14ac:dyDescent="0.4">
      <c r="A73">
        <f t="shared" si="1"/>
        <v>11</v>
      </c>
      <c r="B73" t="s">
        <v>1025</v>
      </c>
      <c r="C73" t="s">
        <v>1026</v>
      </c>
      <c r="D73" t="s">
        <v>198</v>
      </c>
      <c r="E73" t="s">
        <v>451</v>
      </c>
      <c r="F73" t="s">
        <v>1433</v>
      </c>
      <c r="G73" t="s">
        <v>1434</v>
      </c>
      <c r="H73" t="s">
        <v>1435</v>
      </c>
      <c r="I73" t="s">
        <v>215</v>
      </c>
      <c r="J73" t="s">
        <v>178</v>
      </c>
      <c r="K73" s="30">
        <v>42661</v>
      </c>
      <c r="L73" s="8">
        <v>42659.542743055557</v>
      </c>
      <c r="M73" s="21">
        <f>LEN(ProjTextTable[[#This Row],[text]])</f>
        <v>2398</v>
      </c>
      <c r="N73" s="21">
        <f>LEN(TRIM(CLEAN(SUBSTITUTE(ProjTextTable[[#This Row],[text]],CHAR(10)," "))))+1 - LEN(SUBSTITUTE(CLEAN(SUBSTITUTE(ProjTextTable[[#This Row],[text]],CHAR(10)," "))," ",""))</f>
        <v>383</v>
      </c>
      <c r="O73" t="s">
        <v>203</v>
      </c>
      <c r="P73" t="s">
        <v>1569</v>
      </c>
    </row>
    <row r="74" spans="1:16" x14ac:dyDescent="0.4">
      <c r="A74">
        <f t="shared" si="1"/>
        <v>11</v>
      </c>
      <c r="B74" t="s">
        <v>1025</v>
      </c>
      <c r="C74" t="s">
        <v>1026</v>
      </c>
      <c r="D74" t="s">
        <v>198</v>
      </c>
      <c r="E74" t="s">
        <v>451</v>
      </c>
      <c r="F74" t="s">
        <v>1570</v>
      </c>
      <c r="G74" t="s">
        <v>1571</v>
      </c>
      <c r="H74" t="s">
        <v>1572</v>
      </c>
      <c r="I74" t="s">
        <v>178</v>
      </c>
      <c r="J74" t="s">
        <v>178</v>
      </c>
      <c r="K74" s="30">
        <v>42650</v>
      </c>
      <c r="L74" s="8">
        <v>42638.610694444447</v>
      </c>
      <c r="M74" s="21">
        <f>LEN(ProjTextTable[[#This Row],[text]])</f>
        <v>2466</v>
      </c>
      <c r="N74" s="21">
        <f>LEN(TRIM(CLEAN(SUBSTITUTE(ProjTextTable[[#This Row],[text]],CHAR(10)," "))))+1 - LEN(SUBSTITUTE(CLEAN(SUBSTITUTE(ProjTextTable[[#This Row],[text]],CHAR(10)," "))," ",""))</f>
        <v>384</v>
      </c>
      <c r="O74" t="s">
        <v>203</v>
      </c>
      <c r="P74" t="s">
        <v>1573</v>
      </c>
    </row>
    <row r="75" spans="1:16" x14ac:dyDescent="0.4">
      <c r="A75">
        <f t="shared" si="1"/>
        <v>11</v>
      </c>
      <c r="B75" t="s">
        <v>1025</v>
      </c>
      <c r="C75" t="s">
        <v>1026</v>
      </c>
      <c r="D75" t="s">
        <v>198</v>
      </c>
      <c r="E75" t="s">
        <v>451</v>
      </c>
      <c r="F75" t="s">
        <v>1460</v>
      </c>
      <c r="G75" t="s">
        <v>1461</v>
      </c>
      <c r="H75" t="s">
        <v>1462</v>
      </c>
      <c r="I75" t="s">
        <v>215</v>
      </c>
      <c r="J75" t="s">
        <v>178</v>
      </c>
      <c r="K75" s="30">
        <v>42661</v>
      </c>
      <c r="L75" s="8">
        <v>42660.117442129631</v>
      </c>
      <c r="M75" s="21">
        <f>LEN(ProjTextTable[[#This Row],[text]])</f>
        <v>6501</v>
      </c>
      <c r="N75" s="21">
        <f>LEN(TRIM(CLEAN(SUBSTITUTE(ProjTextTable[[#This Row],[text]],CHAR(10)," "))))+1 - LEN(SUBSTITUTE(CLEAN(SUBSTITUTE(ProjTextTable[[#This Row],[text]],CHAR(10)," "))," ",""))</f>
        <v>971</v>
      </c>
      <c r="O75" t="s">
        <v>202</v>
      </c>
      <c r="P75" t="s">
        <v>1574</v>
      </c>
    </row>
    <row r="76" spans="1:16" x14ac:dyDescent="0.4">
      <c r="A76">
        <f t="shared" si="1"/>
        <v>11</v>
      </c>
      <c r="B76" t="s">
        <v>1025</v>
      </c>
      <c r="C76" t="s">
        <v>1026</v>
      </c>
      <c r="D76" t="s">
        <v>198</v>
      </c>
      <c r="E76" t="s">
        <v>451</v>
      </c>
      <c r="F76" t="s">
        <v>1481</v>
      </c>
      <c r="G76" t="s">
        <v>1482</v>
      </c>
      <c r="H76" t="s">
        <v>1483</v>
      </c>
      <c r="I76" t="s">
        <v>215</v>
      </c>
      <c r="J76" t="s">
        <v>178</v>
      </c>
      <c r="K76" s="30">
        <v>42661</v>
      </c>
      <c r="L76" s="8">
        <v>42661.607916666668</v>
      </c>
      <c r="M76" s="21">
        <f>LEN(ProjTextTable[[#This Row],[text]])</f>
        <v>2015</v>
      </c>
      <c r="N76" s="21">
        <f>LEN(TRIM(CLEAN(SUBSTITUTE(ProjTextTable[[#This Row],[text]],CHAR(10)," "))))+1 - LEN(SUBSTITUTE(CLEAN(SUBSTITUTE(ProjTextTable[[#This Row],[text]],CHAR(10)," "))," ",""))</f>
        <v>288</v>
      </c>
      <c r="O76" t="s">
        <v>203</v>
      </c>
      <c r="P76" t="s">
        <v>1575</v>
      </c>
    </row>
    <row r="77" spans="1:16" x14ac:dyDescent="0.4">
      <c r="A77">
        <f t="shared" si="1"/>
        <v>11</v>
      </c>
      <c r="B77" t="s">
        <v>1025</v>
      </c>
      <c r="C77" t="s">
        <v>1026</v>
      </c>
      <c r="D77" t="s">
        <v>200</v>
      </c>
      <c r="E77" t="s">
        <v>451</v>
      </c>
      <c r="F77" t="s">
        <v>13</v>
      </c>
      <c r="G77" t="s">
        <v>13</v>
      </c>
      <c r="H77" t="s">
        <v>13</v>
      </c>
      <c r="K77" s="30"/>
      <c r="L77" s="8">
        <v>42572.042349537034</v>
      </c>
      <c r="M77" s="21">
        <f>LEN(ProjTextTable[[#This Row],[text]])</f>
        <v>4019</v>
      </c>
      <c r="N77" s="21">
        <f>LEN(TRIM(CLEAN(SUBSTITUTE(ProjTextTable[[#This Row],[text]],CHAR(10)," "))))+1 - LEN(SUBSTITUTE(CLEAN(SUBSTITUTE(ProjTextTable[[#This Row],[text]],CHAR(10)," "))," ",""))</f>
        <v>598</v>
      </c>
      <c r="O77" t="s">
        <v>13</v>
      </c>
      <c r="P77" t="s">
        <v>1576</v>
      </c>
    </row>
    <row r="78" spans="1:16" x14ac:dyDescent="0.4">
      <c r="A78">
        <f t="shared" si="1"/>
        <v>12</v>
      </c>
      <c r="B78" t="s">
        <v>1031</v>
      </c>
      <c r="C78" t="s">
        <v>1032</v>
      </c>
      <c r="D78" t="s">
        <v>209</v>
      </c>
      <c r="E78" t="s">
        <v>422</v>
      </c>
      <c r="F78" t="s">
        <v>1425</v>
      </c>
      <c r="G78" t="s">
        <v>1426</v>
      </c>
      <c r="H78" t="s">
        <v>212</v>
      </c>
      <c r="I78" t="s">
        <v>201</v>
      </c>
      <c r="J78" t="s">
        <v>1577</v>
      </c>
      <c r="K78" s="30">
        <v>42660</v>
      </c>
      <c r="L78" s="8">
        <v>42674.603738425925</v>
      </c>
      <c r="M78" s="21">
        <f>LEN(ProjTextTable[[#This Row],[text]])</f>
        <v>4391</v>
      </c>
      <c r="N78" s="21">
        <f>LEN(TRIM(CLEAN(SUBSTITUTE(ProjTextTable[[#This Row],[text]],CHAR(10)," "))))+1 - LEN(SUBSTITUTE(CLEAN(SUBSTITUTE(ProjTextTable[[#This Row],[text]],CHAR(10)," "))," ",""))</f>
        <v>663</v>
      </c>
      <c r="O78" t="s">
        <v>213</v>
      </c>
      <c r="P78" t="s">
        <v>1578</v>
      </c>
    </row>
    <row r="79" spans="1:16" x14ac:dyDescent="0.4">
      <c r="A79">
        <f t="shared" si="1"/>
        <v>12</v>
      </c>
      <c r="B79" t="s">
        <v>1031</v>
      </c>
      <c r="C79" t="s">
        <v>1032</v>
      </c>
      <c r="D79" t="s">
        <v>1467</v>
      </c>
      <c r="E79" t="s">
        <v>406</v>
      </c>
      <c r="F79" t="s">
        <v>1031</v>
      </c>
      <c r="G79" t="s">
        <v>1468</v>
      </c>
      <c r="H79" t="s">
        <v>13</v>
      </c>
      <c r="I79" t="s">
        <v>13</v>
      </c>
      <c r="J79" t="s">
        <v>777</v>
      </c>
      <c r="K79" s="30">
        <v>42682.37222222222</v>
      </c>
      <c r="L79" s="8">
        <v>44508.37222222222</v>
      </c>
      <c r="M79" s="21">
        <f>LEN(ProjTextTable[[#This Row],[text]])</f>
        <v>4780</v>
      </c>
      <c r="N79" s="21">
        <f>LEN(TRIM(CLEAN(SUBSTITUTE(ProjTextTable[[#This Row],[text]],CHAR(10)," "))))+1 - LEN(SUBSTITUTE(CLEAN(SUBSTITUTE(ProjTextTable[[#This Row],[text]],CHAR(10)," "))," ",""))</f>
        <v>760</v>
      </c>
      <c r="O79" t="s">
        <v>13</v>
      </c>
      <c r="P79" t="s">
        <v>1579</v>
      </c>
    </row>
    <row r="80" spans="1:16" x14ac:dyDescent="0.4">
      <c r="A80">
        <f t="shared" si="1"/>
        <v>12</v>
      </c>
      <c r="B80" t="s">
        <v>1031</v>
      </c>
      <c r="C80" t="s">
        <v>1032</v>
      </c>
      <c r="D80" t="s">
        <v>2</v>
      </c>
      <c r="E80" t="s">
        <v>406</v>
      </c>
      <c r="F80" t="s">
        <v>13</v>
      </c>
      <c r="G80" t="s">
        <v>1470</v>
      </c>
      <c r="H80" t="s">
        <v>13</v>
      </c>
      <c r="I80" t="s">
        <v>13</v>
      </c>
      <c r="K80" s="30"/>
      <c r="L80" s="8">
        <v>42681.568692129629</v>
      </c>
      <c r="M80" s="21">
        <f>LEN(ProjTextTable[[#This Row],[text]])</f>
        <v>5288</v>
      </c>
      <c r="N80" s="21">
        <f>LEN(TRIM(CLEAN(SUBSTITUTE(ProjTextTable[[#This Row],[text]],CHAR(10)," "))))+1 - LEN(SUBSTITUTE(CLEAN(SUBSTITUTE(ProjTextTable[[#This Row],[text]],CHAR(10)," "))," ",""))</f>
        <v>817</v>
      </c>
      <c r="O80" t="s">
        <v>13</v>
      </c>
      <c r="P80" t="s">
        <v>1580</v>
      </c>
    </row>
    <row r="81" spans="1:16" x14ac:dyDescent="0.4">
      <c r="A81">
        <f t="shared" si="1"/>
        <v>12</v>
      </c>
      <c r="B81" t="s">
        <v>1031</v>
      </c>
      <c r="C81" t="s">
        <v>1032</v>
      </c>
      <c r="D81" t="s">
        <v>198</v>
      </c>
      <c r="E81" t="s">
        <v>406</v>
      </c>
      <c r="F81" t="s">
        <v>1437</v>
      </c>
      <c r="G81" t="s">
        <v>1438</v>
      </c>
      <c r="H81" t="s">
        <v>1439</v>
      </c>
      <c r="I81" t="s">
        <v>215</v>
      </c>
      <c r="J81" t="s">
        <v>178</v>
      </c>
      <c r="K81" s="30">
        <v>42661</v>
      </c>
      <c r="L81" s="8">
        <v>42661.392442129632</v>
      </c>
      <c r="M81" s="21">
        <f>LEN(ProjTextTable[[#This Row],[text]])</f>
        <v>2420</v>
      </c>
      <c r="N81" s="21">
        <f>LEN(TRIM(CLEAN(SUBSTITUTE(ProjTextTable[[#This Row],[text]],CHAR(10)," "))))+1 - LEN(SUBSTITUTE(CLEAN(SUBSTITUTE(ProjTextTable[[#This Row],[text]],CHAR(10)," "))," ",""))</f>
        <v>364</v>
      </c>
      <c r="O81" t="s">
        <v>199</v>
      </c>
      <c r="P81" t="s">
        <v>1581</v>
      </c>
    </row>
    <row r="82" spans="1:16" x14ac:dyDescent="0.4">
      <c r="A82">
        <f t="shared" si="1"/>
        <v>12</v>
      </c>
      <c r="B82" t="s">
        <v>1031</v>
      </c>
      <c r="C82" t="s">
        <v>1032</v>
      </c>
      <c r="D82" t="s">
        <v>198</v>
      </c>
      <c r="E82" t="s">
        <v>406</v>
      </c>
      <c r="F82" t="s">
        <v>1481</v>
      </c>
      <c r="G82" t="s">
        <v>1482</v>
      </c>
      <c r="H82" t="s">
        <v>1483</v>
      </c>
      <c r="I82" t="s">
        <v>215</v>
      </c>
      <c r="J82" t="s">
        <v>178</v>
      </c>
      <c r="K82" s="30">
        <v>42661</v>
      </c>
      <c r="L82" s="8">
        <v>42661.407453703701</v>
      </c>
      <c r="M82" s="21">
        <f>LEN(ProjTextTable[[#This Row],[text]])</f>
        <v>2718</v>
      </c>
      <c r="N82" s="21">
        <f>LEN(TRIM(CLEAN(SUBSTITUTE(ProjTextTable[[#This Row],[text]],CHAR(10)," "))))+1 - LEN(SUBSTITUTE(CLEAN(SUBSTITUTE(ProjTextTable[[#This Row],[text]],CHAR(10)," "))," ",""))</f>
        <v>396</v>
      </c>
      <c r="O82" t="s">
        <v>202</v>
      </c>
      <c r="P82" t="s">
        <v>1582</v>
      </c>
    </row>
    <row r="83" spans="1:16" x14ac:dyDescent="0.4">
      <c r="A83">
        <f t="shared" si="1"/>
        <v>12</v>
      </c>
      <c r="B83" t="s">
        <v>1031</v>
      </c>
      <c r="C83" t="s">
        <v>1032</v>
      </c>
      <c r="D83" t="s">
        <v>198</v>
      </c>
      <c r="E83" t="s">
        <v>406</v>
      </c>
      <c r="F83" t="s">
        <v>1505</v>
      </c>
      <c r="G83" t="s">
        <v>1506</v>
      </c>
      <c r="H83" t="s">
        <v>1507</v>
      </c>
      <c r="I83" t="s">
        <v>215</v>
      </c>
      <c r="J83" t="s">
        <v>178</v>
      </c>
      <c r="K83" s="30">
        <v>42661</v>
      </c>
      <c r="L83" s="8">
        <v>42659.993668981479</v>
      </c>
      <c r="M83" s="21">
        <f>LEN(ProjTextTable[[#This Row],[text]])</f>
        <v>2569</v>
      </c>
      <c r="N83" s="21">
        <f>LEN(TRIM(CLEAN(SUBSTITUTE(ProjTextTable[[#This Row],[text]],CHAR(10)," "))))+1 - LEN(SUBSTITUTE(CLEAN(SUBSTITUTE(ProjTextTable[[#This Row],[text]],CHAR(10)," "))," ",""))</f>
        <v>377</v>
      </c>
      <c r="O83" t="s">
        <v>267</v>
      </c>
      <c r="P83" t="s">
        <v>1583</v>
      </c>
    </row>
    <row r="84" spans="1:16" x14ac:dyDescent="0.4">
      <c r="A84">
        <f t="shared" si="1"/>
        <v>12</v>
      </c>
      <c r="B84" t="s">
        <v>1031</v>
      </c>
      <c r="C84" t="s">
        <v>1032</v>
      </c>
      <c r="D84" t="s">
        <v>198</v>
      </c>
      <c r="E84" t="s">
        <v>406</v>
      </c>
      <c r="F84" t="s">
        <v>1584</v>
      </c>
      <c r="G84" t="s">
        <v>1282</v>
      </c>
      <c r="H84" t="s">
        <v>1585</v>
      </c>
      <c r="I84" t="s">
        <v>178</v>
      </c>
      <c r="J84" t="s">
        <v>178</v>
      </c>
      <c r="K84" s="30">
        <v>42653</v>
      </c>
      <c r="L84" s="8">
        <v>42653.558819444443</v>
      </c>
      <c r="M84" s="21">
        <f>LEN(ProjTextTable[[#This Row],[text]])</f>
        <v>3981</v>
      </c>
      <c r="N84" s="21">
        <f>LEN(TRIM(CLEAN(SUBSTITUTE(ProjTextTable[[#This Row],[text]],CHAR(10)," "))))+1 - LEN(SUBSTITUTE(CLEAN(SUBSTITUTE(ProjTextTable[[#This Row],[text]],CHAR(10)," "))," ",""))</f>
        <v>647</v>
      </c>
      <c r="O84" t="s">
        <v>203</v>
      </c>
      <c r="P84" t="s">
        <v>1586</v>
      </c>
    </row>
    <row r="85" spans="1:16" x14ac:dyDescent="0.4">
      <c r="A85">
        <f t="shared" si="1"/>
        <v>12</v>
      </c>
      <c r="B85" t="s">
        <v>1031</v>
      </c>
      <c r="C85" t="s">
        <v>1032</v>
      </c>
      <c r="D85" t="s">
        <v>200</v>
      </c>
      <c r="E85" t="s">
        <v>406</v>
      </c>
      <c r="F85" t="s">
        <v>13</v>
      </c>
      <c r="G85" t="s">
        <v>13</v>
      </c>
      <c r="H85" t="s">
        <v>13</v>
      </c>
      <c r="K85" s="30"/>
      <c r="L85" s="8">
        <v>42572.042384259257</v>
      </c>
      <c r="M85" s="21">
        <f>LEN(ProjTextTable[[#This Row],[text]])</f>
        <v>3730</v>
      </c>
      <c r="N85" s="21">
        <f>LEN(TRIM(CLEAN(SUBSTITUTE(ProjTextTable[[#This Row],[text]],CHAR(10)," "))))+1 - LEN(SUBSTITUTE(CLEAN(SUBSTITUTE(ProjTextTable[[#This Row],[text]],CHAR(10)," "))," ",""))</f>
        <v>516</v>
      </c>
      <c r="O85" t="s">
        <v>13</v>
      </c>
      <c r="P85" t="s">
        <v>1587</v>
      </c>
    </row>
    <row r="86" spans="1:16" x14ac:dyDescent="0.4">
      <c r="A86">
        <f t="shared" si="1"/>
        <v>13</v>
      </c>
      <c r="B86" t="s">
        <v>1037</v>
      </c>
      <c r="C86" t="s">
        <v>1038</v>
      </c>
      <c r="D86" t="s">
        <v>209</v>
      </c>
      <c r="E86" t="s">
        <v>422</v>
      </c>
      <c r="F86" t="s">
        <v>1425</v>
      </c>
      <c r="G86" t="s">
        <v>1426</v>
      </c>
      <c r="H86" t="s">
        <v>264</v>
      </c>
      <c r="I86" t="s">
        <v>197</v>
      </c>
      <c r="J86" t="s">
        <v>1427</v>
      </c>
      <c r="K86" s="30">
        <v>42660</v>
      </c>
      <c r="L86" s="8">
        <v>42674.603738425925</v>
      </c>
      <c r="M86" s="21">
        <f>LEN(ProjTextTable[[#This Row],[text]])</f>
        <v>3577</v>
      </c>
      <c r="N86" s="21">
        <f>LEN(TRIM(CLEAN(SUBSTITUTE(ProjTextTable[[#This Row],[text]],CHAR(10)," "))))+1 - LEN(SUBSTITUTE(CLEAN(SUBSTITUTE(ProjTextTable[[#This Row],[text]],CHAR(10)," "))," ",""))</f>
        <v>558</v>
      </c>
      <c r="O86" t="s">
        <v>263</v>
      </c>
      <c r="P86" t="s">
        <v>1588</v>
      </c>
    </row>
    <row r="87" spans="1:16" x14ac:dyDescent="0.4">
      <c r="A87">
        <f t="shared" si="1"/>
        <v>13</v>
      </c>
      <c r="B87" t="s">
        <v>1037</v>
      </c>
      <c r="C87" t="s">
        <v>1038</v>
      </c>
      <c r="D87" t="s">
        <v>1467</v>
      </c>
      <c r="E87" t="s">
        <v>406</v>
      </c>
      <c r="F87" t="s">
        <v>1037</v>
      </c>
      <c r="G87" t="s">
        <v>1468</v>
      </c>
      <c r="H87" t="s">
        <v>13</v>
      </c>
      <c r="I87" t="s">
        <v>13</v>
      </c>
      <c r="J87" t="s">
        <v>777</v>
      </c>
      <c r="K87" s="30">
        <v>42676.693749999999</v>
      </c>
      <c r="L87" s="8">
        <v>44502.693749999999</v>
      </c>
      <c r="M87" s="21">
        <f>LEN(ProjTextTable[[#This Row],[text]])</f>
        <v>3916</v>
      </c>
      <c r="N87" s="21">
        <f>LEN(TRIM(CLEAN(SUBSTITUTE(ProjTextTable[[#This Row],[text]],CHAR(10)," "))))+1 - LEN(SUBSTITUTE(CLEAN(SUBSTITUTE(ProjTextTable[[#This Row],[text]],CHAR(10)," "))," ",""))</f>
        <v>623</v>
      </c>
      <c r="O87" t="s">
        <v>13</v>
      </c>
      <c r="P87" t="s">
        <v>1589</v>
      </c>
    </row>
    <row r="88" spans="1:16" x14ac:dyDescent="0.4">
      <c r="A88">
        <f t="shared" si="1"/>
        <v>13</v>
      </c>
      <c r="B88" t="s">
        <v>1037</v>
      </c>
      <c r="C88" t="s">
        <v>1038</v>
      </c>
      <c r="D88" t="s">
        <v>2</v>
      </c>
      <c r="E88" t="s">
        <v>406</v>
      </c>
      <c r="F88" t="s">
        <v>13</v>
      </c>
      <c r="G88" t="s">
        <v>1470</v>
      </c>
      <c r="H88" t="s">
        <v>13</v>
      </c>
      <c r="I88" t="s">
        <v>13</v>
      </c>
      <c r="K88" s="30"/>
      <c r="L88" s="8">
        <v>42674.614074074074</v>
      </c>
      <c r="M88" s="21">
        <f>LEN(ProjTextTable[[#This Row],[text]])</f>
        <v>4273</v>
      </c>
      <c r="N88" s="21">
        <f>LEN(TRIM(CLEAN(SUBSTITUTE(ProjTextTable[[#This Row],[text]],CHAR(10)," "))))+1 - LEN(SUBSTITUTE(CLEAN(SUBSTITUTE(ProjTextTable[[#This Row],[text]],CHAR(10)," "))," ",""))</f>
        <v>650</v>
      </c>
      <c r="O88" t="s">
        <v>13</v>
      </c>
      <c r="P88" t="s">
        <v>1590</v>
      </c>
    </row>
    <row r="89" spans="1:16" x14ac:dyDescent="0.4">
      <c r="A89">
        <f t="shared" si="1"/>
        <v>13</v>
      </c>
      <c r="B89" t="s">
        <v>1037</v>
      </c>
      <c r="C89" t="s">
        <v>1038</v>
      </c>
      <c r="D89" t="s">
        <v>198</v>
      </c>
      <c r="E89" t="s">
        <v>406</v>
      </c>
      <c r="F89" t="s">
        <v>1591</v>
      </c>
      <c r="G89" t="s">
        <v>1592</v>
      </c>
      <c r="H89" t="s">
        <v>1593</v>
      </c>
      <c r="I89" t="s">
        <v>178</v>
      </c>
      <c r="J89" t="s">
        <v>178</v>
      </c>
      <c r="K89" s="30">
        <v>42653</v>
      </c>
      <c r="L89" s="8">
        <v>42634.4297337963</v>
      </c>
      <c r="M89" s="21">
        <f>LEN(ProjTextTable[[#This Row],[text]])</f>
        <v>3918</v>
      </c>
      <c r="N89" s="21">
        <f>LEN(TRIM(CLEAN(SUBSTITUTE(ProjTextTable[[#This Row],[text]],CHAR(10)," "))))+1 - LEN(SUBSTITUTE(CLEAN(SUBSTITUTE(ProjTextTable[[#This Row],[text]],CHAR(10)," "))," ",""))</f>
        <v>637</v>
      </c>
      <c r="O89" t="s">
        <v>202</v>
      </c>
      <c r="P89" t="s">
        <v>1594</v>
      </c>
    </row>
    <row r="90" spans="1:16" x14ac:dyDescent="0.4">
      <c r="A90">
        <f t="shared" si="1"/>
        <v>13</v>
      </c>
      <c r="B90" t="s">
        <v>1037</v>
      </c>
      <c r="C90" t="s">
        <v>1038</v>
      </c>
      <c r="D90" t="s">
        <v>198</v>
      </c>
      <c r="E90" t="s">
        <v>406</v>
      </c>
      <c r="F90" t="s">
        <v>1460</v>
      </c>
      <c r="G90" t="s">
        <v>1461</v>
      </c>
      <c r="H90" t="s">
        <v>1462</v>
      </c>
      <c r="I90" t="s">
        <v>215</v>
      </c>
      <c r="J90" t="s">
        <v>178</v>
      </c>
      <c r="K90" s="30">
        <v>42661</v>
      </c>
      <c r="L90" s="8">
        <v>42660.117939814816</v>
      </c>
      <c r="M90" s="21">
        <f>LEN(ProjTextTable[[#This Row],[text]])</f>
        <v>3833</v>
      </c>
      <c r="N90" s="21">
        <f>LEN(TRIM(CLEAN(SUBSTITUTE(ProjTextTable[[#This Row],[text]],CHAR(10)," "))))+1 - LEN(SUBSTITUTE(CLEAN(SUBSTITUTE(ProjTextTable[[#This Row],[text]],CHAR(10)," "))," ",""))</f>
        <v>592</v>
      </c>
      <c r="O90" t="s">
        <v>199</v>
      </c>
      <c r="P90" t="s">
        <v>1595</v>
      </c>
    </row>
    <row r="91" spans="1:16" x14ac:dyDescent="0.4">
      <c r="A91">
        <f t="shared" si="1"/>
        <v>13</v>
      </c>
      <c r="B91" t="s">
        <v>1037</v>
      </c>
      <c r="C91" t="s">
        <v>1038</v>
      </c>
      <c r="D91" t="s">
        <v>198</v>
      </c>
      <c r="E91" t="s">
        <v>406</v>
      </c>
      <c r="F91" t="s">
        <v>1536</v>
      </c>
      <c r="G91" t="s">
        <v>1537</v>
      </c>
      <c r="H91" t="s">
        <v>1538</v>
      </c>
      <c r="I91" t="s">
        <v>215</v>
      </c>
      <c r="J91" t="s">
        <v>178</v>
      </c>
      <c r="K91" s="30">
        <v>42661</v>
      </c>
      <c r="L91" s="8">
        <v>42660.754143518519</v>
      </c>
      <c r="M91" s="21">
        <f>LEN(ProjTextTable[[#This Row],[text]])</f>
        <v>3208</v>
      </c>
      <c r="N91" s="21">
        <f>LEN(TRIM(CLEAN(SUBSTITUTE(ProjTextTable[[#This Row],[text]],CHAR(10)," "))))+1 - LEN(SUBSTITUTE(CLEAN(SUBSTITUTE(ProjTextTable[[#This Row],[text]],CHAR(10)," "))," ",""))</f>
        <v>469</v>
      </c>
      <c r="O91" t="s">
        <v>206</v>
      </c>
      <c r="P91" t="s">
        <v>1596</v>
      </c>
    </row>
    <row r="92" spans="1:16" x14ac:dyDescent="0.4">
      <c r="A92">
        <f t="shared" si="1"/>
        <v>13</v>
      </c>
      <c r="B92" t="s">
        <v>1037</v>
      </c>
      <c r="C92" t="s">
        <v>1038</v>
      </c>
      <c r="D92" t="s">
        <v>198</v>
      </c>
      <c r="E92" t="s">
        <v>406</v>
      </c>
      <c r="F92" t="s">
        <v>1505</v>
      </c>
      <c r="G92" t="s">
        <v>1506</v>
      </c>
      <c r="H92" t="s">
        <v>1507</v>
      </c>
      <c r="I92" t="s">
        <v>215</v>
      </c>
      <c r="J92" t="s">
        <v>178</v>
      </c>
      <c r="K92" s="30">
        <v>42661</v>
      </c>
      <c r="L92" s="8">
        <v>42660.408333333333</v>
      </c>
      <c r="M92" s="21">
        <f>LEN(ProjTextTable[[#This Row],[text]])</f>
        <v>2706</v>
      </c>
      <c r="N92" s="21">
        <f>LEN(TRIM(CLEAN(SUBSTITUTE(ProjTextTable[[#This Row],[text]],CHAR(10)," "))))+1 - LEN(SUBSTITUTE(CLEAN(SUBSTITUTE(ProjTextTable[[#This Row],[text]],CHAR(10)," "))," ",""))</f>
        <v>422</v>
      </c>
      <c r="O92" t="s">
        <v>206</v>
      </c>
      <c r="P92" t="s">
        <v>1597</v>
      </c>
    </row>
    <row r="93" spans="1:16" x14ac:dyDescent="0.4">
      <c r="A93">
        <f t="shared" si="1"/>
        <v>13</v>
      </c>
      <c r="B93" t="s">
        <v>1037</v>
      </c>
      <c r="C93" t="s">
        <v>1038</v>
      </c>
      <c r="D93" t="s">
        <v>200</v>
      </c>
      <c r="E93" t="s">
        <v>406</v>
      </c>
      <c r="F93" t="s">
        <v>13</v>
      </c>
      <c r="G93" t="s">
        <v>13</v>
      </c>
      <c r="H93" t="s">
        <v>13</v>
      </c>
      <c r="K93" s="30"/>
      <c r="L93" s="8">
        <v>42572.042395833334</v>
      </c>
      <c r="M93" s="21">
        <f>LEN(ProjTextTable[[#This Row],[text]])</f>
        <v>3661</v>
      </c>
      <c r="N93" s="21">
        <f>LEN(TRIM(CLEAN(SUBSTITUTE(ProjTextTable[[#This Row],[text]],CHAR(10)," "))))+1 - LEN(SUBSTITUTE(CLEAN(SUBSTITUTE(ProjTextTable[[#This Row],[text]],CHAR(10)," "))," ",""))</f>
        <v>515</v>
      </c>
      <c r="O93" t="s">
        <v>13</v>
      </c>
      <c r="P93" t="s">
        <v>1598</v>
      </c>
    </row>
    <row r="94" spans="1:16" x14ac:dyDescent="0.4">
      <c r="A94">
        <f t="shared" si="1"/>
        <v>14</v>
      </c>
      <c r="B94" t="s">
        <v>1044</v>
      </c>
      <c r="C94" t="s">
        <v>1045</v>
      </c>
      <c r="D94" t="s">
        <v>209</v>
      </c>
      <c r="E94" t="s">
        <v>422</v>
      </c>
      <c r="F94" t="s">
        <v>1425</v>
      </c>
      <c r="G94" t="s">
        <v>1426</v>
      </c>
      <c r="H94" t="s">
        <v>264</v>
      </c>
      <c r="I94" t="s">
        <v>197</v>
      </c>
      <c r="J94" t="s">
        <v>1427</v>
      </c>
      <c r="K94" s="30">
        <v>42660</v>
      </c>
      <c r="L94" s="8">
        <v>42676.687037037038</v>
      </c>
      <c r="M94" s="21">
        <f>LEN(ProjTextTable[[#This Row],[text]])</f>
        <v>3585</v>
      </c>
      <c r="N94" s="21">
        <f>LEN(TRIM(CLEAN(SUBSTITUTE(ProjTextTable[[#This Row],[text]],CHAR(10)," "))))+1 - LEN(SUBSTITUTE(CLEAN(SUBSTITUTE(ProjTextTable[[#This Row],[text]],CHAR(10)," "))," ",""))</f>
        <v>553</v>
      </c>
      <c r="O94" t="s">
        <v>263</v>
      </c>
      <c r="P94" t="s">
        <v>1599</v>
      </c>
    </row>
    <row r="95" spans="1:16" x14ac:dyDescent="0.4">
      <c r="A95">
        <f t="shared" si="1"/>
        <v>14</v>
      </c>
      <c r="B95" t="s">
        <v>1044</v>
      </c>
      <c r="C95" t="s">
        <v>1045</v>
      </c>
      <c r="D95" t="s">
        <v>198</v>
      </c>
      <c r="E95" t="s">
        <v>422</v>
      </c>
      <c r="F95" t="s">
        <v>1433</v>
      </c>
      <c r="G95" t="s">
        <v>1434</v>
      </c>
      <c r="H95" t="s">
        <v>1435</v>
      </c>
      <c r="I95" t="s">
        <v>215</v>
      </c>
      <c r="J95" t="s">
        <v>178</v>
      </c>
      <c r="K95" s="30">
        <v>42661</v>
      </c>
      <c r="L95" s="8">
        <v>42659.780659722222</v>
      </c>
      <c r="M95" s="21">
        <f>LEN(ProjTextTable[[#This Row],[text]])</f>
        <v>1911</v>
      </c>
      <c r="N95" s="21">
        <f>LEN(TRIM(CLEAN(SUBSTITUTE(ProjTextTable[[#This Row],[text]],CHAR(10)," "))))+1 - LEN(SUBSTITUTE(CLEAN(SUBSTITUTE(ProjTextTable[[#This Row],[text]],CHAR(10)," "))," ",""))</f>
        <v>289</v>
      </c>
      <c r="O95" t="s">
        <v>202</v>
      </c>
      <c r="P95" t="s">
        <v>1600</v>
      </c>
    </row>
    <row r="96" spans="1:16" x14ac:dyDescent="0.4">
      <c r="A96">
        <f t="shared" si="1"/>
        <v>14</v>
      </c>
      <c r="B96" t="s">
        <v>1044</v>
      </c>
      <c r="C96" t="s">
        <v>1045</v>
      </c>
      <c r="D96" t="s">
        <v>198</v>
      </c>
      <c r="E96" t="s">
        <v>422</v>
      </c>
      <c r="F96" t="s">
        <v>1532</v>
      </c>
      <c r="G96" t="s">
        <v>1533</v>
      </c>
      <c r="H96" t="s">
        <v>1534</v>
      </c>
      <c r="I96" t="s">
        <v>215</v>
      </c>
      <c r="J96" t="s">
        <v>178</v>
      </c>
      <c r="K96" s="30">
        <v>42661</v>
      </c>
      <c r="L96" s="8">
        <v>42658.603298611109</v>
      </c>
      <c r="M96" s="21">
        <f>LEN(ProjTextTable[[#This Row],[text]])</f>
        <v>2713</v>
      </c>
      <c r="N96" s="21">
        <f>LEN(TRIM(CLEAN(SUBSTITUTE(ProjTextTable[[#This Row],[text]],CHAR(10)," "))))+1 - LEN(SUBSTITUTE(CLEAN(SUBSTITUTE(ProjTextTable[[#This Row],[text]],CHAR(10)," "))," ",""))</f>
        <v>413</v>
      </c>
      <c r="O96" t="s">
        <v>203</v>
      </c>
      <c r="P96" t="s">
        <v>1601</v>
      </c>
    </row>
    <row r="97" spans="1:16" x14ac:dyDescent="0.4">
      <c r="A97">
        <f t="shared" si="1"/>
        <v>14</v>
      </c>
      <c r="B97" t="s">
        <v>1044</v>
      </c>
      <c r="C97" t="s">
        <v>1045</v>
      </c>
      <c r="D97" t="s">
        <v>198</v>
      </c>
      <c r="E97" t="s">
        <v>422</v>
      </c>
      <c r="F97" t="s">
        <v>1505</v>
      </c>
      <c r="G97" t="s">
        <v>1506</v>
      </c>
      <c r="H97" t="s">
        <v>1507</v>
      </c>
      <c r="I97" t="s">
        <v>215</v>
      </c>
      <c r="J97" t="s">
        <v>178</v>
      </c>
      <c r="K97" s="30">
        <v>42661</v>
      </c>
      <c r="L97" s="8">
        <v>42660.40898148148</v>
      </c>
      <c r="M97" s="21">
        <f>LEN(ProjTextTable[[#This Row],[text]])</f>
        <v>2384</v>
      </c>
      <c r="N97" s="21">
        <f>LEN(TRIM(CLEAN(SUBSTITUTE(ProjTextTable[[#This Row],[text]],CHAR(10)," "))))+1 - LEN(SUBSTITUTE(CLEAN(SUBSTITUTE(ProjTextTable[[#This Row],[text]],CHAR(10)," "))," ",""))</f>
        <v>370</v>
      </c>
      <c r="O97" t="s">
        <v>206</v>
      </c>
      <c r="P97" t="s">
        <v>1602</v>
      </c>
    </row>
    <row r="98" spans="1:16" x14ac:dyDescent="0.4">
      <c r="A98">
        <f t="shared" si="1"/>
        <v>14</v>
      </c>
      <c r="B98" t="s">
        <v>1044</v>
      </c>
      <c r="C98" t="s">
        <v>1045</v>
      </c>
      <c r="D98" t="s">
        <v>198</v>
      </c>
      <c r="E98" t="s">
        <v>422</v>
      </c>
      <c r="F98" t="s">
        <v>1603</v>
      </c>
      <c r="G98" t="s">
        <v>1604</v>
      </c>
      <c r="H98" t="s">
        <v>1605</v>
      </c>
      <c r="I98" t="s">
        <v>178</v>
      </c>
      <c r="J98" t="s">
        <v>178</v>
      </c>
      <c r="K98" s="30">
        <v>42655</v>
      </c>
      <c r="L98" s="8">
        <v>42654.922511574077</v>
      </c>
      <c r="M98" s="21">
        <f>LEN(ProjTextTable[[#This Row],[text]])</f>
        <v>2693</v>
      </c>
      <c r="N98" s="21">
        <f>LEN(TRIM(CLEAN(SUBSTITUTE(ProjTextTable[[#This Row],[text]],CHAR(10)," "))))+1 - LEN(SUBSTITUTE(CLEAN(SUBSTITUTE(ProjTextTable[[#This Row],[text]],CHAR(10)," "))," ",""))</f>
        <v>421</v>
      </c>
      <c r="O98" t="s">
        <v>267</v>
      </c>
      <c r="P98" t="s">
        <v>1606</v>
      </c>
    </row>
    <row r="99" spans="1:16" x14ac:dyDescent="0.4">
      <c r="A99">
        <f t="shared" si="1"/>
        <v>14</v>
      </c>
      <c r="B99" t="s">
        <v>1044</v>
      </c>
      <c r="C99" t="s">
        <v>1045</v>
      </c>
      <c r="D99" t="s">
        <v>200</v>
      </c>
      <c r="E99" t="s">
        <v>422</v>
      </c>
      <c r="F99" t="s">
        <v>13</v>
      </c>
      <c r="G99" t="s">
        <v>13</v>
      </c>
      <c r="H99" t="s">
        <v>13</v>
      </c>
      <c r="K99" s="30"/>
      <c r="L99" s="8">
        <v>42572.042500000003</v>
      </c>
      <c r="M99" s="21">
        <f>LEN(ProjTextTable[[#This Row],[text]])</f>
        <v>3283</v>
      </c>
      <c r="N99" s="21">
        <f>LEN(TRIM(CLEAN(SUBSTITUTE(ProjTextTable[[#This Row],[text]],CHAR(10)," "))))+1 - LEN(SUBSTITUTE(CLEAN(SUBSTITUTE(ProjTextTable[[#This Row],[text]],CHAR(10)," "))," ",""))</f>
        <v>475</v>
      </c>
      <c r="O99" t="s">
        <v>13</v>
      </c>
      <c r="P99" t="s">
        <v>1607</v>
      </c>
    </row>
    <row r="100" spans="1:16" x14ac:dyDescent="0.4">
      <c r="A100">
        <f t="shared" si="1"/>
        <v>15</v>
      </c>
      <c r="B100" t="s">
        <v>1049</v>
      </c>
      <c r="C100" t="s">
        <v>1050</v>
      </c>
      <c r="D100" t="s">
        <v>209</v>
      </c>
      <c r="E100" t="s">
        <v>422</v>
      </c>
      <c r="F100" t="s">
        <v>1425</v>
      </c>
      <c r="G100" t="s">
        <v>1426</v>
      </c>
      <c r="H100" t="s">
        <v>259</v>
      </c>
      <c r="I100" t="s">
        <v>95</v>
      </c>
      <c r="J100" t="s">
        <v>201</v>
      </c>
      <c r="K100" s="30">
        <v>42660</v>
      </c>
      <c r="L100" s="8">
        <v>42674.603738425925</v>
      </c>
      <c r="M100" s="21">
        <f>LEN(ProjTextTable[[#This Row],[text]])</f>
        <v>4159</v>
      </c>
      <c r="N100" s="21">
        <f>LEN(TRIM(CLEAN(SUBSTITUTE(ProjTextTable[[#This Row],[text]],CHAR(10)," "))))+1 - LEN(SUBSTITUTE(CLEAN(SUBSTITUTE(ProjTextTable[[#This Row],[text]],CHAR(10)," "))," ",""))</f>
        <v>587</v>
      </c>
      <c r="O100" t="s">
        <v>257</v>
      </c>
      <c r="P100" t="s">
        <v>1608</v>
      </c>
    </row>
    <row r="101" spans="1:16" x14ac:dyDescent="0.4">
      <c r="A101">
        <f t="shared" si="1"/>
        <v>15</v>
      </c>
      <c r="B101" t="s">
        <v>1049</v>
      </c>
      <c r="C101" t="s">
        <v>1050</v>
      </c>
      <c r="D101" t="s">
        <v>908</v>
      </c>
      <c r="E101" t="s">
        <v>406</v>
      </c>
      <c r="F101" t="s">
        <v>13</v>
      </c>
      <c r="G101" t="s">
        <v>1468</v>
      </c>
      <c r="H101" t="s">
        <v>13</v>
      </c>
      <c r="I101" t="s">
        <v>13</v>
      </c>
      <c r="K101" s="30"/>
      <c r="L101" s="8">
        <v>42730.481527777774</v>
      </c>
      <c r="M101" s="21">
        <f>LEN(ProjTextTable[[#This Row],[text]])</f>
        <v>2287</v>
      </c>
      <c r="N101" s="21">
        <f>LEN(TRIM(CLEAN(SUBSTITUTE(ProjTextTable[[#This Row],[text]],CHAR(10)," "))))+1 - LEN(SUBSTITUTE(CLEAN(SUBSTITUTE(ProjTextTable[[#This Row],[text]],CHAR(10)," "))," ",""))</f>
        <v>324</v>
      </c>
      <c r="O101" t="s">
        <v>13</v>
      </c>
      <c r="P101" t="s">
        <v>1609</v>
      </c>
    </row>
    <row r="102" spans="1:16" x14ac:dyDescent="0.4">
      <c r="A102">
        <f t="shared" si="1"/>
        <v>15</v>
      </c>
      <c r="B102" t="s">
        <v>1049</v>
      </c>
      <c r="C102" t="s">
        <v>1050</v>
      </c>
      <c r="D102" t="s">
        <v>2</v>
      </c>
      <c r="E102" t="s">
        <v>406</v>
      </c>
      <c r="F102" t="s">
        <v>13</v>
      </c>
      <c r="G102" t="s">
        <v>1470</v>
      </c>
      <c r="H102" t="s">
        <v>13</v>
      </c>
      <c r="I102" t="s">
        <v>13</v>
      </c>
      <c r="K102" s="30"/>
      <c r="L102" s="8">
        <v>42738.658738425926</v>
      </c>
      <c r="M102" s="21">
        <f>LEN(ProjTextTable[[#This Row],[text]])</f>
        <v>6110</v>
      </c>
      <c r="N102" s="21">
        <f>LEN(TRIM(CLEAN(SUBSTITUTE(ProjTextTable[[#This Row],[text]],CHAR(10)," "))))+1 - LEN(SUBSTITUTE(CLEAN(SUBSTITUTE(ProjTextTable[[#This Row],[text]],CHAR(10)," "))," ",""))</f>
        <v>903</v>
      </c>
      <c r="O102" t="s">
        <v>13</v>
      </c>
      <c r="P102" t="s">
        <v>1610</v>
      </c>
    </row>
    <row r="103" spans="1:16" x14ac:dyDescent="0.4">
      <c r="A103">
        <f t="shared" si="1"/>
        <v>15</v>
      </c>
      <c r="B103" t="s">
        <v>1049</v>
      </c>
      <c r="C103" t="s">
        <v>1050</v>
      </c>
      <c r="D103" t="s">
        <v>198</v>
      </c>
      <c r="E103" t="s">
        <v>406</v>
      </c>
      <c r="F103" t="s">
        <v>1476</v>
      </c>
      <c r="G103" t="s">
        <v>1477</v>
      </c>
      <c r="H103" t="s">
        <v>1478</v>
      </c>
      <c r="I103" t="s">
        <v>215</v>
      </c>
      <c r="J103" t="s">
        <v>178</v>
      </c>
      <c r="K103" s="30">
        <v>42661</v>
      </c>
      <c r="L103" s="8">
        <v>42661.315729166665</v>
      </c>
      <c r="M103" s="21">
        <f>LEN(ProjTextTable[[#This Row],[text]])</f>
        <v>2424</v>
      </c>
      <c r="N103" s="21">
        <f>LEN(TRIM(CLEAN(SUBSTITUTE(ProjTextTable[[#This Row],[text]],CHAR(10)," "))))+1 - LEN(SUBSTITUTE(CLEAN(SUBSTITUTE(ProjTextTable[[#This Row],[text]],CHAR(10)," "))," ",""))</f>
        <v>343</v>
      </c>
      <c r="O103" t="s">
        <v>202</v>
      </c>
      <c r="P103" t="s">
        <v>1611</v>
      </c>
    </row>
    <row r="104" spans="1:16" x14ac:dyDescent="0.4">
      <c r="A104">
        <f t="shared" si="1"/>
        <v>15</v>
      </c>
      <c r="B104" t="s">
        <v>1049</v>
      </c>
      <c r="C104" t="s">
        <v>1050</v>
      </c>
      <c r="D104" t="s">
        <v>198</v>
      </c>
      <c r="E104" t="s">
        <v>406</v>
      </c>
      <c r="F104" t="s">
        <v>1536</v>
      </c>
      <c r="G104" t="s">
        <v>1537</v>
      </c>
      <c r="H104" t="s">
        <v>1538</v>
      </c>
      <c r="I104" t="s">
        <v>215</v>
      </c>
      <c r="J104" t="s">
        <v>178</v>
      </c>
      <c r="K104" s="30">
        <v>42661</v>
      </c>
      <c r="L104" s="8">
        <v>42660.475682870368</v>
      </c>
      <c r="M104" s="21">
        <f>LEN(ProjTextTable[[#This Row],[text]])</f>
        <v>2734</v>
      </c>
      <c r="N104" s="21">
        <f>LEN(TRIM(CLEAN(SUBSTITUTE(ProjTextTable[[#This Row],[text]],CHAR(10)," "))))+1 - LEN(SUBSTITUTE(CLEAN(SUBSTITUTE(ProjTextTable[[#This Row],[text]],CHAR(10)," "))," ",""))</f>
        <v>396</v>
      </c>
      <c r="O104" t="s">
        <v>202</v>
      </c>
      <c r="P104" t="s">
        <v>1612</v>
      </c>
    </row>
    <row r="105" spans="1:16" x14ac:dyDescent="0.4">
      <c r="A105">
        <f t="shared" si="1"/>
        <v>15</v>
      </c>
      <c r="B105" t="s">
        <v>1049</v>
      </c>
      <c r="C105" t="s">
        <v>1050</v>
      </c>
      <c r="D105" t="s">
        <v>198</v>
      </c>
      <c r="E105" t="s">
        <v>406</v>
      </c>
      <c r="F105" t="s">
        <v>1481</v>
      </c>
      <c r="G105" t="s">
        <v>1482</v>
      </c>
      <c r="H105" t="s">
        <v>1483</v>
      </c>
      <c r="I105" t="s">
        <v>215</v>
      </c>
      <c r="J105" t="s">
        <v>178</v>
      </c>
      <c r="K105" s="30">
        <v>42661</v>
      </c>
      <c r="L105" s="8">
        <v>42659.574456018519</v>
      </c>
      <c r="M105" s="21">
        <f>LEN(ProjTextTable[[#This Row],[text]])</f>
        <v>2777</v>
      </c>
      <c r="N105" s="21">
        <f>LEN(TRIM(CLEAN(SUBSTITUTE(ProjTextTable[[#This Row],[text]],CHAR(10)," "))))+1 - LEN(SUBSTITUTE(CLEAN(SUBSTITUTE(ProjTextTable[[#This Row],[text]],CHAR(10)," "))," ",""))</f>
        <v>412</v>
      </c>
      <c r="O105" t="s">
        <v>202</v>
      </c>
      <c r="P105" t="s">
        <v>1613</v>
      </c>
    </row>
    <row r="106" spans="1:16" x14ac:dyDescent="0.4">
      <c r="A106">
        <f t="shared" si="1"/>
        <v>15</v>
      </c>
      <c r="B106" t="s">
        <v>1049</v>
      </c>
      <c r="C106" t="s">
        <v>1050</v>
      </c>
      <c r="D106" t="s">
        <v>198</v>
      </c>
      <c r="E106" t="s">
        <v>406</v>
      </c>
      <c r="F106" t="s">
        <v>1614</v>
      </c>
      <c r="G106" t="s">
        <v>414</v>
      </c>
      <c r="H106" t="s">
        <v>1615</v>
      </c>
      <c r="I106" t="s">
        <v>178</v>
      </c>
      <c r="J106" t="s">
        <v>178</v>
      </c>
      <c r="K106" s="30">
        <v>42654</v>
      </c>
      <c r="L106" s="8">
        <v>42654.726863425924</v>
      </c>
      <c r="M106" s="21">
        <f>LEN(ProjTextTable[[#This Row],[text]])</f>
        <v>4160</v>
      </c>
      <c r="N106" s="21">
        <f>LEN(TRIM(CLEAN(SUBSTITUTE(ProjTextTable[[#This Row],[text]],CHAR(10)," "))))+1 - LEN(SUBSTITUTE(CLEAN(SUBSTITUTE(ProjTextTable[[#This Row],[text]],CHAR(10)," "))," ",""))</f>
        <v>611</v>
      </c>
      <c r="O106" t="s">
        <v>202</v>
      </c>
      <c r="P106" t="s">
        <v>1616</v>
      </c>
    </row>
    <row r="107" spans="1:16" x14ac:dyDescent="0.4">
      <c r="A107">
        <f t="shared" si="1"/>
        <v>15</v>
      </c>
      <c r="B107" t="s">
        <v>1049</v>
      </c>
      <c r="C107" t="s">
        <v>1050</v>
      </c>
      <c r="D107" t="s">
        <v>200</v>
      </c>
      <c r="E107" t="s">
        <v>406</v>
      </c>
      <c r="F107" t="s">
        <v>13</v>
      </c>
      <c r="G107" t="s">
        <v>13</v>
      </c>
      <c r="H107" t="s">
        <v>13</v>
      </c>
      <c r="K107" s="30"/>
      <c r="L107" s="8">
        <v>42572.042696759258</v>
      </c>
      <c r="M107" s="21">
        <f>LEN(ProjTextTable[[#This Row],[text]])</f>
        <v>2183</v>
      </c>
      <c r="N107" s="21">
        <f>LEN(TRIM(CLEAN(SUBSTITUTE(ProjTextTable[[#This Row],[text]],CHAR(10)," "))))+1 - LEN(SUBSTITUTE(CLEAN(SUBSTITUTE(ProjTextTable[[#This Row],[text]],CHAR(10)," "))," ",""))</f>
        <v>312</v>
      </c>
      <c r="O107" t="s">
        <v>13</v>
      </c>
      <c r="P107" t="s">
        <v>1617</v>
      </c>
    </row>
    <row r="108" spans="1:16" x14ac:dyDescent="0.4">
      <c r="A108">
        <f t="shared" si="1"/>
        <v>16</v>
      </c>
      <c r="B108" t="s">
        <v>1057</v>
      </c>
      <c r="C108" t="s">
        <v>1058</v>
      </c>
      <c r="D108" t="s">
        <v>209</v>
      </c>
      <c r="E108" t="s">
        <v>422</v>
      </c>
      <c r="F108" t="s">
        <v>1425</v>
      </c>
      <c r="G108" t="s">
        <v>1426</v>
      </c>
      <c r="H108" t="s">
        <v>212</v>
      </c>
      <c r="I108" t="s">
        <v>201</v>
      </c>
      <c r="J108" t="s">
        <v>1618</v>
      </c>
      <c r="K108" s="30">
        <v>42660</v>
      </c>
      <c r="L108" s="8">
        <v>42674.776724537034</v>
      </c>
      <c r="M108" s="21">
        <f>LEN(ProjTextTable[[#This Row],[text]])</f>
        <v>2013</v>
      </c>
      <c r="N108" s="21">
        <f>LEN(TRIM(CLEAN(SUBSTITUTE(ProjTextTable[[#This Row],[text]],CHAR(10)," "))))+1 - LEN(SUBSTITUTE(CLEAN(SUBSTITUTE(ProjTextTable[[#This Row],[text]],CHAR(10)," "))," ",""))</f>
        <v>269</v>
      </c>
      <c r="O108" t="s">
        <v>213</v>
      </c>
      <c r="P108" t="s">
        <v>1619</v>
      </c>
    </row>
    <row r="109" spans="1:16" x14ac:dyDescent="0.4">
      <c r="A109">
        <f t="shared" si="1"/>
        <v>16</v>
      </c>
      <c r="B109" t="s">
        <v>1057</v>
      </c>
      <c r="C109" t="s">
        <v>1058</v>
      </c>
      <c r="D109" t="s">
        <v>2</v>
      </c>
      <c r="E109" t="s">
        <v>451</v>
      </c>
      <c r="F109" t="s">
        <v>13</v>
      </c>
      <c r="G109" t="s">
        <v>1470</v>
      </c>
      <c r="H109" t="s">
        <v>13</v>
      </c>
      <c r="I109" t="s">
        <v>13</v>
      </c>
      <c r="K109" s="30"/>
      <c r="L109" s="8">
        <v>42677.385023148148</v>
      </c>
      <c r="M109" s="21">
        <f>LEN(ProjTextTable[[#This Row],[text]])</f>
        <v>4107</v>
      </c>
      <c r="N109" s="21">
        <f>LEN(TRIM(CLEAN(SUBSTITUTE(ProjTextTable[[#This Row],[text]],CHAR(10)," "))))+1 - LEN(SUBSTITUTE(CLEAN(SUBSTITUTE(ProjTextTable[[#This Row],[text]],CHAR(10)," "))," ",""))</f>
        <v>619</v>
      </c>
      <c r="O109" t="s">
        <v>13</v>
      </c>
      <c r="P109" t="s">
        <v>1620</v>
      </c>
    </row>
    <row r="110" spans="1:16" x14ac:dyDescent="0.4">
      <c r="A110">
        <f t="shared" si="1"/>
        <v>16</v>
      </c>
      <c r="B110" t="s">
        <v>1057</v>
      </c>
      <c r="C110" t="s">
        <v>1058</v>
      </c>
      <c r="D110" t="s">
        <v>198</v>
      </c>
      <c r="E110" t="s">
        <v>451</v>
      </c>
      <c r="F110" t="s">
        <v>1433</v>
      </c>
      <c r="G110" t="s">
        <v>1434</v>
      </c>
      <c r="H110" t="s">
        <v>1435</v>
      </c>
      <c r="I110" t="s">
        <v>215</v>
      </c>
      <c r="J110" t="s">
        <v>178</v>
      </c>
      <c r="K110" s="30">
        <v>42661</v>
      </c>
      <c r="L110" s="8">
        <v>42659.916145833333</v>
      </c>
      <c r="M110" s="21">
        <f>LEN(ProjTextTable[[#This Row],[text]])</f>
        <v>2008</v>
      </c>
      <c r="N110" s="21">
        <f>LEN(TRIM(CLEAN(SUBSTITUTE(ProjTextTable[[#This Row],[text]],CHAR(10)," "))))+1 - LEN(SUBSTITUTE(CLEAN(SUBSTITUTE(ProjTextTable[[#This Row],[text]],CHAR(10)," "))," ",""))</f>
        <v>308</v>
      </c>
      <c r="O110" t="s">
        <v>206</v>
      </c>
      <c r="P110" t="s">
        <v>1621</v>
      </c>
    </row>
    <row r="111" spans="1:16" x14ac:dyDescent="0.4">
      <c r="A111">
        <f t="shared" si="1"/>
        <v>16</v>
      </c>
      <c r="B111" t="s">
        <v>1057</v>
      </c>
      <c r="C111" t="s">
        <v>1058</v>
      </c>
      <c r="D111" t="s">
        <v>198</v>
      </c>
      <c r="E111" t="s">
        <v>451</v>
      </c>
      <c r="F111" t="s">
        <v>1437</v>
      </c>
      <c r="G111" t="s">
        <v>1438</v>
      </c>
      <c r="H111" t="s">
        <v>1439</v>
      </c>
      <c r="I111" t="s">
        <v>215</v>
      </c>
      <c r="J111" t="s">
        <v>178</v>
      </c>
      <c r="K111" s="30">
        <v>42661</v>
      </c>
      <c r="L111" s="8">
        <v>42655.524594907409</v>
      </c>
      <c r="M111" s="21">
        <f>LEN(ProjTextTable[[#This Row],[text]])</f>
        <v>2100</v>
      </c>
      <c r="N111" s="21">
        <f>LEN(TRIM(CLEAN(SUBSTITUTE(ProjTextTable[[#This Row],[text]],CHAR(10)," "))))+1 - LEN(SUBSTITUTE(CLEAN(SUBSTITUTE(ProjTextTable[[#This Row],[text]],CHAR(10)," "))," ",""))</f>
        <v>330</v>
      </c>
      <c r="O111" t="s">
        <v>203</v>
      </c>
      <c r="P111" t="s">
        <v>1622</v>
      </c>
    </row>
    <row r="112" spans="1:16" x14ac:dyDescent="0.4">
      <c r="A112">
        <f t="shared" si="1"/>
        <v>16</v>
      </c>
      <c r="B112" t="s">
        <v>1057</v>
      </c>
      <c r="C112" t="s">
        <v>1058</v>
      </c>
      <c r="D112" t="s">
        <v>198</v>
      </c>
      <c r="E112" t="s">
        <v>451</v>
      </c>
      <c r="F112" t="s">
        <v>1441</v>
      </c>
      <c r="G112" t="s">
        <v>1442</v>
      </c>
      <c r="H112" t="s">
        <v>1443</v>
      </c>
      <c r="I112" t="s">
        <v>215</v>
      </c>
      <c r="J112" t="s">
        <v>178</v>
      </c>
      <c r="K112" s="30">
        <v>42661</v>
      </c>
      <c r="L112" s="8">
        <v>42658.580717592595</v>
      </c>
      <c r="M112" s="21">
        <f>LEN(ProjTextTable[[#This Row],[text]])</f>
        <v>2295</v>
      </c>
      <c r="N112" s="21">
        <f>LEN(TRIM(CLEAN(SUBSTITUTE(ProjTextTable[[#This Row],[text]],CHAR(10)," "))))+1 - LEN(SUBSTITUTE(CLEAN(SUBSTITUTE(ProjTextTable[[#This Row],[text]],CHAR(10)," "))," ",""))</f>
        <v>340</v>
      </c>
      <c r="O112" t="s">
        <v>206</v>
      </c>
      <c r="P112" t="s">
        <v>1623</v>
      </c>
    </row>
    <row r="113" spans="1:16" x14ac:dyDescent="0.4">
      <c r="A113">
        <f t="shared" si="1"/>
        <v>16</v>
      </c>
      <c r="B113" t="s">
        <v>1057</v>
      </c>
      <c r="C113" t="s">
        <v>1058</v>
      </c>
      <c r="D113" t="s">
        <v>198</v>
      </c>
      <c r="E113" t="s">
        <v>451</v>
      </c>
      <c r="F113" t="s">
        <v>1624</v>
      </c>
      <c r="G113" t="s">
        <v>1625</v>
      </c>
      <c r="H113" t="s">
        <v>1626</v>
      </c>
      <c r="I113" t="s">
        <v>178</v>
      </c>
      <c r="J113" t="s">
        <v>178</v>
      </c>
      <c r="K113" s="30">
        <v>42650</v>
      </c>
      <c r="L113" s="8">
        <v>42635.764988425923</v>
      </c>
      <c r="M113" s="21">
        <f>LEN(ProjTextTable[[#This Row],[text]])</f>
        <v>3455</v>
      </c>
      <c r="N113" s="21">
        <f>LEN(TRIM(CLEAN(SUBSTITUTE(ProjTextTable[[#This Row],[text]],CHAR(10)," "))))+1 - LEN(SUBSTITUTE(CLEAN(SUBSTITUTE(ProjTextTable[[#This Row],[text]],CHAR(10)," "))," ",""))</f>
        <v>527</v>
      </c>
      <c r="O113" t="s">
        <v>203</v>
      </c>
      <c r="P113" t="s">
        <v>1627</v>
      </c>
    </row>
    <row r="114" spans="1:16" x14ac:dyDescent="0.4">
      <c r="A114">
        <f t="shared" si="1"/>
        <v>16</v>
      </c>
      <c r="B114" t="s">
        <v>1057</v>
      </c>
      <c r="C114" t="s">
        <v>1058</v>
      </c>
      <c r="D114" t="s">
        <v>200</v>
      </c>
      <c r="E114" t="s">
        <v>451</v>
      </c>
      <c r="F114" t="s">
        <v>13</v>
      </c>
      <c r="G114" t="s">
        <v>13</v>
      </c>
      <c r="H114" t="s">
        <v>13</v>
      </c>
      <c r="K114" s="30"/>
      <c r="L114" s="8">
        <v>42572.042731481481</v>
      </c>
      <c r="M114" s="21">
        <f>LEN(ProjTextTable[[#This Row],[text]])</f>
        <v>2915</v>
      </c>
      <c r="N114" s="21">
        <f>LEN(TRIM(CLEAN(SUBSTITUTE(ProjTextTable[[#This Row],[text]],CHAR(10)," "))))+1 - LEN(SUBSTITUTE(CLEAN(SUBSTITUTE(ProjTextTable[[#This Row],[text]],CHAR(10)," "))," ",""))</f>
        <v>410</v>
      </c>
      <c r="O114" t="s">
        <v>13</v>
      </c>
      <c r="P114" t="s">
        <v>1628</v>
      </c>
    </row>
    <row r="115" spans="1:16" x14ac:dyDescent="0.4">
      <c r="A115">
        <f t="shared" si="1"/>
        <v>17</v>
      </c>
      <c r="B115" t="s">
        <v>1065</v>
      </c>
      <c r="C115" t="s">
        <v>488</v>
      </c>
      <c r="D115" t="s">
        <v>209</v>
      </c>
      <c r="E115" t="s">
        <v>422</v>
      </c>
      <c r="F115" t="s">
        <v>1425</v>
      </c>
      <c r="G115" t="s">
        <v>1426</v>
      </c>
      <c r="H115" t="s">
        <v>264</v>
      </c>
      <c r="I115" t="s">
        <v>197</v>
      </c>
      <c r="J115" t="s">
        <v>1427</v>
      </c>
      <c r="K115" s="30">
        <v>42660</v>
      </c>
      <c r="L115" s="8">
        <v>42674.358391203707</v>
      </c>
      <c r="M115" s="21">
        <f>LEN(ProjTextTable[[#This Row],[text]])</f>
        <v>4676</v>
      </c>
      <c r="N115" s="21">
        <f>LEN(TRIM(CLEAN(SUBSTITUTE(ProjTextTable[[#This Row],[text]],CHAR(10)," "))))+1 - LEN(SUBSTITUTE(CLEAN(SUBSTITUTE(ProjTextTable[[#This Row],[text]],CHAR(10)," "))," ",""))</f>
        <v>670</v>
      </c>
      <c r="O115" t="s">
        <v>263</v>
      </c>
      <c r="P115" t="s">
        <v>1629</v>
      </c>
    </row>
    <row r="116" spans="1:16" x14ac:dyDescent="0.4">
      <c r="A116">
        <f t="shared" si="1"/>
        <v>17</v>
      </c>
      <c r="B116" t="s">
        <v>1065</v>
      </c>
      <c r="C116" t="s">
        <v>488</v>
      </c>
      <c r="D116" t="s">
        <v>2</v>
      </c>
      <c r="E116" t="s">
        <v>451</v>
      </c>
      <c r="F116" t="s">
        <v>13</v>
      </c>
      <c r="G116" t="s">
        <v>1470</v>
      </c>
      <c r="H116" t="s">
        <v>13</v>
      </c>
      <c r="I116" t="s">
        <v>13</v>
      </c>
      <c r="K116" s="30"/>
      <c r="L116" s="8">
        <v>42667.539884259262</v>
      </c>
      <c r="M116" s="21">
        <f>LEN(ProjTextTable[[#This Row],[text]])</f>
        <v>3303</v>
      </c>
      <c r="N116" s="21">
        <f>LEN(TRIM(CLEAN(SUBSTITUTE(ProjTextTable[[#This Row],[text]],CHAR(10)," "))))+1 - LEN(SUBSTITUTE(CLEAN(SUBSTITUTE(ProjTextTable[[#This Row],[text]],CHAR(10)," "))," ",""))</f>
        <v>498</v>
      </c>
      <c r="O116" t="s">
        <v>13</v>
      </c>
      <c r="P116" t="s">
        <v>1630</v>
      </c>
    </row>
    <row r="117" spans="1:16" x14ac:dyDescent="0.4">
      <c r="A117">
        <f t="shared" si="1"/>
        <v>17</v>
      </c>
      <c r="B117" t="s">
        <v>1065</v>
      </c>
      <c r="C117" t="s">
        <v>488</v>
      </c>
      <c r="D117" t="s">
        <v>198</v>
      </c>
      <c r="E117" t="s">
        <v>451</v>
      </c>
      <c r="F117" t="s">
        <v>1452</v>
      </c>
      <c r="G117" t="s">
        <v>1453</v>
      </c>
      <c r="H117" t="s">
        <v>1454</v>
      </c>
      <c r="I117" t="s">
        <v>215</v>
      </c>
      <c r="J117" t="s">
        <v>178</v>
      </c>
      <c r="K117" s="30">
        <v>42661</v>
      </c>
      <c r="L117" s="8">
        <v>42658.92</v>
      </c>
      <c r="M117" s="21">
        <f>LEN(ProjTextTable[[#This Row],[text]])</f>
        <v>5559</v>
      </c>
      <c r="N117" s="21">
        <f>LEN(TRIM(CLEAN(SUBSTITUTE(ProjTextTable[[#This Row],[text]],CHAR(10)," "))))+1 - LEN(SUBSTITUTE(CLEAN(SUBSTITUTE(ProjTextTable[[#This Row],[text]],CHAR(10)," "))," ",""))</f>
        <v>880</v>
      </c>
      <c r="O117" t="s">
        <v>199</v>
      </c>
      <c r="P117" t="s">
        <v>1631</v>
      </c>
    </row>
    <row r="118" spans="1:16" x14ac:dyDescent="0.4">
      <c r="A118">
        <f t="shared" si="1"/>
        <v>17</v>
      </c>
      <c r="B118" t="s">
        <v>1065</v>
      </c>
      <c r="C118" t="s">
        <v>488</v>
      </c>
      <c r="D118" t="s">
        <v>198</v>
      </c>
      <c r="E118" t="s">
        <v>451</v>
      </c>
      <c r="F118" t="s">
        <v>1456</v>
      </c>
      <c r="G118" t="s">
        <v>1457</v>
      </c>
      <c r="H118" t="s">
        <v>1458</v>
      </c>
      <c r="I118" t="s">
        <v>215</v>
      </c>
      <c r="J118" t="s">
        <v>178</v>
      </c>
      <c r="K118" s="30">
        <v>42661</v>
      </c>
      <c r="L118" s="8">
        <v>42660.885925925926</v>
      </c>
      <c r="M118" s="21">
        <f>LEN(ProjTextTable[[#This Row],[text]])</f>
        <v>2490</v>
      </c>
      <c r="N118" s="21">
        <f>LEN(TRIM(CLEAN(SUBSTITUTE(ProjTextTable[[#This Row],[text]],CHAR(10)," "))))+1 - LEN(SUBSTITUTE(CLEAN(SUBSTITUTE(ProjTextTable[[#This Row],[text]],CHAR(10)," "))," ",""))</f>
        <v>387</v>
      </c>
      <c r="O118" t="s">
        <v>203</v>
      </c>
      <c r="P118" t="s">
        <v>1632</v>
      </c>
    </row>
    <row r="119" spans="1:16" x14ac:dyDescent="0.4">
      <c r="A119">
        <f t="shared" si="1"/>
        <v>17</v>
      </c>
      <c r="B119" t="s">
        <v>1065</v>
      </c>
      <c r="C119" t="s">
        <v>488</v>
      </c>
      <c r="D119" t="s">
        <v>198</v>
      </c>
      <c r="E119" t="s">
        <v>451</v>
      </c>
      <c r="F119" t="s">
        <v>1633</v>
      </c>
      <c r="G119" t="s">
        <v>1634</v>
      </c>
      <c r="H119" t="s">
        <v>1635</v>
      </c>
      <c r="I119" t="s">
        <v>178</v>
      </c>
      <c r="J119" t="s">
        <v>178</v>
      </c>
      <c r="K119" s="30">
        <v>42650</v>
      </c>
      <c r="L119" s="8">
        <v>42628.852106481485</v>
      </c>
      <c r="M119" s="21">
        <f>LEN(ProjTextTable[[#This Row],[text]])</f>
        <v>3938</v>
      </c>
      <c r="N119" s="21">
        <f>LEN(TRIM(CLEAN(SUBSTITUTE(ProjTextTable[[#This Row],[text]],CHAR(10)," "))))+1 - LEN(SUBSTITUTE(CLEAN(SUBSTITUTE(ProjTextTable[[#This Row],[text]],CHAR(10)," "))," ",""))</f>
        <v>579</v>
      </c>
      <c r="O119" t="s">
        <v>206</v>
      </c>
      <c r="P119" t="s">
        <v>1636</v>
      </c>
    </row>
    <row r="120" spans="1:16" x14ac:dyDescent="0.4">
      <c r="A120">
        <f t="shared" si="1"/>
        <v>17</v>
      </c>
      <c r="B120" t="s">
        <v>1065</v>
      </c>
      <c r="C120" t="s">
        <v>488</v>
      </c>
      <c r="D120" t="s">
        <v>198</v>
      </c>
      <c r="E120" t="s">
        <v>451</v>
      </c>
      <c r="F120" t="s">
        <v>1445</v>
      </c>
      <c r="G120" t="s">
        <v>1446</v>
      </c>
      <c r="H120" t="s">
        <v>1447</v>
      </c>
      <c r="I120" t="s">
        <v>215</v>
      </c>
      <c r="J120" t="s">
        <v>178</v>
      </c>
      <c r="K120" s="30">
        <v>42661</v>
      </c>
      <c r="L120" s="8">
        <v>42658.730358796296</v>
      </c>
      <c r="M120" s="21">
        <f>LEN(ProjTextTable[[#This Row],[text]])</f>
        <v>4326</v>
      </c>
      <c r="N120" s="21">
        <f>LEN(TRIM(CLEAN(SUBSTITUTE(ProjTextTable[[#This Row],[text]],CHAR(10)," "))))+1 - LEN(SUBSTITUTE(CLEAN(SUBSTITUTE(ProjTextTable[[#This Row],[text]],CHAR(10)," "))," ",""))</f>
        <v>633</v>
      </c>
      <c r="O120" t="s">
        <v>202</v>
      </c>
      <c r="P120" t="s">
        <v>1637</v>
      </c>
    </row>
    <row r="121" spans="1:16" x14ac:dyDescent="0.4">
      <c r="A121">
        <f t="shared" si="1"/>
        <v>17</v>
      </c>
      <c r="B121" t="s">
        <v>1065</v>
      </c>
      <c r="C121" t="s">
        <v>488</v>
      </c>
      <c r="D121" t="s">
        <v>200</v>
      </c>
      <c r="E121" t="s">
        <v>451</v>
      </c>
      <c r="F121" t="s">
        <v>13</v>
      </c>
      <c r="G121" t="s">
        <v>13</v>
      </c>
      <c r="H121" t="s">
        <v>13</v>
      </c>
      <c r="K121" s="30"/>
      <c r="L121" s="8">
        <v>42572.042754629627</v>
      </c>
      <c r="M121" s="21">
        <f>LEN(ProjTextTable[[#This Row],[text]])</f>
        <v>4425</v>
      </c>
      <c r="N121" s="21">
        <f>LEN(TRIM(CLEAN(SUBSTITUTE(ProjTextTable[[#This Row],[text]],CHAR(10)," "))))+1 - LEN(SUBSTITUTE(CLEAN(SUBSTITUTE(ProjTextTable[[#This Row],[text]],CHAR(10)," "))," ",""))</f>
        <v>647</v>
      </c>
      <c r="O121" t="s">
        <v>13</v>
      </c>
      <c r="P121" t="s">
        <v>1638</v>
      </c>
    </row>
    <row r="122" spans="1:16" x14ac:dyDescent="0.4">
      <c r="A122">
        <f t="shared" si="1"/>
        <v>18</v>
      </c>
      <c r="B122" t="s">
        <v>1066</v>
      </c>
      <c r="C122" t="s">
        <v>1067</v>
      </c>
      <c r="D122" t="s">
        <v>209</v>
      </c>
      <c r="E122" t="s">
        <v>422</v>
      </c>
      <c r="F122" t="s">
        <v>1425</v>
      </c>
      <c r="G122" t="s">
        <v>1426</v>
      </c>
      <c r="H122" t="s">
        <v>212</v>
      </c>
      <c r="I122" t="s">
        <v>201</v>
      </c>
      <c r="J122" t="s">
        <v>1577</v>
      </c>
      <c r="K122" s="30">
        <v>42660</v>
      </c>
      <c r="L122" s="8">
        <v>42723.518437500003</v>
      </c>
      <c r="M122" s="21">
        <f>LEN(ProjTextTable[[#This Row],[text]])</f>
        <v>2431</v>
      </c>
      <c r="N122" s="21">
        <f>LEN(TRIM(CLEAN(SUBSTITUTE(ProjTextTable[[#This Row],[text]],CHAR(10)," "))))+1 - LEN(SUBSTITUTE(CLEAN(SUBSTITUTE(ProjTextTable[[#This Row],[text]],CHAR(10)," "))," ",""))</f>
        <v>339</v>
      </c>
      <c r="O122" t="s">
        <v>213</v>
      </c>
      <c r="P122" t="s">
        <v>1639</v>
      </c>
    </row>
    <row r="123" spans="1:16" x14ac:dyDescent="0.4">
      <c r="A123">
        <f t="shared" si="1"/>
        <v>18</v>
      </c>
      <c r="B123" t="s">
        <v>1066</v>
      </c>
      <c r="C123" t="s">
        <v>1067</v>
      </c>
      <c r="D123" t="s">
        <v>908</v>
      </c>
      <c r="E123" t="s">
        <v>422</v>
      </c>
      <c r="F123" t="s">
        <v>13</v>
      </c>
      <c r="G123" t="s">
        <v>909</v>
      </c>
      <c r="H123" t="s">
        <v>13</v>
      </c>
      <c r="I123" t="s">
        <v>13</v>
      </c>
      <c r="K123" s="30"/>
      <c r="L123" s="8">
        <v>42704.688159722224</v>
      </c>
      <c r="M123" s="21">
        <f>LEN(ProjTextTable[[#This Row],[text]])</f>
        <v>2176</v>
      </c>
      <c r="N123" s="21">
        <f>LEN(TRIM(CLEAN(SUBSTITUTE(ProjTextTable[[#This Row],[text]],CHAR(10)," "))))+1 - LEN(SUBSTITUTE(CLEAN(SUBSTITUTE(ProjTextTable[[#This Row],[text]],CHAR(10)," "))," ",""))</f>
        <v>321</v>
      </c>
      <c r="O123" t="s">
        <v>13</v>
      </c>
      <c r="P123" t="s">
        <v>1640</v>
      </c>
    </row>
    <row r="124" spans="1:16" x14ac:dyDescent="0.4">
      <c r="A124">
        <f t="shared" si="1"/>
        <v>18</v>
      </c>
      <c r="B124" t="s">
        <v>1066</v>
      </c>
      <c r="C124" t="s">
        <v>1067</v>
      </c>
      <c r="D124" t="s">
        <v>198</v>
      </c>
      <c r="E124" t="s">
        <v>422</v>
      </c>
      <c r="F124" t="s">
        <v>1433</v>
      </c>
      <c r="G124" t="s">
        <v>1434</v>
      </c>
      <c r="H124" t="s">
        <v>1435</v>
      </c>
      <c r="I124" t="s">
        <v>215</v>
      </c>
      <c r="J124" t="s">
        <v>178</v>
      </c>
      <c r="K124" s="30">
        <v>42661</v>
      </c>
      <c r="L124" s="8">
        <v>42659.553888888891</v>
      </c>
      <c r="M124" s="21">
        <f>LEN(ProjTextTable[[#This Row],[text]])</f>
        <v>2609</v>
      </c>
      <c r="N124" s="21">
        <f>LEN(TRIM(CLEAN(SUBSTITUTE(ProjTextTable[[#This Row],[text]],CHAR(10)," "))))+1 - LEN(SUBSTITUTE(CLEAN(SUBSTITUTE(ProjTextTable[[#This Row],[text]],CHAR(10)," "))," ",""))</f>
        <v>418</v>
      </c>
      <c r="O124" t="s">
        <v>203</v>
      </c>
      <c r="P124" t="s">
        <v>1641</v>
      </c>
    </row>
    <row r="125" spans="1:16" x14ac:dyDescent="0.4">
      <c r="A125">
        <f t="shared" si="1"/>
        <v>18</v>
      </c>
      <c r="B125" t="s">
        <v>1066</v>
      </c>
      <c r="C125" t="s">
        <v>1067</v>
      </c>
      <c r="D125" t="s">
        <v>198</v>
      </c>
      <c r="E125" t="s">
        <v>422</v>
      </c>
      <c r="F125" t="s">
        <v>1642</v>
      </c>
      <c r="G125" t="s">
        <v>1643</v>
      </c>
      <c r="H125" t="s">
        <v>1644</v>
      </c>
      <c r="I125" t="s">
        <v>178</v>
      </c>
      <c r="J125" t="s">
        <v>178</v>
      </c>
      <c r="K125" s="30">
        <v>42655</v>
      </c>
      <c r="L125" s="8">
        <v>42660.07304398148</v>
      </c>
      <c r="M125" s="21">
        <f>LEN(ProjTextTable[[#This Row],[text]])</f>
        <v>4864</v>
      </c>
      <c r="N125" s="21">
        <f>LEN(TRIM(CLEAN(SUBSTITUTE(ProjTextTable[[#This Row],[text]],CHAR(10)," "))))+1 - LEN(SUBSTITUTE(CLEAN(SUBSTITUTE(ProjTextTable[[#This Row],[text]],CHAR(10)," "))," ",""))</f>
        <v>740</v>
      </c>
      <c r="O125" t="s">
        <v>203</v>
      </c>
      <c r="P125" t="s">
        <v>1645</v>
      </c>
    </row>
    <row r="126" spans="1:16" x14ac:dyDescent="0.4">
      <c r="A126">
        <f t="shared" si="1"/>
        <v>18</v>
      </c>
      <c r="B126" t="s">
        <v>1066</v>
      </c>
      <c r="C126" t="s">
        <v>1067</v>
      </c>
      <c r="D126" t="s">
        <v>198</v>
      </c>
      <c r="E126" t="s">
        <v>422</v>
      </c>
      <c r="F126" t="s">
        <v>1476</v>
      </c>
      <c r="G126" t="s">
        <v>1477</v>
      </c>
      <c r="H126" t="s">
        <v>1478</v>
      </c>
      <c r="I126" t="s">
        <v>215</v>
      </c>
      <c r="J126" t="s">
        <v>178</v>
      </c>
      <c r="K126" s="30">
        <v>42661</v>
      </c>
      <c r="L126" s="8">
        <v>42659.838576388887</v>
      </c>
      <c r="M126" s="21">
        <f>LEN(ProjTextTable[[#This Row],[text]])</f>
        <v>1860</v>
      </c>
      <c r="N126" s="21">
        <f>LEN(TRIM(CLEAN(SUBSTITUTE(ProjTextTable[[#This Row],[text]],CHAR(10)," "))))+1 - LEN(SUBSTITUTE(CLEAN(SUBSTITUTE(ProjTextTable[[#This Row],[text]],CHAR(10)," "))," ",""))</f>
        <v>270</v>
      </c>
      <c r="O126" t="s">
        <v>202</v>
      </c>
      <c r="P126" t="s">
        <v>1646</v>
      </c>
    </row>
    <row r="127" spans="1:16" x14ac:dyDescent="0.4">
      <c r="A127">
        <f t="shared" si="1"/>
        <v>18</v>
      </c>
      <c r="B127" t="s">
        <v>1066</v>
      </c>
      <c r="C127" t="s">
        <v>1067</v>
      </c>
      <c r="D127" t="s">
        <v>198</v>
      </c>
      <c r="E127" t="s">
        <v>422</v>
      </c>
      <c r="F127" t="s">
        <v>1437</v>
      </c>
      <c r="G127" t="s">
        <v>1438</v>
      </c>
      <c r="H127" t="s">
        <v>1439</v>
      </c>
      <c r="I127" t="s">
        <v>215</v>
      </c>
      <c r="J127" t="s">
        <v>178</v>
      </c>
      <c r="K127" s="30">
        <v>42661</v>
      </c>
      <c r="L127" s="8">
        <v>42657.528194444443</v>
      </c>
      <c r="M127" s="21">
        <f>LEN(ProjTextTable[[#This Row],[text]])</f>
        <v>3064</v>
      </c>
      <c r="N127" s="21">
        <f>LEN(TRIM(CLEAN(SUBSTITUTE(ProjTextTable[[#This Row],[text]],CHAR(10)," "))))+1 - LEN(SUBSTITUTE(CLEAN(SUBSTITUTE(ProjTextTable[[#This Row],[text]],CHAR(10)," "))," ",""))</f>
        <v>483</v>
      </c>
      <c r="O127" t="s">
        <v>203</v>
      </c>
      <c r="P127" t="s">
        <v>1647</v>
      </c>
    </row>
    <row r="128" spans="1:16" x14ac:dyDescent="0.4">
      <c r="A128">
        <f t="shared" si="1"/>
        <v>18</v>
      </c>
      <c r="B128" t="s">
        <v>1066</v>
      </c>
      <c r="C128" t="s">
        <v>1067</v>
      </c>
      <c r="D128" t="s">
        <v>198</v>
      </c>
      <c r="E128" t="s">
        <v>422</v>
      </c>
      <c r="F128" t="s">
        <v>1441</v>
      </c>
      <c r="G128" t="s">
        <v>1442</v>
      </c>
      <c r="H128" t="s">
        <v>1443</v>
      </c>
      <c r="I128" t="s">
        <v>215</v>
      </c>
      <c r="J128" t="s">
        <v>178</v>
      </c>
      <c r="K128" s="30">
        <v>42661</v>
      </c>
      <c r="L128" s="8">
        <v>42659.306018518517</v>
      </c>
      <c r="M128" s="21">
        <f>LEN(ProjTextTable[[#This Row],[text]])</f>
        <v>2081</v>
      </c>
      <c r="N128" s="21">
        <f>LEN(TRIM(CLEAN(SUBSTITUTE(ProjTextTable[[#This Row],[text]],CHAR(10)," "))))+1 - LEN(SUBSTITUTE(CLEAN(SUBSTITUTE(ProjTextTable[[#This Row],[text]],CHAR(10)," "))," ",""))</f>
        <v>311</v>
      </c>
      <c r="O128" t="s">
        <v>206</v>
      </c>
      <c r="P128" t="s">
        <v>1648</v>
      </c>
    </row>
    <row r="129" spans="1:16" x14ac:dyDescent="0.4">
      <c r="A129">
        <f t="shared" si="1"/>
        <v>18</v>
      </c>
      <c r="B129" t="s">
        <v>1066</v>
      </c>
      <c r="C129" t="s">
        <v>1067</v>
      </c>
      <c r="D129" t="s">
        <v>200</v>
      </c>
      <c r="E129" t="s">
        <v>422</v>
      </c>
      <c r="F129" t="s">
        <v>13</v>
      </c>
      <c r="G129" t="s">
        <v>13</v>
      </c>
      <c r="H129" t="s">
        <v>13</v>
      </c>
      <c r="K129" s="30"/>
      <c r="L129" s="8">
        <v>42572.042766203704</v>
      </c>
      <c r="M129" s="21">
        <f>LEN(ProjTextTable[[#This Row],[text]])</f>
        <v>4177</v>
      </c>
      <c r="N129" s="21">
        <f>LEN(TRIM(CLEAN(SUBSTITUTE(ProjTextTable[[#This Row],[text]],CHAR(10)," "))))+1 - LEN(SUBSTITUTE(CLEAN(SUBSTITUTE(ProjTextTable[[#This Row],[text]],CHAR(10)," "))," ",""))</f>
        <v>611</v>
      </c>
      <c r="O129" t="s">
        <v>13</v>
      </c>
      <c r="P129" t="s">
        <v>1649</v>
      </c>
    </row>
    <row r="130" spans="1:16" x14ac:dyDescent="0.4">
      <c r="A130">
        <f t="shared" ref="A130:A193" si="2">A129+(B130&lt;&gt;B129)</f>
        <v>19</v>
      </c>
      <c r="B130" t="s">
        <v>1072</v>
      </c>
      <c r="C130" t="s">
        <v>1073</v>
      </c>
      <c r="D130" t="s">
        <v>209</v>
      </c>
      <c r="E130" t="s">
        <v>422</v>
      </c>
      <c r="F130" t="s">
        <v>1425</v>
      </c>
      <c r="G130" t="s">
        <v>1426</v>
      </c>
      <c r="H130" t="s">
        <v>259</v>
      </c>
      <c r="I130" t="s">
        <v>95</v>
      </c>
      <c r="J130" t="s">
        <v>95</v>
      </c>
      <c r="K130" s="30">
        <v>42660</v>
      </c>
      <c r="L130" s="8">
        <v>42709.709513888891</v>
      </c>
      <c r="M130" s="21">
        <f>LEN(ProjTextTable[[#This Row],[text]])</f>
        <v>4363</v>
      </c>
      <c r="N130" s="21">
        <f>LEN(TRIM(CLEAN(SUBSTITUTE(ProjTextTable[[#This Row],[text]],CHAR(10)," "))))+1 - LEN(SUBSTITUTE(CLEAN(SUBSTITUTE(ProjTextTable[[#This Row],[text]],CHAR(10)," "))," ",""))</f>
        <v>626</v>
      </c>
      <c r="O130" t="s">
        <v>257</v>
      </c>
      <c r="P130" t="s">
        <v>1650</v>
      </c>
    </row>
    <row r="131" spans="1:16" x14ac:dyDescent="0.4">
      <c r="A131">
        <f t="shared" si="2"/>
        <v>19</v>
      </c>
      <c r="B131" t="s">
        <v>1072</v>
      </c>
      <c r="C131" t="s">
        <v>1073</v>
      </c>
      <c r="D131" t="s">
        <v>908</v>
      </c>
      <c r="E131" t="s">
        <v>422</v>
      </c>
      <c r="F131" t="s">
        <v>13</v>
      </c>
      <c r="G131" t="s">
        <v>909</v>
      </c>
      <c r="H131" t="s">
        <v>13</v>
      </c>
      <c r="I131" t="s">
        <v>13</v>
      </c>
      <c r="K131" s="30"/>
      <c r="L131" s="8">
        <v>42689.529317129629</v>
      </c>
      <c r="M131" s="21">
        <f>LEN(ProjTextTable[[#This Row],[text]])</f>
        <v>2840</v>
      </c>
      <c r="N131" s="21">
        <f>LEN(TRIM(CLEAN(SUBSTITUTE(ProjTextTable[[#This Row],[text]],CHAR(10)," "))))+1 - LEN(SUBSTITUTE(CLEAN(SUBSTITUTE(ProjTextTable[[#This Row],[text]],CHAR(10)," "))," ",""))</f>
        <v>402</v>
      </c>
      <c r="O131" t="s">
        <v>13</v>
      </c>
      <c r="P131" t="s">
        <v>1651</v>
      </c>
    </row>
    <row r="132" spans="1:16" x14ac:dyDescent="0.4">
      <c r="A132">
        <f t="shared" si="2"/>
        <v>19</v>
      </c>
      <c r="B132" t="s">
        <v>1072</v>
      </c>
      <c r="C132" t="s">
        <v>1073</v>
      </c>
      <c r="D132" t="s">
        <v>198</v>
      </c>
      <c r="E132" t="s">
        <v>422</v>
      </c>
      <c r="F132" t="s">
        <v>1652</v>
      </c>
      <c r="G132" t="s">
        <v>1653</v>
      </c>
      <c r="H132" t="s">
        <v>1654</v>
      </c>
      <c r="I132" t="s">
        <v>178</v>
      </c>
      <c r="J132" t="s">
        <v>178</v>
      </c>
      <c r="K132" s="30">
        <v>42655</v>
      </c>
      <c r="L132" s="8">
        <v>42656.044745370367</v>
      </c>
      <c r="M132" s="21">
        <f>LEN(ProjTextTable[[#This Row],[text]])</f>
        <v>4526</v>
      </c>
      <c r="N132" s="21">
        <f>LEN(TRIM(CLEAN(SUBSTITUTE(ProjTextTable[[#This Row],[text]],CHAR(10)," "))))+1 - LEN(SUBSTITUTE(CLEAN(SUBSTITUTE(ProjTextTable[[#This Row],[text]],CHAR(10)," "))," ",""))</f>
        <v>662</v>
      </c>
      <c r="O132" t="s">
        <v>202</v>
      </c>
      <c r="P132" t="s">
        <v>1655</v>
      </c>
    </row>
    <row r="133" spans="1:16" x14ac:dyDescent="0.4">
      <c r="A133">
        <f t="shared" si="2"/>
        <v>19</v>
      </c>
      <c r="B133" t="s">
        <v>1072</v>
      </c>
      <c r="C133" t="s">
        <v>1073</v>
      </c>
      <c r="D133" t="s">
        <v>198</v>
      </c>
      <c r="E133" t="s">
        <v>422</v>
      </c>
      <c r="F133" t="s">
        <v>1452</v>
      </c>
      <c r="G133" t="s">
        <v>1453</v>
      </c>
      <c r="H133" t="s">
        <v>1454</v>
      </c>
      <c r="I133" t="s">
        <v>215</v>
      </c>
      <c r="J133" t="s">
        <v>178</v>
      </c>
      <c r="K133" s="30">
        <v>42661</v>
      </c>
      <c r="L133" s="8">
        <v>42658.829224537039</v>
      </c>
      <c r="M133" s="21">
        <f>LEN(ProjTextTable[[#This Row],[text]])</f>
        <v>3521</v>
      </c>
      <c r="N133" s="21">
        <f>LEN(TRIM(CLEAN(SUBSTITUTE(ProjTextTable[[#This Row],[text]],CHAR(10)," "))))+1 - LEN(SUBSTITUTE(CLEAN(SUBSTITUTE(ProjTextTable[[#This Row],[text]],CHAR(10)," "))," ",""))</f>
        <v>545</v>
      </c>
      <c r="O133" t="s">
        <v>202</v>
      </c>
      <c r="P133" t="s">
        <v>1656</v>
      </c>
    </row>
    <row r="134" spans="1:16" x14ac:dyDescent="0.4">
      <c r="A134">
        <f t="shared" si="2"/>
        <v>19</v>
      </c>
      <c r="B134" t="s">
        <v>1072</v>
      </c>
      <c r="C134" t="s">
        <v>1073</v>
      </c>
      <c r="D134" t="s">
        <v>198</v>
      </c>
      <c r="E134" t="s">
        <v>422</v>
      </c>
      <c r="F134" t="s">
        <v>1433</v>
      </c>
      <c r="G134" t="s">
        <v>1434</v>
      </c>
      <c r="H134" t="s">
        <v>1435</v>
      </c>
      <c r="I134" t="s">
        <v>215</v>
      </c>
      <c r="J134" t="s">
        <v>178</v>
      </c>
      <c r="K134" s="30">
        <v>42661</v>
      </c>
      <c r="L134" s="8">
        <v>42659.771597222221</v>
      </c>
      <c r="M134" s="21">
        <f>LEN(ProjTextTable[[#This Row],[text]])</f>
        <v>2428</v>
      </c>
      <c r="N134" s="21">
        <f>LEN(TRIM(CLEAN(SUBSTITUTE(ProjTextTable[[#This Row],[text]],CHAR(10)," "))))+1 - LEN(SUBSTITUTE(CLEAN(SUBSTITUTE(ProjTextTable[[#This Row],[text]],CHAR(10)," "))," ",""))</f>
        <v>382</v>
      </c>
      <c r="O134" t="s">
        <v>202</v>
      </c>
      <c r="P134" t="s">
        <v>1657</v>
      </c>
    </row>
    <row r="135" spans="1:16" x14ac:dyDescent="0.4">
      <c r="A135">
        <f t="shared" si="2"/>
        <v>19</v>
      </c>
      <c r="B135" t="s">
        <v>1072</v>
      </c>
      <c r="C135" t="s">
        <v>1073</v>
      </c>
      <c r="D135" t="s">
        <v>198</v>
      </c>
      <c r="E135" t="s">
        <v>422</v>
      </c>
      <c r="F135" t="s">
        <v>1532</v>
      </c>
      <c r="G135" t="s">
        <v>1533</v>
      </c>
      <c r="H135" t="s">
        <v>1534</v>
      </c>
      <c r="I135" t="s">
        <v>215</v>
      </c>
      <c r="J135" t="s">
        <v>178</v>
      </c>
      <c r="K135" s="30">
        <v>42661</v>
      </c>
      <c r="L135" s="8">
        <v>42659.557951388888</v>
      </c>
      <c r="M135" s="21">
        <f>LEN(ProjTextTable[[#This Row],[text]])</f>
        <v>3006</v>
      </c>
      <c r="N135" s="21">
        <f>LEN(TRIM(CLEAN(SUBSTITUTE(ProjTextTable[[#This Row],[text]],CHAR(10)," "))))+1 - LEN(SUBSTITUTE(CLEAN(SUBSTITUTE(ProjTextTable[[#This Row],[text]],CHAR(10)," "))," ",""))</f>
        <v>454</v>
      </c>
      <c r="O135" t="s">
        <v>203</v>
      </c>
      <c r="P135" t="s">
        <v>1658</v>
      </c>
    </row>
    <row r="136" spans="1:16" x14ac:dyDescent="0.4">
      <c r="A136">
        <f t="shared" si="2"/>
        <v>19</v>
      </c>
      <c r="B136" t="s">
        <v>1072</v>
      </c>
      <c r="C136" t="s">
        <v>1073</v>
      </c>
      <c r="D136" t="s">
        <v>200</v>
      </c>
      <c r="E136" t="s">
        <v>422</v>
      </c>
      <c r="F136" t="s">
        <v>13</v>
      </c>
      <c r="G136" t="s">
        <v>13</v>
      </c>
      <c r="H136" t="s">
        <v>13</v>
      </c>
      <c r="K136" s="30"/>
      <c r="L136" s="8">
        <v>42572.042812500003</v>
      </c>
      <c r="M136" s="21">
        <f>LEN(ProjTextTable[[#This Row],[text]])</f>
        <v>4100</v>
      </c>
      <c r="N136" s="21">
        <f>LEN(TRIM(CLEAN(SUBSTITUTE(ProjTextTable[[#This Row],[text]],CHAR(10)," "))))+1 - LEN(SUBSTITUTE(CLEAN(SUBSTITUTE(ProjTextTable[[#This Row],[text]],CHAR(10)," "))," ",""))</f>
        <v>569</v>
      </c>
      <c r="O136" t="s">
        <v>13</v>
      </c>
      <c r="P136" t="s">
        <v>1659</v>
      </c>
    </row>
    <row r="137" spans="1:16" x14ac:dyDescent="0.4">
      <c r="A137">
        <f t="shared" si="2"/>
        <v>20</v>
      </c>
      <c r="B137" t="s">
        <v>1079</v>
      </c>
      <c r="C137" t="s">
        <v>1080</v>
      </c>
      <c r="D137" t="s">
        <v>209</v>
      </c>
      <c r="E137" t="s">
        <v>422</v>
      </c>
      <c r="F137" t="s">
        <v>1425</v>
      </c>
      <c r="G137" t="s">
        <v>1426</v>
      </c>
      <c r="H137" t="s">
        <v>212</v>
      </c>
      <c r="I137" t="s">
        <v>201</v>
      </c>
      <c r="J137" t="s">
        <v>1450</v>
      </c>
      <c r="K137" s="30">
        <v>42660</v>
      </c>
      <c r="L137" s="8">
        <v>42683.674259259256</v>
      </c>
      <c r="M137" s="21">
        <f>LEN(ProjTextTable[[#This Row],[text]])</f>
        <v>3443</v>
      </c>
      <c r="N137" s="21">
        <f>LEN(TRIM(CLEAN(SUBSTITUTE(ProjTextTable[[#This Row],[text]],CHAR(10)," "))))+1 - LEN(SUBSTITUTE(CLEAN(SUBSTITUTE(ProjTextTable[[#This Row],[text]],CHAR(10)," "))," ",""))</f>
        <v>504</v>
      </c>
      <c r="O137" t="s">
        <v>213</v>
      </c>
      <c r="P137" t="s">
        <v>1660</v>
      </c>
    </row>
    <row r="138" spans="1:16" x14ac:dyDescent="0.4">
      <c r="A138">
        <f t="shared" si="2"/>
        <v>20</v>
      </c>
      <c r="B138" t="s">
        <v>1079</v>
      </c>
      <c r="C138" t="s">
        <v>1080</v>
      </c>
      <c r="D138" t="s">
        <v>198</v>
      </c>
      <c r="E138" t="s">
        <v>422</v>
      </c>
      <c r="F138" t="s">
        <v>1433</v>
      </c>
      <c r="G138" t="s">
        <v>1434</v>
      </c>
      <c r="H138" t="s">
        <v>1435</v>
      </c>
      <c r="I138" t="s">
        <v>215</v>
      </c>
      <c r="J138" t="s">
        <v>178</v>
      </c>
      <c r="K138" s="30">
        <v>42661</v>
      </c>
      <c r="L138" s="8">
        <v>42659.762546296297</v>
      </c>
      <c r="M138" s="21">
        <f>LEN(ProjTextTable[[#This Row],[text]])</f>
        <v>2717</v>
      </c>
      <c r="N138" s="21">
        <f>LEN(TRIM(CLEAN(SUBSTITUTE(ProjTextTable[[#This Row],[text]],CHAR(10)," "))))+1 - LEN(SUBSTITUTE(CLEAN(SUBSTITUTE(ProjTextTable[[#This Row],[text]],CHAR(10)," "))," ",""))</f>
        <v>436</v>
      </c>
      <c r="O138" t="s">
        <v>206</v>
      </c>
      <c r="P138" t="s">
        <v>1661</v>
      </c>
    </row>
    <row r="139" spans="1:16" x14ac:dyDescent="0.4">
      <c r="A139">
        <f t="shared" si="2"/>
        <v>20</v>
      </c>
      <c r="B139" t="s">
        <v>1079</v>
      </c>
      <c r="C139" t="s">
        <v>1080</v>
      </c>
      <c r="D139" t="s">
        <v>198</v>
      </c>
      <c r="E139" t="s">
        <v>422</v>
      </c>
      <c r="F139" t="s">
        <v>1532</v>
      </c>
      <c r="G139" t="s">
        <v>1533</v>
      </c>
      <c r="H139" t="s">
        <v>1534</v>
      </c>
      <c r="I139" t="s">
        <v>215</v>
      </c>
      <c r="J139" t="s">
        <v>178</v>
      </c>
      <c r="K139" s="30">
        <v>42661</v>
      </c>
      <c r="L139" s="8">
        <v>42661.844363425924</v>
      </c>
      <c r="M139" s="21">
        <f>LEN(ProjTextTable[[#This Row],[text]])</f>
        <v>3428</v>
      </c>
      <c r="N139" s="21">
        <f>LEN(TRIM(CLEAN(SUBSTITUTE(ProjTextTable[[#This Row],[text]],CHAR(10)," "))))+1 - LEN(SUBSTITUTE(CLEAN(SUBSTITUTE(ProjTextTable[[#This Row],[text]],CHAR(10)," "))," ",""))</f>
        <v>523</v>
      </c>
      <c r="O139" t="s">
        <v>203</v>
      </c>
      <c r="P139" t="s">
        <v>1662</v>
      </c>
    </row>
    <row r="140" spans="1:16" x14ac:dyDescent="0.4">
      <c r="A140">
        <f t="shared" si="2"/>
        <v>20</v>
      </c>
      <c r="B140" t="s">
        <v>1079</v>
      </c>
      <c r="C140" t="s">
        <v>1080</v>
      </c>
      <c r="D140" t="s">
        <v>198</v>
      </c>
      <c r="E140" t="s">
        <v>422</v>
      </c>
      <c r="F140" t="s">
        <v>1663</v>
      </c>
      <c r="G140" t="s">
        <v>1321</v>
      </c>
      <c r="H140" t="s">
        <v>1323</v>
      </c>
      <c r="I140" t="s">
        <v>178</v>
      </c>
      <c r="J140" t="s">
        <v>178</v>
      </c>
      <c r="K140" s="30">
        <v>42655</v>
      </c>
      <c r="L140" s="8">
        <v>42647.597453703704</v>
      </c>
      <c r="M140" s="21">
        <f>LEN(ProjTextTable[[#This Row],[text]])</f>
        <v>6927</v>
      </c>
      <c r="N140" s="21">
        <f>LEN(TRIM(CLEAN(SUBSTITUTE(ProjTextTable[[#This Row],[text]],CHAR(10)," "))))+1 - LEN(SUBSTITUTE(CLEAN(SUBSTITUTE(ProjTextTable[[#This Row],[text]],CHAR(10)," "))," ",""))</f>
        <v>1125</v>
      </c>
      <c r="O140" t="s">
        <v>203</v>
      </c>
      <c r="P140" t="s">
        <v>1664</v>
      </c>
    </row>
    <row r="141" spans="1:16" x14ac:dyDescent="0.4">
      <c r="A141">
        <f t="shared" si="2"/>
        <v>20</v>
      </c>
      <c r="B141" t="s">
        <v>1079</v>
      </c>
      <c r="C141" t="s">
        <v>1080</v>
      </c>
      <c r="D141" t="s">
        <v>198</v>
      </c>
      <c r="E141" t="s">
        <v>422</v>
      </c>
      <c r="F141" t="s">
        <v>1481</v>
      </c>
      <c r="G141" t="s">
        <v>1482</v>
      </c>
      <c r="H141" t="s">
        <v>1483</v>
      </c>
      <c r="I141" t="s">
        <v>215</v>
      </c>
      <c r="J141" t="s">
        <v>178</v>
      </c>
      <c r="K141" s="30">
        <v>42661</v>
      </c>
      <c r="L141" s="8">
        <v>42659.576944444445</v>
      </c>
      <c r="M141" s="21">
        <f>LEN(ProjTextTable[[#This Row],[text]])</f>
        <v>1880</v>
      </c>
      <c r="N141" s="21">
        <f>LEN(TRIM(CLEAN(SUBSTITUTE(ProjTextTable[[#This Row],[text]],CHAR(10)," "))))+1 - LEN(SUBSTITUTE(CLEAN(SUBSTITUTE(ProjTextTable[[#This Row],[text]],CHAR(10)," "))," ",""))</f>
        <v>279</v>
      </c>
      <c r="O141" t="s">
        <v>203</v>
      </c>
      <c r="P141" t="s">
        <v>1665</v>
      </c>
    </row>
    <row r="142" spans="1:16" x14ac:dyDescent="0.4">
      <c r="A142">
        <f t="shared" si="2"/>
        <v>20</v>
      </c>
      <c r="B142" t="s">
        <v>1079</v>
      </c>
      <c r="C142" t="s">
        <v>1080</v>
      </c>
      <c r="D142" t="s">
        <v>200</v>
      </c>
      <c r="E142" t="s">
        <v>422</v>
      </c>
      <c r="F142" t="s">
        <v>13</v>
      </c>
      <c r="G142" t="s">
        <v>13</v>
      </c>
      <c r="H142" t="s">
        <v>13</v>
      </c>
      <c r="K142" s="30"/>
      <c r="L142" s="8">
        <v>42572.042870370373</v>
      </c>
      <c r="M142" s="21">
        <f>LEN(ProjTextTable[[#This Row],[text]])</f>
        <v>2704</v>
      </c>
      <c r="N142" s="21">
        <f>LEN(TRIM(CLEAN(SUBSTITUTE(ProjTextTable[[#This Row],[text]],CHAR(10)," "))))+1 - LEN(SUBSTITUTE(CLEAN(SUBSTITUTE(ProjTextTable[[#This Row],[text]],CHAR(10)," "))," ",""))</f>
        <v>394</v>
      </c>
      <c r="O142" t="s">
        <v>13</v>
      </c>
      <c r="P142" t="s">
        <v>1666</v>
      </c>
    </row>
    <row r="143" spans="1:16" x14ac:dyDescent="0.4">
      <c r="A143">
        <f t="shared" si="2"/>
        <v>21</v>
      </c>
      <c r="B143" t="s">
        <v>1085</v>
      </c>
      <c r="C143" t="s">
        <v>1086</v>
      </c>
      <c r="D143" t="s">
        <v>209</v>
      </c>
      <c r="E143" t="s">
        <v>422</v>
      </c>
      <c r="F143" t="s">
        <v>1425</v>
      </c>
      <c r="G143" t="s">
        <v>1426</v>
      </c>
      <c r="H143" t="s">
        <v>212</v>
      </c>
      <c r="I143" t="s">
        <v>201</v>
      </c>
      <c r="J143" t="s">
        <v>270</v>
      </c>
      <c r="K143" s="30">
        <v>42660</v>
      </c>
      <c r="L143" s="8">
        <v>42762.522812499999</v>
      </c>
      <c r="M143" s="21">
        <f>LEN(ProjTextTable[[#This Row],[text]])</f>
        <v>3715</v>
      </c>
      <c r="N143" s="21">
        <f>LEN(TRIM(CLEAN(SUBSTITUTE(ProjTextTable[[#This Row],[text]],CHAR(10)," "))))+1 - LEN(SUBSTITUTE(CLEAN(SUBSTITUTE(ProjTextTable[[#This Row],[text]],CHAR(10)," "))," ",""))</f>
        <v>550</v>
      </c>
      <c r="O143" t="s">
        <v>213</v>
      </c>
      <c r="P143" t="s">
        <v>1667</v>
      </c>
    </row>
    <row r="144" spans="1:16" x14ac:dyDescent="0.4">
      <c r="A144">
        <f t="shared" si="2"/>
        <v>21</v>
      </c>
      <c r="B144" t="s">
        <v>1085</v>
      </c>
      <c r="C144" t="s">
        <v>1086</v>
      </c>
      <c r="D144" t="s">
        <v>908</v>
      </c>
      <c r="E144" t="s">
        <v>451</v>
      </c>
      <c r="F144" t="s">
        <v>13</v>
      </c>
      <c r="G144" t="s">
        <v>1668</v>
      </c>
      <c r="H144" t="s">
        <v>13</v>
      </c>
      <c r="I144" t="s">
        <v>13</v>
      </c>
      <c r="K144" s="30"/>
      <c r="L144" s="8">
        <v>42802.699594907404</v>
      </c>
      <c r="M144" s="21">
        <f>LEN(ProjTextTable[[#This Row],[text]])</f>
        <v>2099</v>
      </c>
      <c r="N144" s="21">
        <f>LEN(TRIM(CLEAN(SUBSTITUTE(ProjTextTable[[#This Row],[text]],CHAR(10)," "))))+1 - LEN(SUBSTITUTE(CLEAN(SUBSTITUTE(ProjTextTable[[#This Row],[text]],CHAR(10)," "))," ",""))</f>
        <v>294</v>
      </c>
      <c r="O144" t="s">
        <v>13</v>
      </c>
      <c r="P144" t="s">
        <v>1669</v>
      </c>
    </row>
    <row r="145" spans="1:16" x14ac:dyDescent="0.4">
      <c r="A145">
        <f t="shared" si="2"/>
        <v>21</v>
      </c>
      <c r="B145" t="s">
        <v>1085</v>
      </c>
      <c r="C145" t="s">
        <v>1086</v>
      </c>
      <c r="D145" t="s">
        <v>2</v>
      </c>
      <c r="E145" t="s">
        <v>451</v>
      </c>
      <c r="F145" t="s">
        <v>13</v>
      </c>
      <c r="G145" t="s">
        <v>1470</v>
      </c>
      <c r="H145" t="s">
        <v>13</v>
      </c>
      <c r="I145" t="s">
        <v>13</v>
      </c>
      <c r="K145" s="30"/>
      <c r="L145" s="8">
        <v>42762.498981481483</v>
      </c>
      <c r="M145" s="21">
        <f>LEN(ProjTextTable[[#This Row],[text]])</f>
        <v>3981</v>
      </c>
      <c r="N145" s="21">
        <f>LEN(TRIM(CLEAN(SUBSTITUTE(ProjTextTable[[#This Row],[text]],CHAR(10)," "))))+1 - LEN(SUBSTITUTE(CLEAN(SUBSTITUTE(ProjTextTable[[#This Row],[text]],CHAR(10)," "))," ",""))</f>
        <v>593</v>
      </c>
      <c r="O145" t="s">
        <v>13</v>
      </c>
      <c r="P145" t="s">
        <v>1670</v>
      </c>
    </row>
    <row r="146" spans="1:16" x14ac:dyDescent="0.4">
      <c r="A146">
        <f t="shared" si="2"/>
        <v>21</v>
      </c>
      <c r="B146" t="s">
        <v>1085</v>
      </c>
      <c r="C146" t="s">
        <v>1086</v>
      </c>
      <c r="D146" t="s">
        <v>198</v>
      </c>
      <c r="E146" t="s">
        <v>451</v>
      </c>
      <c r="F146" t="s">
        <v>1671</v>
      </c>
      <c r="G146" t="s">
        <v>1672</v>
      </c>
      <c r="H146" t="s">
        <v>1673</v>
      </c>
      <c r="I146" t="s">
        <v>178</v>
      </c>
      <c r="J146" t="s">
        <v>178</v>
      </c>
      <c r="K146" s="30">
        <v>42650</v>
      </c>
      <c r="L146" s="8">
        <v>42650.039270833331</v>
      </c>
      <c r="M146" s="21">
        <f>LEN(ProjTextTable[[#This Row],[text]])</f>
        <v>3128</v>
      </c>
      <c r="N146" s="21">
        <f>LEN(TRIM(CLEAN(SUBSTITUTE(ProjTextTable[[#This Row],[text]],CHAR(10)," "))))+1 - LEN(SUBSTITUTE(CLEAN(SUBSTITUTE(ProjTextTable[[#This Row],[text]],CHAR(10)," "))," ",""))</f>
        <v>486</v>
      </c>
      <c r="O146" t="s">
        <v>203</v>
      </c>
      <c r="P146" t="s">
        <v>1674</v>
      </c>
    </row>
    <row r="147" spans="1:16" x14ac:dyDescent="0.4">
      <c r="A147">
        <f t="shared" si="2"/>
        <v>21</v>
      </c>
      <c r="B147" t="s">
        <v>1085</v>
      </c>
      <c r="C147" t="s">
        <v>1086</v>
      </c>
      <c r="D147" t="s">
        <v>198</v>
      </c>
      <c r="E147" t="s">
        <v>451</v>
      </c>
      <c r="F147" t="s">
        <v>1452</v>
      </c>
      <c r="G147" t="s">
        <v>1453</v>
      </c>
      <c r="H147" t="s">
        <v>1454</v>
      </c>
      <c r="I147" t="s">
        <v>215</v>
      </c>
      <c r="J147" t="s">
        <v>178</v>
      </c>
      <c r="K147" s="30">
        <v>42661</v>
      </c>
      <c r="L147" s="8">
        <v>42659.063923611109</v>
      </c>
      <c r="M147" s="21">
        <f>LEN(ProjTextTable[[#This Row],[text]])</f>
        <v>4582</v>
      </c>
      <c r="N147" s="21">
        <f>LEN(TRIM(CLEAN(SUBSTITUTE(ProjTextTable[[#This Row],[text]],CHAR(10)," "))))+1 - LEN(SUBSTITUTE(CLEAN(SUBSTITUTE(ProjTextTable[[#This Row],[text]],CHAR(10)," "))," ",""))</f>
        <v>718</v>
      </c>
      <c r="O147" t="s">
        <v>202</v>
      </c>
      <c r="P147" t="s">
        <v>1675</v>
      </c>
    </row>
    <row r="148" spans="1:16" x14ac:dyDescent="0.4">
      <c r="A148">
        <f t="shared" si="2"/>
        <v>21</v>
      </c>
      <c r="B148" t="s">
        <v>1085</v>
      </c>
      <c r="C148" t="s">
        <v>1086</v>
      </c>
      <c r="D148" t="s">
        <v>198</v>
      </c>
      <c r="E148" t="s">
        <v>451</v>
      </c>
      <c r="F148" t="s">
        <v>1456</v>
      </c>
      <c r="G148" t="s">
        <v>1457</v>
      </c>
      <c r="H148" t="s">
        <v>1458</v>
      </c>
      <c r="I148" t="s">
        <v>215</v>
      </c>
      <c r="J148" t="s">
        <v>178</v>
      </c>
      <c r="K148" s="30">
        <v>42661</v>
      </c>
      <c r="L148" s="8">
        <v>42660.586261574077</v>
      </c>
      <c r="M148" s="21">
        <f>LEN(ProjTextTable[[#This Row],[text]])</f>
        <v>2420</v>
      </c>
      <c r="N148" s="21">
        <f>LEN(TRIM(CLEAN(SUBSTITUTE(ProjTextTable[[#This Row],[text]],CHAR(10)," "))))+1 - LEN(SUBSTITUTE(CLEAN(SUBSTITUTE(ProjTextTable[[#This Row],[text]],CHAR(10)," "))," ",""))</f>
        <v>382</v>
      </c>
      <c r="O148" t="s">
        <v>203</v>
      </c>
      <c r="P148" t="s">
        <v>1676</v>
      </c>
    </row>
    <row r="149" spans="1:16" x14ac:dyDescent="0.4">
      <c r="A149">
        <f t="shared" si="2"/>
        <v>21</v>
      </c>
      <c r="B149" t="s">
        <v>1085</v>
      </c>
      <c r="C149" t="s">
        <v>1086</v>
      </c>
      <c r="D149" t="s">
        <v>198</v>
      </c>
      <c r="E149" t="s">
        <v>451</v>
      </c>
      <c r="F149" t="s">
        <v>1441</v>
      </c>
      <c r="G149" t="s">
        <v>1442</v>
      </c>
      <c r="H149" t="s">
        <v>1443</v>
      </c>
      <c r="I149" t="s">
        <v>215</v>
      </c>
      <c r="J149" t="s">
        <v>178</v>
      </c>
      <c r="K149" s="30">
        <v>42661</v>
      </c>
      <c r="L149" s="8">
        <v>42658.855300925927</v>
      </c>
      <c r="M149" s="21">
        <f>LEN(ProjTextTable[[#This Row],[text]])</f>
        <v>1944</v>
      </c>
      <c r="N149" s="21">
        <f>LEN(TRIM(CLEAN(SUBSTITUTE(ProjTextTable[[#This Row],[text]],CHAR(10)," "))))+1 - LEN(SUBSTITUTE(CLEAN(SUBSTITUTE(ProjTextTable[[#This Row],[text]],CHAR(10)," "))," ",""))</f>
        <v>293</v>
      </c>
      <c r="O149" t="s">
        <v>202</v>
      </c>
      <c r="P149" t="s">
        <v>1677</v>
      </c>
    </row>
    <row r="150" spans="1:16" x14ac:dyDescent="0.4">
      <c r="A150">
        <f t="shared" si="2"/>
        <v>21</v>
      </c>
      <c r="B150" t="s">
        <v>1085</v>
      </c>
      <c r="C150" t="s">
        <v>1086</v>
      </c>
      <c r="D150" t="s">
        <v>200</v>
      </c>
      <c r="E150" t="s">
        <v>451</v>
      </c>
      <c r="F150" t="s">
        <v>13</v>
      </c>
      <c r="G150" t="s">
        <v>13</v>
      </c>
      <c r="H150" t="s">
        <v>13</v>
      </c>
      <c r="K150" s="30"/>
      <c r="L150" s="8">
        <v>42572.043032407404</v>
      </c>
      <c r="M150" s="21">
        <f>LEN(ProjTextTable[[#This Row],[text]])</f>
        <v>4062</v>
      </c>
      <c r="N150" s="21">
        <f>LEN(TRIM(CLEAN(SUBSTITUTE(ProjTextTable[[#This Row],[text]],CHAR(10)," "))))+1 - LEN(SUBSTITUTE(CLEAN(SUBSTITUTE(ProjTextTable[[#This Row],[text]],CHAR(10)," "))," ",""))</f>
        <v>571</v>
      </c>
      <c r="O150" t="s">
        <v>13</v>
      </c>
      <c r="P150" t="s">
        <v>1678</v>
      </c>
    </row>
    <row r="151" spans="1:16" x14ac:dyDescent="0.4">
      <c r="A151">
        <f t="shared" si="2"/>
        <v>22</v>
      </c>
      <c r="B151" t="s">
        <v>1090</v>
      </c>
      <c r="C151" t="s">
        <v>1091</v>
      </c>
      <c r="D151" t="s">
        <v>209</v>
      </c>
      <c r="E151" t="s">
        <v>422</v>
      </c>
      <c r="F151" t="s">
        <v>1425</v>
      </c>
      <c r="G151" t="s">
        <v>1426</v>
      </c>
      <c r="H151" t="s">
        <v>212</v>
      </c>
      <c r="I151" t="s">
        <v>201</v>
      </c>
      <c r="J151" t="s">
        <v>1450</v>
      </c>
      <c r="K151" s="30">
        <v>42660</v>
      </c>
      <c r="L151" s="8">
        <v>42674.603738425925</v>
      </c>
      <c r="M151" s="21">
        <f>LEN(ProjTextTable[[#This Row],[text]])</f>
        <v>3037</v>
      </c>
      <c r="N151" s="21">
        <f>LEN(TRIM(CLEAN(SUBSTITUTE(ProjTextTable[[#This Row],[text]],CHAR(10)," "))))+1 - LEN(SUBSTITUTE(CLEAN(SUBSTITUTE(ProjTextTable[[#This Row],[text]],CHAR(10)," "))," ",""))</f>
        <v>432</v>
      </c>
      <c r="O151" t="s">
        <v>213</v>
      </c>
      <c r="P151" t="s">
        <v>1679</v>
      </c>
    </row>
    <row r="152" spans="1:16" x14ac:dyDescent="0.4">
      <c r="A152">
        <f t="shared" si="2"/>
        <v>22</v>
      </c>
      <c r="B152" t="s">
        <v>1090</v>
      </c>
      <c r="C152" t="s">
        <v>1091</v>
      </c>
      <c r="D152" t="s">
        <v>1467</v>
      </c>
      <c r="E152" t="s">
        <v>406</v>
      </c>
      <c r="F152" t="s">
        <v>1090</v>
      </c>
      <c r="G152" t="s">
        <v>1468</v>
      </c>
      <c r="H152" t="s">
        <v>13</v>
      </c>
      <c r="I152" t="s">
        <v>13</v>
      </c>
      <c r="J152" t="s">
        <v>777</v>
      </c>
      <c r="K152" s="30">
        <v>42682.383333333331</v>
      </c>
      <c r="L152" s="8">
        <v>44508.383333333331</v>
      </c>
      <c r="M152" s="21">
        <f>LEN(ProjTextTable[[#This Row],[text]])</f>
        <v>4780</v>
      </c>
      <c r="N152" s="21">
        <f>LEN(TRIM(CLEAN(SUBSTITUTE(ProjTextTable[[#This Row],[text]],CHAR(10)," "))))+1 - LEN(SUBSTITUTE(CLEAN(SUBSTITUTE(ProjTextTable[[#This Row],[text]],CHAR(10)," "))," ",""))</f>
        <v>767</v>
      </c>
      <c r="O152" t="s">
        <v>13</v>
      </c>
      <c r="P152" t="s">
        <v>1680</v>
      </c>
    </row>
    <row r="153" spans="1:16" x14ac:dyDescent="0.4">
      <c r="A153">
        <f t="shared" si="2"/>
        <v>22</v>
      </c>
      <c r="B153" t="s">
        <v>1090</v>
      </c>
      <c r="C153" t="s">
        <v>1091</v>
      </c>
      <c r="D153" t="s">
        <v>2</v>
      </c>
      <c r="E153" t="s">
        <v>406</v>
      </c>
      <c r="F153" t="s">
        <v>13</v>
      </c>
      <c r="G153" t="s">
        <v>1470</v>
      </c>
      <c r="H153" t="s">
        <v>13</v>
      </c>
      <c r="I153" t="s">
        <v>13</v>
      </c>
      <c r="K153" s="30"/>
      <c r="L153" s="8">
        <v>42681.661168981482</v>
      </c>
      <c r="M153" s="21">
        <f>LEN(ProjTextTable[[#This Row],[text]])</f>
        <v>5505</v>
      </c>
      <c r="N153" s="21">
        <f>LEN(TRIM(CLEAN(SUBSTITUTE(ProjTextTable[[#This Row],[text]],CHAR(10)," "))))+1 - LEN(SUBSTITUTE(CLEAN(SUBSTITUTE(ProjTextTable[[#This Row],[text]],CHAR(10)," "))," ",""))</f>
        <v>855</v>
      </c>
      <c r="O153" t="s">
        <v>13</v>
      </c>
      <c r="P153" t="s">
        <v>1681</v>
      </c>
    </row>
    <row r="154" spans="1:16" x14ac:dyDescent="0.4">
      <c r="A154">
        <f t="shared" si="2"/>
        <v>22</v>
      </c>
      <c r="B154" t="s">
        <v>1090</v>
      </c>
      <c r="C154" t="s">
        <v>1091</v>
      </c>
      <c r="D154" t="s">
        <v>198</v>
      </c>
      <c r="E154" t="s">
        <v>406</v>
      </c>
      <c r="F154" t="s">
        <v>1682</v>
      </c>
      <c r="G154" t="s">
        <v>1683</v>
      </c>
      <c r="H154" t="s">
        <v>1684</v>
      </c>
      <c r="I154" t="s">
        <v>178</v>
      </c>
      <c r="J154" t="s">
        <v>178</v>
      </c>
      <c r="K154" s="30">
        <v>42653</v>
      </c>
      <c r="L154" s="8">
        <v>42659</v>
      </c>
      <c r="M154" s="21">
        <f>LEN(ProjTextTable[[#This Row],[text]])</f>
        <v>4622</v>
      </c>
      <c r="N154" s="21">
        <f>LEN(TRIM(CLEAN(SUBSTITUTE(ProjTextTable[[#This Row],[text]],CHAR(10)," "))))+1 - LEN(SUBSTITUTE(CLEAN(SUBSTITUTE(ProjTextTable[[#This Row],[text]],CHAR(10)," "))," ",""))</f>
        <v>692</v>
      </c>
      <c r="O154" t="s">
        <v>178</v>
      </c>
      <c r="P154" t="s">
        <v>1685</v>
      </c>
    </row>
    <row r="155" spans="1:16" x14ac:dyDescent="0.4">
      <c r="A155">
        <f t="shared" si="2"/>
        <v>22</v>
      </c>
      <c r="B155" t="s">
        <v>1090</v>
      </c>
      <c r="C155" t="s">
        <v>1091</v>
      </c>
      <c r="D155" t="s">
        <v>198</v>
      </c>
      <c r="E155" t="s">
        <v>406</v>
      </c>
      <c r="F155" t="s">
        <v>1686</v>
      </c>
      <c r="G155" t="s">
        <v>1687</v>
      </c>
      <c r="H155" t="s">
        <v>1688</v>
      </c>
      <c r="I155" t="s">
        <v>178</v>
      </c>
      <c r="J155" t="s">
        <v>178</v>
      </c>
      <c r="K155" s="30">
        <v>42654</v>
      </c>
      <c r="L155" s="8">
        <v>42656.179722222223</v>
      </c>
      <c r="M155" s="21">
        <f>LEN(ProjTextTable[[#This Row],[text]])</f>
        <v>4808</v>
      </c>
      <c r="N155" s="21">
        <f>LEN(TRIM(CLEAN(SUBSTITUTE(ProjTextTable[[#This Row],[text]],CHAR(10)," "))))+1 - LEN(SUBSTITUTE(CLEAN(SUBSTITUTE(ProjTextTable[[#This Row],[text]],CHAR(10)," "))," ",""))</f>
        <v>698</v>
      </c>
      <c r="O155" t="s">
        <v>203</v>
      </c>
      <c r="P155" t="s">
        <v>1689</v>
      </c>
    </row>
    <row r="156" spans="1:16" x14ac:dyDescent="0.4">
      <c r="A156">
        <f t="shared" si="2"/>
        <v>22</v>
      </c>
      <c r="B156" t="s">
        <v>1090</v>
      </c>
      <c r="C156" t="s">
        <v>1091</v>
      </c>
      <c r="D156" t="s">
        <v>198</v>
      </c>
      <c r="E156" t="s">
        <v>406</v>
      </c>
      <c r="F156" t="s">
        <v>1437</v>
      </c>
      <c r="G156" t="s">
        <v>1438</v>
      </c>
      <c r="H156" t="s">
        <v>1439</v>
      </c>
      <c r="I156" t="s">
        <v>215</v>
      </c>
      <c r="J156" t="s">
        <v>178</v>
      </c>
      <c r="K156" s="30">
        <v>42661</v>
      </c>
      <c r="L156" s="8">
        <v>42656.883553240739</v>
      </c>
      <c r="M156" s="21">
        <f>LEN(ProjTextTable[[#This Row],[text]])</f>
        <v>2874</v>
      </c>
      <c r="N156" s="21">
        <f>LEN(TRIM(CLEAN(SUBSTITUTE(ProjTextTable[[#This Row],[text]],CHAR(10)," "))))+1 - LEN(SUBSTITUTE(CLEAN(SUBSTITUTE(ProjTextTable[[#This Row],[text]],CHAR(10)," "))," ",""))</f>
        <v>451</v>
      </c>
      <c r="O156" t="s">
        <v>215</v>
      </c>
      <c r="P156" t="s">
        <v>1690</v>
      </c>
    </row>
    <row r="157" spans="1:16" x14ac:dyDescent="0.4">
      <c r="A157">
        <f t="shared" si="2"/>
        <v>22</v>
      </c>
      <c r="B157" t="s">
        <v>1090</v>
      </c>
      <c r="C157" t="s">
        <v>1091</v>
      </c>
      <c r="D157" t="s">
        <v>198</v>
      </c>
      <c r="E157" t="s">
        <v>406</v>
      </c>
      <c r="F157" t="s">
        <v>1536</v>
      </c>
      <c r="G157" t="s">
        <v>1537</v>
      </c>
      <c r="H157" t="s">
        <v>1538</v>
      </c>
      <c r="I157" t="s">
        <v>215</v>
      </c>
      <c r="J157" t="s">
        <v>178</v>
      </c>
      <c r="K157" s="30">
        <v>42661</v>
      </c>
      <c r="L157" s="8">
        <v>42660.462812500002</v>
      </c>
      <c r="M157" s="21">
        <f>LEN(ProjTextTable[[#This Row],[text]])</f>
        <v>3531</v>
      </c>
      <c r="N157" s="21">
        <f>LEN(TRIM(CLEAN(SUBSTITUTE(ProjTextTable[[#This Row],[text]],CHAR(10)," "))))+1 - LEN(SUBSTITUTE(CLEAN(SUBSTITUTE(ProjTextTable[[#This Row],[text]],CHAR(10)," "))," ",""))</f>
        <v>550</v>
      </c>
      <c r="O157" t="s">
        <v>203</v>
      </c>
      <c r="P157" t="s">
        <v>1691</v>
      </c>
    </row>
    <row r="158" spans="1:16" x14ac:dyDescent="0.4">
      <c r="A158">
        <f t="shared" si="2"/>
        <v>22</v>
      </c>
      <c r="B158" t="s">
        <v>1090</v>
      </c>
      <c r="C158" t="s">
        <v>1091</v>
      </c>
      <c r="D158" t="s">
        <v>198</v>
      </c>
      <c r="E158" t="s">
        <v>406</v>
      </c>
      <c r="F158" t="s">
        <v>1481</v>
      </c>
      <c r="G158" t="s">
        <v>1482</v>
      </c>
      <c r="H158" t="s">
        <v>1483</v>
      </c>
      <c r="I158" t="s">
        <v>215</v>
      </c>
      <c r="J158" t="s">
        <v>178</v>
      </c>
      <c r="K158" s="30">
        <v>42661</v>
      </c>
      <c r="L158" s="8">
        <v>42661.602372685185</v>
      </c>
      <c r="M158" s="21">
        <f>LEN(ProjTextTable[[#This Row],[text]])</f>
        <v>3013</v>
      </c>
      <c r="N158" s="21">
        <f>LEN(TRIM(CLEAN(SUBSTITUTE(ProjTextTable[[#This Row],[text]],CHAR(10)," "))))+1 - LEN(SUBSTITUTE(CLEAN(SUBSTITUTE(ProjTextTable[[#This Row],[text]],CHAR(10)," "))," ",""))</f>
        <v>435</v>
      </c>
      <c r="O158" t="s">
        <v>203</v>
      </c>
      <c r="P158" t="s">
        <v>1692</v>
      </c>
    </row>
    <row r="159" spans="1:16" x14ac:dyDescent="0.4">
      <c r="A159">
        <f t="shared" si="2"/>
        <v>23</v>
      </c>
      <c r="B159" t="s">
        <v>1097</v>
      </c>
      <c r="C159" t="s">
        <v>523</v>
      </c>
      <c r="D159" t="s">
        <v>209</v>
      </c>
      <c r="E159" t="s">
        <v>422</v>
      </c>
      <c r="F159" t="s">
        <v>1425</v>
      </c>
      <c r="G159" t="s">
        <v>1426</v>
      </c>
      <c r="H159" t="s">
        <v>212</v>
      </c>
      <c r="I159" t="s">
        <v>201</v>
      </c>
      <c r="J159" t="s">
        <v>1450</v>
      </c>
      <c r="K159" s="30">
        <v>42660</v>
      </c>
      <c r="L159" s="8">
        <v>42674.603738425925</v>
      </c>
      <c r="M159" s="21">
        <f>LEN(ProjTextTable[[#This Row],[text]])</f>
        <v>3107</v>
      </c>
      <c r="N159" s="21">
        <f>LEN(TRIM(CLEAN(SUBSTITUTE(ProjTextTable[[#This Row],[text]],CHAR(10)," "))))+1 - LEN(SUBSTITUTE(CLEAN(SUBSTITUTE(ProjTextTable[[#This Row],[text]],CHAR(10)," "))," ",""))</f>
        <v>464</v>
      </c>
      <c r="O159" t="s">
        <v>213</v>
      </c>
      <c r="P159" t="s">
        <v>1693</v>
      </c>
    </row>
    <row r="160" spans="1:16" x14ac:dyDescent="0.4">
      <c r="A160">
        <f t="shared" si="2"/>
        <v>23</v>
      </c>
      <c r="B160" t="s">
        <v>1097</v>
      </c>
      <c r="C160" t="s">
        <v>523</v>
      </c>
      <c r="D160" t="s">
        <v>1467</v>
      </c>
      <c r="E160" t="s">
        <v>406</v>
      </c>
      <c r="F160" t="s">
        <v>1097</v>
      </c>
      <c r="G160" t="s">
        <v>1468</v>
      </c>
      <c r="H160" t="s">
        <v>13</v>
      </c>
      <c r="I160" t="s">
        <v>13</v>
      </c>
      <c r="J160" t="s">
        <v>777</v>
      </c>
      <c r="K160" s="30">
        <v>42921.439583333333</v>
      </c>
      <c r="L160" s="8">
        <v>44747.439583333333</v>
      </c>
      <c r="M160" s="21">
        <f>LEN(ProjTextTable[[#This Row],[text]])</f>
        <v>4576</v>
      </c>
      <c r="N160" s="21">
        <f>LEN(TRIM(CLEAN(SUBSTITUTE(ProjTextTable[[#This Row],[text]],CHAR(10)," "))))+1 - LEN(SUBSTITUTE(CLEAN(SUBSTITUTE(ProjTextTable[[#This Row],[text]],CHAR(10)," "))," ",""))</f>
        <v>718</v>
      </c>
      <c r="O160" t="s">
        <v>13</v>
      </c>
      <c r="P160" t="s">
        <v>1694</v>
      </c>
    </row>
    <row r="161" spans="1:16" x14ac:dyDescent="0.4">
      <c r="A161">
        <f t="shared" si="2"/>
        <v>23</v>
      </c>
      <c r="B161" t="s">
        <v>1097</v>
      </c>
      <c r="C161" t="s">
        <v>523</v>
      </c>
      <c r="D161" t="s">
        <v>2</v>
      </c>
      <c r="E161" t="s">
        <v>406</v>
      </c>
      <c r="F161" t="s">
        <v>13</v>
      </c>
      <c r="G161" t="s">
        <v>1470</v>
      </c>
      <c r="H161" t="s">
        <v>13</v>
      </c>
      <c r="I161" t="s">
        <v>13</v>
      </c>
      <c r="K161" s="30"/>
      <c r="L161" s="8">
        <v>42674.650416666664</v>
      </c>
      <c r="M161" s="21">
        <f>LEN(ProjTextTable[[#This Row],[text]])</f>
        <v>5200</v>
      </c>
      <c r="N161" s="21">
        <f>LEN(TRIM(CLEAN(SUBSTITUTE(ProjTextTable[[#This Row],[text]],CHAR(10)," "))))+1 - LEN(SUBSTITUTE(CLEAN(SUBSTITUTE(ProjTextTable[[#This Row],[text]],CHAR(10)," "))," ",""))</f>
        <v>798</v>
      </c>
      <c r="O161" t="s">
        <v>13</v>
      </c>
      <c r="P161" t="s">
        <v>1695</v>
      </c>
    </row>
    <row r="162" spans="1:16" x14ac:dyDescent="0.4">
      <c r="A162">
        <f t="shared" si="2"/>
        <v>23</v>
      </c>
      <c r="B162" t="s">
        <v>1097</v>
      </c>
      <c r="C162" t="s">
        <v>523</v>
      </c>
      <c r="D162" t="s">
        <v>198</v>
      </c>
      <c r="E162" t="s">
        <v>406</v>
      </c>
      <c r="F162" t="s">
        <v>1696</v>
      </c>
      <c r="G162" t="s">
        <v>1697</v>
      </c>
      <c r="H162" t="s">
        <v>1698</v>
      </c>
      <c r="I162" t="s">
        <v>178</v>
      </c>
      <c r="J162" t="s">
        <v>178</v>
      </c>
      <c r="K162" s="30">
        <v>42654</v>
      </c>
      <c r="L162" s="8">
        <v>42636.755312499998</v>
      </c>
      <c r="M162" s="21">
        <f>LEN(ProjTextTable[[#This Row],[text]])</f>
        <v>2782</v>
      </c>
      <c r="N162" s="21">
        <f>LEN(TRIM(CLEAN(SUBSTITUTE(ProjTextTable[[#This Row],[text]],CHAR(10)," "))))+1 - LEN(SUBSTITUTE(CLEAN(SUBSTITUTE(ProjTextTable[[#This Row],[text]],CHAR(10)," "))," ",""))</f>
        <v>437</v>
      </c>
      <c r="O162" t="s">
        <v>267</v>
      </c>
      <c r="P162" t="s">
        <v>1699</v>
      </c>
    </row>
    <row r="163" spans="1:16" x14ac:dyDescent="0.4">
      <c r="A163">
        <f t="shared" si="2"/>
        <v>23</v>
      </c>
      <c r="B163" t="s">
        <v>1097</v>
      </c>
      <c r="C163" t="s">
        <v>523</v>
      </c>
      <c r="D163" t="s">
        <v>198</v>
      </c>
      <c r="E163" t="s">
        <v>406</v>
      </c>
      <c r="F163" t="s">
        <v>1476</v>
      </c>
      <c r="G163" t="s">
        <v>1477</v>
      </c>
      <c r="H163" t="s">
        <v>1478</v>
      </c>
      <c r="I163" t="s">
        <v>215</v>
      </c>
      <c r="J163" t="s">
        <v>178</v>
      </c>
      <c r="K163" s="30">
        <v>42661</v>
      </c>
      <c r="L163" s="8">
        <v>42659.836342592593</v>
      </c>
      <c r="M163" s="21">
        <f>LEN(ProjTextTable[[#This Row],[text]])</f>
        <v>2284</v>
      </c>
      <c r="N163" s="21">
        <f>LEN(TRIM(CLEAN(SUBSTITUTE(ProjTextTable[[#This Row],[text]],CHAR(10)," "))))+1 - LEN(SUBSTITUTE(CLEAN(SUBSTITUTE(ProjTextTable[[#This Row],[text]],CHAR(10)," "))," ",""))</f>
        <v>346</v>
      </c>
      <c r="O163" t="s">
        <v>267</v>
      </c>
      <c r="P163" t="s">
        <v>1700</v>
      </c>
    </row>
    <row r="164" spans="1:16" x14ac:dyDescent="0.4">
      <c r="A164">
        <f t="shared" si="2"/>
        <v>23</v>
      </c>
      <c r="B164" t="s">
        <v>1097</v>
      </c>
      <c r="C164" t="s">
        <v>523</v>
      </c>
      <c r="D164" t="s">
        <v>198</v>
      </c>
      <c r="E164" t="s">
        <v>406</v>
      </c>
      <c r="F164" t="s">
        <v>1437</v>
      </c>
      <c r="G164" t="s">
        <v>1438</v>
      </c>
      <c r="H164" t="s">
        <v>1439</v>
      </c>
      <c r="I164" t="s">
        <v>215</v>
      </c>
      <c r="J164" t="s">
        <v>178</v>
      </c>
      <c r="K164" s="30">
        <v>42661</v>
      </c>
      <c r="L164" s="8">
        <v>42656.832928240743</v>
      </c>
      <c r="M164" s="21">
        <f>LEN(ProjTextTable[[#This Row],[text]])</f>
        <v>2288</v>
      </c>
      <c r="N164" s="21">
        <f>LEN(TRIM(CLEAN(SUBSTITUTE(ProjTextTable[[#This Row],[text]],CHAR(10)," "))))+1 - LEN(SUBSTITUTE(CLEAN(SUBSTITUTE(ProjTextTable[[#This Row],[text]],CHAR(10)," "))," ",""))</f>
        <v>344</v>
      </c>
      <c r="O164" t="s">
        <v>199</v>
      </c>
      <c r="P164" t="s">
        <v>1701</v>
      </c>
    </row>
    <row r="165" spans="1:16" x14ac:dyDescent="0.4">
      <c r="A165">
        <f t="shared" si="2"/>
        <v>23</v>
      </c>
      <c r="B165" t="s">
        <v>1097</v>
      </c>
      <c r="C165" t="s">
        <v>523</v>
      </c>
      <c r="D165" t="s">
        <v>198</v>
      </c>
      <c r="E165" t="s">
        <v>406</v>
      </c>
      <c r="F165" t="s">
        <v>1445</v>
      </c>
      <c r="G165" t="s">
        <v>1446</v>
      </c>
      <c r="H165" t="s">
        <v>1447</v>
      </c>
      <c r="I165" t="s">
        <v>215</v>
      </c>
      <c r="J165" t="s">
        <v>178</v>
      </c>
      <c r="K165" s="30">
        <v>42661</v>
      </c>
      <c r="L165" s="8">
        <v>42659.875208333331</v>
      </c>
      <c r="M165" s="21">
        <f>LEN(ProjTextTable[[#This Row],[text]])</f>
        <v>3446</v>
      </c>
      <c r="N165" s="21">
        <f>LEN(TRIM(CLEAN(SUBSTITUTE(ProjTextTable[[#This Row],[text]],CHAR(10)," "))))+1 - LEN(SUBSTITUTE(CLEAN(SUBSTITUTE(ProjTextTable[[#This Row],[text]],CHAR(10)," "))," ",""))</f>
        <v>510</v>
      </c>
      <c r="O165" t="s">
        <v>203</v>
      </c>
      <c r="P165" t="s">
        <v>1702</v>
      </c>
    </row>
    <row r="166" spans="1:16" x14ac:dyDescent="0.4">
      <c r="A166">
        <f t="shared" si="2"/>
        <v>23</v>
      </c>
      <c r="B166" t="s">
        <v>1097</v>
      </c>
      <c r="C166" t="s">
        <v>523</v>
      </c>
      <c r="D166" t="s">
        <v>200</v>
      </c>
      <c r="E166" t="s">
        <v>406</v>
      </c>
      <c r="F166" t="s">
        <v>13</v>
      </c>
      <c r="G166" t="s">
        <v>13</v>
      </c>
      <c r="H166" t="s">
        <v>13</v>
      </c>
      <c r="K166" s="30"/>
      <c r="L166" s="8">
        <v>42572.043252314812</v>
      </c>
      <c r="M166" s="21">
        <f>LEN(ProjTextTable[[#This Row],[text]])</f>
        <v>4197</v>
      </c>
      <c r="N166" s="21">
        <f>LEN(TRIM(CLEAN(SUBSTITUTE(ProjTextTable[[#This Row],[text]],CHAR(10)," "))))+1 - LEN(SUBSTITUTE(CLEAN(SUBSTITUTE(ProjTextTable[[#This Row],[text]],CHAR(10)," "))," ",""))</f>
        <v>624</v>
      </c>
      <c r="O166" t="s">
        <v>13</v>
      </c>
      <c r="P166" t="s">
        <v>1703</v>
      </c>
    </row>
    <row r="167" spans="1:16" x14ac:dyDescent="0.4">
      <c r="A167">
        <f t="shared" si="2"/>
        <v>24</v>
      </c>
      <c r="B167" t="s">
        <v>1100</v>
      </c>
      <c r="C167" t="s">
        <v>1101</v>
      </c>
      <c r="D167" t="s">
        <v>209</v>
      </c>
      <c r="E167" t="s">
        <v>422</v>
      </c>
      <c r="F167" t="s">
        <v>1425</v>
      </c>
      <c r="G167" t="s">
        <v>1426</v>
      </c>
      <c r="H167" t="s">
        <v>212</v>
      </c>
      <c r="I167" t="s">
        <v>201</v>
      </c>
      <c r="J167" t="s">
        <v>1577</v>
      </c>
      <c r="K167" s="30">
        <v>42660</v>
      </c>
      <c r="L167" s="8">
        <v>42674.797129629631</v>
      </c>
      <c r="M167" s="21">
        <f>LEN(ProjTextTable[[#This Row],[text]])</f>
        <v>2463</v>
      </c>
      <c r="N167" s="21">
        <f>LEN(TRIM(CLEAN(SUBSTITUTE(ProjTextTable[[#This Row],[text]],CHAR(10)," "))))+1 - LEN(SUBSTITUTE(CLEAN(SUBSTITUTE(ProjTextTable[[#This Row],[text]],CHAR(10)," "))," ",""))</f>
        <v>349</v>
      </c>
      <c r="O167" t="s">
        <v>213</v>
      </c>
      <c r="P167" t="s">
        <v>1704</v>
      </c>
    </row>
    <row r="168" spans="1:16" x14ac:dyDescent="0.4">
      <c r="A168">
        <f t="shared" si="2"/>
        <v>24</v>
      </c>
      <c r="B168" t="s">
        <v>1100</v>
      </c>
      <c r="C168" t="s">
        <v>1101</v>
      </c>
      <c r="D168" t="s">
        <v>2</v>
      </c>
      <c r="E168" t="s">
        <v>451</v>
      </c>
      <c r="F168" t="s">
        <v>13</v>
      </c>
      <c r="G168" t="s">
        <v>1470</v>
      </c>
      <c r="H168" t="s">
        <v>13</v>
      </c>
      <c r="I168" t="s">
        <v>13</v>
      </c>
      <c r="K168" s="30"/>
      <c r="L168" s="8">
        <v>42715.928981481484</v>
      </c>
      <c r="M168" s="21">
        <f>LEN(ProjTextTable[[#This Row],[text]])</f>
        <v>4646</v>
      </c>
      <c r="N168" s="21">
        <f>LEN(TRIM(CLEAN(SUBSTITUTE(ProjTextTable[[#This Row],[text]],CHAR(10)," "))))+1 - LEN(SUBSTITUTE(CLEAN(SUBSTITUTE(ProjTextTable[[#This Row],[text]],CHAR(10)," "))," ",""))</f>
        <v>725</v>
      </c>
      <c r="O168" t="s">
        <v>13</v>
      </c>
      <c r="P168" t="s">
        <v>1705</v>
      </c>
    </row>
    <row r="169" spans="1:16" x14ac:dyDescent="0.4">
      <c r="A169">
        <f t="shared" si="2"/>
        <v>24</v>
      </c>
      <c r="B169" t="s">
        <v>1100</v>
      </c>
      <c r="C169" t="s">
        <v>1101</v>
      </c>
      <c r="D169" t="s">
        <v>198</v>
      </c>
      <c r="E169" t="s">
        <v>451</v>
      </c>
      <c r="F169" t="s">
        <v>1433</v>
      </c>
      <c r="G169" t="s">
        <v>1434</v>
      </c>
      <c r="H169" t="s">
        <v>1435</v>
      </c>
      <c r="I169" t="s">
        <v>215</v>
      </c>
      <c r="J169" t="s">
        <v>178</v>
      </c>
      <c r="K169" s="30">
        <v>42661</v>
      </c>
      <c r="L169" s="8">
        <v>42659.795810185184</v>
      </c>
      <c r="M169" s="21">
        <f>LEN(ProjTextTable[[#This Row],[text]])</f>
        <v>1565</v>
      </c>
      <c r="N169" s="21">
        <f>LEN(TRIM(CLEAN(SUBSTITUTE(ProjTextTable[[#This Row],[text]],CHAR(10)," "))))+1 - LEN(SUBSTITUTE(CLEAN(SUBSTITUTE(ProjTextTable[[#This Row],[text]],CHAR(10)," "))," ",""))</f>
        <v>235</v>
      </c>
      <c r="O169" t="s">
        <v>206</v>
      </c>
      <c r="P169" t="s">
        <v>1706</v>
      </c>
    </row>
    <row r="170" spans="1:16" x14ac:dyDescent="0.4">
      <c r="A170">
        <f t="shared" si="2"/>
        <v>24</v>
      </c>
      <c r="B170" t="s">
        <v>1100</v>
      </c>
      <c r="C170" t="s">
        <v>1101</v>
      </c>
      <c r="D170" t="s">
        <v>198</v>
      </c>
      <c r="E170" t="s">
        <v>451</v>
      </c>
      <c r="F170" t="s">
        <v>1707</v>
      </c>
      <c r="G170" t="s">
        <v>1708</v>
      </c>
      <c r="H170" t="s">
        <v>1709</v>
      </c>
      <c r="I170" t="s">
        <v>178</v>
      </c>
      <c r="J170" t="s">
        <v>178</v>
      </c>
      <c r="K170" s="30">
        <v>42650</v>
      </c>
      <c r="L170" s="8">
        <v>42648.37537037037</v>
      </c>
      <c r="M170" s="21">
        <f>LEN(ProjTextTable[[#This Row],[text]])</f>
        <v>2100</v>
      </c>
      <c r="N170" s="21">
        <f>LEN(TRIM(CLEAN(SUBSTITUTE(ProjTextTable[[#This Row],[text]],CHAR(10)," "))))+1 - LEN(SUBSTITUTE(CLEAN(SUBSTITUTE(ProjTextTable[[#This Row],[text]],CHAR(10)," "))," ",""))</f>
        <v>317</v>
      </c>
      <c r="O170" t="s">
        <v>267</v>
      </c>
      <c r="P170" t="s">
        <v>1710</v>
      </c>
    </row>
    <row r="171" spans="1:16" x14ac:dyDescent="0.4">
      <c r="A171">
        <f t="shared" si="2"/>
        <v>24</v>
      </c>
      <c r="B171" t="s">
        <v>1100</v>
      </c>
      <c r="C171" t="s">
        <v>1101</v>
      </c>
      <c r="D171" t="s">
        <v>198</v>
      </c>
      <c r="E171" t="s">
        <v>451</v>
      </c>
      <c r="F171" t="s">
        <v>1456</v>
      </c>
      <c r="G171" t="s">
        <v>1457</v>
      </c>
      <c r="H171" t="s">
        <v>1458</v>
      </c>
      <c r="I171" t="s">
        <v>215</v>
      </c>
      <c r="J171" t="s">
        <v>178</v>
      </c>
      <c r="K171" s="30">
        <v>42661</v>
      </c>
      <c r="L171" s="8">
        <v>42660.275358796294</v>
      </c>
      <c r="M171" s="21">
        <f>LEN(ProjTextTable[[#This Row],[text]])</f>
        <v>1926</v>
      </c>
      <c r="N171" s="21">
        <f>LEN(TRIM(CLEAN(SUBSTITUTE(ProjTextTable[[#This Row],[text]],CHAR(10)," "))))+1 - LEN(SUBSTITUTE(CLEAN(SUBSTITUTE(ProjTextTable[[#This Row],[text]],CHAR(10)," "))," ",""))</f>
        <v>305</v>
      </c>
      <c r="O171" t="s">
        <v>202</v>
      </c>
      <c r="P171" t="s">
        <v>1711</v>
      </c>
    </row>
    <row r="172" spans="1:16" x14ac:dyDescent="0.4">
      <c r="A172">
        <f t="shared" si="2"/>
        <v>24</v>
      </c>
      <c r="B172" t="s">
        <v>1100</v>
      </c>
      <c r="C172" t="s">
        <v>1101</v>
      </c>
      <c r="D172" t="s">
        <v>198</v>
      </c>
      <c r="E172" t="s">
        <v>451</v>
      </c>
      <c r="F172" t="s">
        <v>1441</v>
      </c>
      <c r="G172" t="s">
        <v>1442</v>
      </c>
      <c r="H172" t="s">
        <v>1443</v>
      </c>
      <c r="I172" t="s">
        <v>215</v>
      </c>
      <c r="J172" t="s">
        <v>178</v>
      </c>
      <c r="K172" s="30">
        <v>42661</v>
      </c>
      <c r="L172" s="8">
        <v>42659.587129629632</v>
      </c>
      <c r="M172" s="21">
        <f>LEN(ProjTextTable[[#This Row],[text]])</f>
        <v>2171</v>
      </c>
      <c r="N172" s="21">
        <f>LEN(TRIM(CLEAN(SUBSTITUTE(ProjTextTable[[#This Row],[text]],CHAR(10)," "))))+1 - LEN(SUBSTITUTE(CLEAN(SUBSTITUTE(ProjTextTable[[#This Row],[text]],CHAR(10)," "))," ",""))</f>
        <v>326</v>
      </c>
      <c r="O172" t="s">
        <v>203</v>
      </c>
      <c r="P172" t="s">
        <v>1712</v>
      </c>
    </row>
    <row r="173" spans="1:16" x14ac:dyDescent="0.4">
      <c r="A173">
        <f t="shared" si="2"/>
        <v>24</v>
      </c>
      <c r="B173" t="s">
        <v>1100</v>
      </c>
      <c r="C173" t="s">
        <v>1101</v>
      </c>
      <c r="D173" t="s">
        <v>200</v>
      </c>
      <c r="E173" t="s">
        <v>451</v>
      </c>
      <c r="F173" t="s">
        <v>13</v>
      </c>
      <c r="G173" t="s">
        <v>13</v>
      </c>
      <c r="H173" t="s">
        <v>13</v>
      </c>
      <c r="K173" s="30"/>
      <c r="L173" s="8">
        <v>42572.043414351851</v>
      </c>
      <c r="M173" s="21">
        <f>LEN(ProjTextTable[[#This Row],[text]])</f>
        <v>2074</v>
      </c>
      <c r="N173" s="21">
        <f>LEN(TRIM(CLEAN(SUBSTITUTE(ProjTextTable[[#This Row],[text]],CHAR(10)," "))))+1 - LEN(SUBSTITUTE(CLEAN(SUBSTITUTE(ProjTextTable[[#This Row],[text]],CHAR(10)," "))," ",""))</f>
        <v>308</v>
      </c>
      <c r="O173" t="s">
        <v>13</v>
      </c>
      <c r="P173" t="s">
        <v>1713</v>
      </c>
    </row>
    <row r="174" spans="1:16" x14ac:dyDescent="0.4">
      <c r="A174">
        <f t="shared" si="2"/>
        <v>25</v>
      </c>
      <c r="B174" t="s">
        <v>1105</v>
      </c>
      <c r="C174" t="s">
        <v>517</v>
      </c>
      <c r="D174" t="s">
        <v>209</v>
      </c>
      <c r="E174" t="s">
        <v>422</v>
      </c>
      <c r="F174" t="s">
        <v>1425</v>
      </c>
      <c r="G174" t="s">
        <v>1426</v>
      </c>
      <c r="H174" t="s">
        <v>264</v>
      </c>
      <c r="I174" t="s">
        <v>197</v>
      </c>
      <c r="J174" t="s">
        <v>1427</v>
      </c>
      <c r="K174" s="30">
        <v>42660</v>
      </c>
      <c r="L174" s="8">
        <v>42674.603738425925</v>
      </c>
      <c r="M174" s="21">
        <f>LEN(ProjTextTable[[#This Row],[text]])</f>
        <v>4698</v>
      </c>
      <c r="N174" s="21">
        <f>LEN(TRIM(CLEAN(SUBSTITUTE(ProjTextTable[[#This Row],[text]],CHAR(10)," "))))+1 - LEN(SUBSTITUTE(CLEAN(SUBSTITUTE(ProjTextTable[[#This Row],[text]],CHAR(10)," "))," ",""))</f>
        <v>677</v>
      </c>
      <c r="O174" t="s">
        <v>263</v>
      </c>
      <c r="P174" t="s">
        <v>1714</v>
      </c>
    </row>
    <row r="175" spans="1:16" x14ac:dyDescent="0.4">
      <c r="A175">
        <f t="shared" si="2"/>
        <v>25</v>
      </c>
      <c r="B175" t="s">
        <v>1105</v>
      </c>
      <c r="C175" t="s">
        <v>517</v>
      </c>
      <c r="D175" t="s">
        <v>1467</v>
      </c>
      <c r="E175" t="s">
        <v>406</v>
      </c>
      <c r="F175" t="s">
        <v>1105</v>
      </c>
      <c r="G175" t="s">
        <v>1468</v>
      </c>
      <c r="H175" t="s">
        <v>13</v>
      </c>
      <c r="I175" t="s">
        <v>13</v>
      </c>
      <c r="J175" t="s">
        <v>777</v>
      </c>
      <c r="K175" s="30">
        <v>42682.568055555559</v>
      </c>
      <c r="L175" s="8">
        <v>44508.568055555559</v>
      </c>
      <c r="M175" s="21">
        <f>LEN(ProjTextTable[[#This Row],[text]])</f>
        <v>3440</v>
      </c>
      <c r="N175" s="21">
        <f>LEN(TRIM(CLEAN(SUBSTITUTE(ProjTextTable[[#This Row],[text]],CHAR(10)," "))))+1 - LEN(SUBSTITUTE(CLEAN(SUBSTITUTE(ProjTextTable[[#This Row],[text]],CHAR(10)," "))," ",""))</f>
        <v>540</v>
      </c>
      <c r="O175" t="s">
        <v>13</v>
      </c>
      <c r="P175" t="s">
        <v>1715</v>
      </c>
    </row>
    <row r="176" spans="1:16" x14ac:dyDescent="0.4">
      <c r="A176">
        <f t="shared" si="2"/>
        <v>25</v>
      </c>
      <c r="B176" t="s">
        <v>1105</v>
      </c>
      <c r="C176" t="s">
        <v>517</v>
      </c>
      <c r="D176" t="s">
        <v>2</v>
      </c>
      <c r="E176" t="s">
        <v>406</v>
      </c>
      <c r="F176" t="s">
        <v>13</v>
      </c>
      <c r="G176" t="s">
        <v>1470</v>
      </c>
      <c r="H176" t="s">
        <v>13</v>
      </c>
      <c r="I176" t="s">
        <v>13</v>
      </c>
      <c r="K176" s="30"/>
      <c r="L176" s="8">
        <v>42681.576493055552</v>
      </c>
      <c r="M176" s="21">
        <f>LEN(ProjTextTable[[#This Row],[text]])</f>
        <v>3904</v>
      </c>
      <c r="N176" s="21">
        <f>LEN(TRIM(CLEAN(SUBSTITUTE(ProjTextTable[[#This Row],[text]],CHAR(10)," "))))+1 - LEN(SUBSTITUTE(CLEAN(SUBSTITUTE(ProjTextTable[[#This Row],[text]],CHAR(10)," "))," ",""))</f>
        <v>590</v>
      </c>
      <c r="O176" t="s">
        <v>13</v>
      </c>
      <c r="P176" t="s">
        <v>1716</v>
      </c>
    </row>
    <row r="177" spans="1:16" x14ac:dyDescent="0.4">
      <c r="A177">
        <f t="shared" si="2"/>
        <v>25</v>
      </c>
      <c r="B177" t="s">
        <v>1105</v>
      </c>
      <c r="C177" t="s">
        <v>517</v>
      </c>
      <c r="D177" t="s">
        <v>198</v>
      </c>
      <c r="E177" t="s">
        <v>406</v>
      </c>
      <c r="F177" t="s">
        <v>1476</v>
      </c>
      <c r="G177" t="s">
        <v>1477</v>
      </c>
      <c r="H177" t="s">
        <v>1478</v>
      </c>
      <c r="I177" t="s">
        <v>215</v>
      </c>
      <c r="J177" t="s">
        <v>178</v>
      </c>
      <c r="K177" s="30">
        <v>42661</v>
      </c>
      <c r="L177" s="8">
        <v>42659.832245370373</v>
      </c>
      <c r="M177" s="21">
        <f>LEN(ProjTextTable[[#This Row],[text]])</f>
        <v>2559</v>
      </c>
      <c r="N177" s="21">
        <f>LEN(TRIM(CLEAN(SUBSTITUTE(ProjTextTable[[#This Row],[text]],CHAR(10)," "))))+1 - LEN(SUBSTITUTE(CLEAN(SUBSTITUTE(ProjTextTable[[#This Row],[text]],CHAR(10)," "))," ",""))</f>
        <v>366</v>
      </c>
      <c r="O177" t="s">
        <v>203</v>
      </c>
      <c r="P177" t="s">
        <v>1717</v>
      </c>
    </row>
    <row r="178" spans="1:16" x14ac:dyDescent="0.4">
      <c r="A178">
        <f t="shared" si="2"/>
        <v>25</v>
      </c>
      <c r="B178" t="s">
        <v>1105</v>
      </c>
      <c r="C178" t="s">
        <v>517</v>
      </c>
      <c r="D178" t="s">
        <v>198</v>
      </c>
      <c r="E178" t="s">
        <v>406</v>
      </c>
      <c r="F178" t="s">
        <v>1536</v>
      </c>
      <c r="G178" t="s">
        <v>1537</v>
      </c>
      <c r="H178" t="s">
        <v>1538</v>
      </c>
      <c r="I178" t="s">
        <v>215</v>
      </c>
      <c r="J178" t="s">
        <v>178</v>
      </c>
      <c r="K178" s="30">
        <v>42661</v>
      </c>
      <c r="L178" s="8">
        <v>42660.104305555556</v>
      </c>
      <c r="M178" s="21">
        <f>LEN(ProjTextTable[[#This Row],[text]])</f>
        <v>2661</v>
      </c>
      <c r="N178" s="21">
        <f>LEN(TRIM(CLEAN(SUBSTITUTE(ProjTextTable[[#This Row],[text]],CHAR(10)," "))))+1 - LEN(SUBSTITUTE(CLEAN(SUBSTITUTE(ProjTextTable[[#This Row],[text]],CHAR(10)," "))," ",""))</f>
        <v>426</v>
      </c>
      <c r="O178" t="s">
        <v>205</v>
      </c>
      <c r="P178" t="s">
        <v>1718</v>
      </c>
    </row>
    <row r="179" spans="1:16" x14ac:dyDescent="0.4">
      <c r="A179">
        <f t="shared" si="2"/>
        <v>25</v>
      </c>
      <c r="B179" t="s">
        <v>1105</v>
      </c>
      <c r="C179" t="s">
        <v>517</v>
      </c>
      <c r="D179" t="s">
        <v>198</v>
      </c>
      <c r="E179" t="s">
        <v>406</v>
      </c>
      <c r="F179" t="s">
        <v>1719</v>
      </c>
      <c r="G179" t="s">
        <v>1720</v>
      </c>
      <c r="H179" t="s">
        <v>1721</v>
      </c>
      <c r="I179" t="s">
        <v>178</v>
      </c>
      <c r="J179" t="s">
        <v>178</v>
      </c>
      <c r="K179" s="30">
        <v>42653</v>
      </c>
      <c r="L179" s="8">
        <v>42633.512060185189</v>
      </c>
      <c r="M179" s="21">
        <f>LEN(ProjTextTable[[#This Row],[text]])</f>
        <v>2664</v>
      </c>
      <c r="N179" s="21">
        <f>LEN(TRIM(CLEAN(SUBSTITUTE(ProjTextTable[[#This Row],[text]],CHAR(10)," "))))+1 - LEN(SUBSTITUTE(CLEAN(SUBSTITUTE(ProjTextTable[[#This Row],[text]],CHAR(10)," "))," ",""))</f>
        <v>389</v>
      </c>
      <c r="O179" t="s">
        <v>203</v>
      </c>
      <c r="P179" t="s">
        <v>1722</v>
      </c>
    </row>
    <row r="180" spans="1:16" x14ac:dyDescent="0.4">
      <c r="A180">
        <f t="shared" si="2"/>
        <v>25</v>
      </c>
      <c r="B180" t="s">
        <v>1105</v>
      </c>
      <c r="C180" t="s">
        <v>517</v>
      </c>
      <c r="D180" t="s">
        <v>198</v>
      </c>
      <c r="E180" t="s">
        <v>406</v>
      </c>
      <c r="F180" t="s">
        <v>1445</v>
      </c>
      <c r="G180" t="s">
        <v>1446</v>
      </c>
      <c r="H180" t="s">
        <v>1447</v>
      </c>
      <c r="I180" t="s">
        <v>215</v>
      </c>
      <c r="J180" t="s">
        <v>178</v>
      </c>
      <c r="K180" s="30">
        <v>42661</v>
      </c>
      <c r="L180" s="8">
        <v>42658.387800925928</v>
      </c>
      <c r="M180" s="21">
        <f>LEN(ProjTextTable[[#This Row],[text]])</f>
        <v>4276</v>
      </c>
      <c r="N180" s="21">
        <f>LEN(TRIM(CLEAN(SUBSTITUTE(ProjTextTable[[#This Row],[text]],CHAR(10)," "))))+1 - LEN(SUBSTITUTE(CLEAN(SUBSTITUTE(ProjTextTable[[#This Row],[text]],CHAR(10)," "))," ",""))</f>
        <v>620</v>
      </c>
      <c r="O180" t="s">
        <v>267</v>
      </c>
      <c r="P180" t="s">
        <v>1723</v>
      </c>
    </row>
    <row r="181" spans="1:16" x14ac:dyDescent="0.4">
      <c r="A181">
        <f t="shared" si="2"/>
        <v>25</v>
      </c>
      <c r="B181" t="s">
        <v>1105</v>
      </c>
      <c r="C181" t="s">
        <v>517</v>
      </c>
      <c r="D181" t="s">
        <v>200</v>
      </c>
      <c r="E181" t="s">
        <v>406</v>
      </c>
      <c r="F181" t="s">
        <v>13</v>
      </c>
      <c r="G181" t="s">
        <v>13</v>
      </c>
      <c r="H181" t="s">
        <v>13</v>
      </c>
      <c r="K181" s="30"/>
      <c r="L181" s="8">
        <v>42572.043425925927</v>
      </c>
      <c r="M181" s="21">
        <f>LEN(ProjTextTable[[#This Row],[text]])</f>
        <v>3902</v>
      </c>
      <c r="N181" s="21">
        <f>LEN(TRIM(CLEAN(SUBSTITUTE(ProjTextTable[[#This Row],[text]],CHAR(10)," "))))+1 - LEN(SUBSTITUTE(CLEAN(SUBSTITUTE(ProjTextTable[[#This Row],[text]],CHAR(10)," "))," ",""))</f>
        <v>572</v>
      </c>
      <c r="O181" t="s">
        <v>13</v>
      </c>
      <c r="P181" t="s">
        <v>1724</v>
      </c>
    </row>
    <row r="182" spans="1:16" x14ac:dyDescent="0.4">
      <c r="A182">
        <f t="shared" si="2"/>
        <v>26</v>
      </c>
      <c r="B182" t="s">
        <v>1108</v>
      </c>
      <c r="C182" t="s">
        <v>1109</v>
      </c>
      <c r="D182" t="s">
        <v>209</v>
      </c>
      <c r="E182" t="s">
        <v>422</v>
      </c>
      <c r="F182" t="s">
        <v>1425</v>
      </c>
      <c r="G182" t="s">
        <v>1426</v>
      </c>
      <c r="H182" t="s">
        <v>212</v>
      </c>
      <c r="I182" t="s">
        <v>201</v>
      </c>
      <c r="J182" t="s">
        <v>204</v>
      </c>
      <c r="K182" s="30">
        <v>42660</v>
      </c>
      <c r="L182" s="8">
        <v>42703.670451388891</v>
      </c>
      <c r="M182" s="21">
        <f>LEN(ProjTextTable[[#This Row],[text]])</f>
        <v>4172</v>
      </c>
      <c r="N182" s="21">
        <f>LEN(TRIM(CLEAN(SUBSTITUTE(ProjTextTable[[#This Row],[text]],CHAR(10)," "))))+1 - LEN(SUBSTITUTE(CLEAN(SUBSTITUTE(ProjTextTable[[#This Row],[text]],CHAR(10)," "))," ",""))</f>
        <v>609</v>
      </c>
      <c r="O182" t="s">
        <v>213</v>
      </c>
      <c r="P182" t="s">
        <v>1725</v>
      </c>
    </row>
    <row r="183" spans="1:16" x14ac:dyDescent="0.4">
      <c r="A183">
        <f t="shared" si="2"/>
        <v>26</v>
      </c>
      <c r="B183" t="s">
        <v>1108</v>
      </c>
      <c r="C183" t="s">
        <v>1109</v>
      </c>
      <c r="D183" t="s">
        <v>908</v>
      </c>
      <c r="E183" t="s">
        <v>451</v>
      </c>
      <c r="F183" t="s">
        <v>13</v>
      </c>
      <c r="G183" t="s">
        <v>1497</v>
      </c>
      <c r="H183" t="s">
        <v>13</v>
      </c>
      <c r="I183" t="s">
        <v>13</v>
      </c>
      <c r="K183" s="30"/>
      <c r="L183" s="8">
        <v>42702.589618055557</v>
      </c>
      <c r="M183" s="21">
        <f>LEN(ProjTextTable[[#This Row],[text]])</f>
        <v>1717</v>
      </c>
      <c r="N183" s="21">
        <f>LEN(TRIM(CLEAN(SUBSTITUTE(ProjTextTable[[#This Row],[text]],CHAR(10)," "))))+1 - LEN(SUBSTITUTE(CLEAN(SUBSTITUTE(ProjTextTable[[#This Row],[text]],CHAR(10)," "))," ",""))</f>
        <v>243</v>
      </c>
      <c r="O183" t="s">
        <v>13</v>
      </c>
      <c r="P183" t="s">
        <v>1726</v>
      </c>
    </row>
    <row r="184" spans="1:16" x14ac:dyDescent="0.4">
      <c r="A184">
        <f t="shared" si="2"/>
        <v>26</v>
      </c>
      <c r="B184" t="s">
        <v>1108</v>
      </c>
      <c r="C184" t="s">
        <v>1109</v>
      </c>
      <c r="D184" t="s">
        <v>2</v>
      </c>
      <c r="E184" t="s">
        <v>451</v>
      </c>
      <c r="F184" t="s">
        <v>13</v>
      </c>
      <c r="G184" t="s">
        <v>1470</v>
      </c>
      <c r="H184" t="s">
        <v>13</v>
      </c>
      <c r="I184" t="s">
        <v>13</v>
      </c>
      <c r="K184" s="30"/>
      <c r="L184" s="8">
        <v>42719.660844907405</v>
      </c>
      <c r="M184" s="21">
        <f>LEN(ProjTextTable[[#This Row],[text]])</f>
        <v>4750</v>
      </c>
      <c r="N184" s="21">
        <f>LEN(TRIM(CLEAN(SUBSTITUTE(ProjTextTable[[#This Row],[text]],CHAR(10)," "))))+1 - LEN(SUBSTITUTE(CLEAN(SUBSTITUTE(ProjTextTable[[#This Row],[text]],CHAR(10)," "))," ",""))</f>
        <v>679</v>
      </c>
      <c r="O184" t="s">
        <v>13</v>
      </c>
      <c r="P184" t="s">
        <v>1727</v>
      </c>
    </row>
    <row r="185" spans="1:16" x14ac:dyDescent="0.4">
      <c r="A185">
        <f t="shared" si="2"/>
        <v>26</v>
      </c>
      <c r="B185" t="s">
        <v>1108</v>
      </c>
      <c r="C185" t="s">
        <v>1109</v>
      </c>
      <c r="D185" t="s">
        <v>198</v>
      </c>
      <c r="E185" t="s">
        <v>451</v>
      </c>
      <c r="F185" t="s">
        <v>1460</v>
      </c>
      <c r="G185" t="s">
        <v>1461</v>
      </c>
      <c r="H185" t="s">
        <v>1462</v>
      </c>
      <c r="I185" t="s">
        <v>215</v>
      </c>
      <c r="J185" t="s">
        <v>178</v>
      </c>
      <c r="K185" s="30">
        <v>42661</v>
      </c>
      <c r="L185" s="8">
        <v>42660.118750000001</v>
      </c>
      <c r="M185" s="21">
        <f>LEN(ProjTextTable[[#This Row],[text]])</f>
        <v>6425</v>
      </c>
      <c r="N185" s="21">
        <f>LEN(TRIM(CLEAN(SUBSTITUTE(ProjTextTable[[#This Row],[text]],CHAR(10)," "))))+1 - LEN(SUBSTITUTE(CLEAN(SUBSTITUTE(ProjTextTable[[#This Row],[text]],CHAR(10)," "))," ",""))</f>
        <v>900</v>
      </c>
      <c r="O185" t="s">
        <v>267</v>
      </c>
      <c r="P185" t="s">
        <v>1728</v>
      </c>
    </row>
    <row r="186" spans="1:16" x14ac:dyDescent="0.4">
      <c r="A186">
        <f t="shared" si="2"/>
        <v>26</v>
      </c>
      <c r="B186" t="s">
        <v>1108</v>
      </c>
      <c r="C186" t="s">
        <v>1109</v>
      </c>
      <c r="D186" t="s">
        <v>198</v>
      </c>
      <c r="E186" t="s">
        <v>451</v>
      </c>
      <c r="F186" t="s">
        <v>1729</v>
      </c>
      <c r="G186" t="s">
        <v>1730</v>
      </c>
      <c r="H186" t="s">
        <v>1731</v>
      </c>
      <c r="I186" t="s">
        <v>178</v>
      </c>
      <c r="J186" t="s">
        <v>178</v>
      </c>
      <c r="K186" s="30">
        <v>42650</v>
      </c>
      <c r="L186" s="8">
        <v>42651.351550925923</v>
      </c>
      <c r="M186" s="21">
        <f>LEN(ProjTextTable[[#This Row],[text]])</f>
        <v>2131</v>
      </c>
      <c r="N186" s="21">
        <f>LEN(TRIM(CLEAN(SUBSTITUTE(ProjTextTable[[#This Row],[text]],CHAR(10)," "))))+1 - LEN(SUBSTITUTE(CLEAN(SUBSTITUTE(ProjTextTable[[#This Row],[text]],CHAR(10)," "))," ",""))</f>
        <v>308</v>
      </c>
      <c r="O186" t="s">
        <v>203</v>
      </c>
      <c r="P186" t="s">
        <v>1732</v>
      </c>
    </row>
    <row r="187" spans="1:16" x14ac:dyDescent="0.4">
      <c r="A187">
        <f t="shared" si="2"/>
        <v>26</v>
      </c>
      <c r="B187" t="s">
        <v>1108</v>
      </c>
      <c r="C187" t="s">
        <v>1109</v>
      </c>
      <c r="D187" t="s">
        <v>198</v>
      </c>
      <c r="E187" t="s">
        <v>451</v>
      </c>
      <c r="F187" t="s">
        <v>1505</v>
      </c>
      <c r="G187" t="s">
        <v>1506</v>
      </c>
      <c r="H187" t="s">
        <v>1507</v>
      </c>
      <c r="I187" t="s">
        <v>215</v>
      </c>
      <c r="J187" t="s">
        <v>178</v>
      </c>
      <c r="K187" s="30">
        <v>42661</v>
      </c>
      <c r="L187" s="8">
        <v>42660.409236111111</v>
      </c>
      <c r="M187" s="21">
        <f>LEN(ProjTextTable[[#This Row],[text]])</f>
        <v>2522</v>
      </c>
      <c r="N187" s="21">
        <f>LEN(TRIM(CLEAN(SUBSTITUTE(ProjTextTable[[#This Row],[text]],CHAR(10)," "))))+1 - LEN(SUBSTITUTE(CLEAN(SUBSTITUTE(ProjTextTable[[#This Row],[text]],CHAR(10)," "))," ",""))</f>
        <v>379</v>
      </c>
      <c r="O187" t="s">
        <v>206</v>
      </c>
      <c r="P187" t="s">
        <v>1733</v>
      </c>
    </row>
    <row r="188" spans="1:16" x14ac:dyDescent="0.4">
      <c r="A188">
        <f t="shared" si="2"/>
        <v>26</v>
      </c>
      <c r="B188" t="s">
        <v>1108</v>
      </c>
      <c r="C188" t="s">
        <v>1109</v>
      </c>
      <c r="D188" t="s">
        <v>198</v>
      </c>
      <c r="E188" t="s">
        <v>451</v>
      </c>
      <c r="F188" t="s">
        <v>1441</v>
      </c>
      <c r="G188" t="s">
        <v>1442</v>
      </c>
      <c r="H188" t="s">
        <v>1443</v>
      </c>
      <c r="I188" t="s">
        <v>215</v>
      </c>
      <c r="J188" t="s">
        <v>178</v>
      </c>
      <c r="K188" s="30">
        <v>42661</v>
      </c>
      <c r="L188" s="8">
        <v>42657.627349537041</v>
      </c>
      <c r="M188" s="21">
        <f>LEN(ProjTextTable[[#This Row],[text]])</f>
        <v>2364</v>
      </c>
      <c r="N188" s="21">
        <f>LEN(TRIM(CLEAN(SUBSTITUTE(ProjTextTable[[#This Row],[text]],CHAR(10)," "))))+1 - LEN(SUBSTITUTE(CLEAN(SUBSTITUTE(ProjTextTable[[#This Row],[text]],CHAR(10)," "))," ",""))</f>
        <v>357</v>
      </c>
      <c r="O188" t="s">
        <v>202</v>
      </c>
      <c r="P188" t="s">
        <v>1734</v>
      </c>
    </row>
    <row r="189" spans="1:16" x14ac:dyDescent="0.4">
      <c r="A189">
        <f t="shared" si="2"/>
        <v>26</v>
      </c>
      <c r="B189" t="s">
        <v>1108</v>
      </c>
      <c r="C189" t="s">
        <v>1109</v>
      </c>
      <c r="D189" t="s">
        <v>1515</v>
      </c>
      <c r="E189" t="s">
        <v>451</v>
      </c>
      <c r="F189" t="s">
        <v>1108</v>
      </c>
      <c r="G189" t="s">
        <v>1497</v>
      </c>
      <c r="H189" t="s">
        <v>1735</v>
      </c>
      <c r="K189" s="30"/>
      <c r="L189" s="8">
        <v>42754.458599537036</v>
      </c>
      <c r="M189" s="21">
        <f>LEN(ProjTextTable[[#This Row],[text]])</f>
        <v>728</v>
      </c>
      <c r="N189" s="21">
        <f>LEN(TRIM(CLEAN(SUBSTITUTE(ProjTextTable[[#This Row],[text]],CHAR(10)," "))))+1 - LEN(SUBSTITUTE(CLEAN(SUBSTITUTE(ProjTextTable[[#This Row],[text]],CHAR(10)," "))," ",""))</f>
        <v>110</v>
      </c>
      <c r="O189" t="s">
        <v>13</v>
      </c>
      <c r="P189" t="s">
        <v>1736</v>
      </c>
    </row>
    <row r="190" spans="1:16" x14ac:dyDescent="0.4">
      <c r="A190">
        <f t="shared" si="2"/>
        <v>27</v>
      </c>
      <c r="B190" t="s">
        <v>1114</v>
      </c>
      <c r="C190" t="s">
        <v>541</v>
      </c>
      <c r="D190" t="s">
        <v>209</v>
      </c>
      <c r="E190" t="s">
        <v>422</v>
      </c>
      <c r="F190" t="s">
        <v>1425</v>
      </c>
      <c r="G190" t="s">
        <v>1426</v>
      </c>
      <c r="H190" t="s">
        <v>617</v>
      </c>
      <c r="I190" t="s">
        <v>204</v>
      </c>
      <c r="J190" t="s">
        <v>1737</v>
      </c>
      <c r="K190" s="30">
        <v>42660</v>
      </c>
      <c r="L190" s="8">
        <v>42676.67800925926</v>
      </c>
      <c r="M190" s="21">
        <f>LEN(ProjTextTable[[#This Row],[text]])</f>
        <v>4137</v>
      </c>
      <c r="N190" s="21">
        <f>LEN(TRIM(CLEAN(SUBSTITUTE(ProjTextTable[[#This Row],[text]],CHAR(10)," "))))+1 - LEN(SUBSTITUTE(CLEAN(SUBSTITUTE(ProjTextTable[[#This Row],[text]],CHAR(10)," "))," ",""))</f>
        <v>607</v>
      </c>
      <c r="O190" t="s">
        <v>491</v>
      </c>
      <c r="P190" t="s">
        <v>1738</v>
      </c>
    </row>
    <row r="191" spans="1:16" x14ac:dyDescent="0.4">
      <c r="A191">
        <f t="shared" si="2"/>
        <v>27</v>
      </c>
      <c r="B191" t="s">
        <v>1114</v>
      </c>
      <c r="C191" t="s">
        <v>541</v>
      </c>
      <c r="D191" t="s">
        <v>198</v>
      </c>
      <c r="E191" t="s">
        <v>422</v>
      </c>
      <c r="F191" t="s">
        <v>1739</v>
      </c>
      <c r="G191" t="s">
        <v>1740</v>
      </c>
      <c r="H191" t="s">
        <v>1741</v>
      </c>
      <c r="I191" t="s">
        <v>178</v>
      </c>
      <c r="J191" t="s">
        <v>178</v>
      </c>
      <c r="K191" s="30">
        <v>42655</v>
      </c>
      <c r="L191" s="8">
        <v>42655.838356481479</v>
      </c>
      <c r="M191" s="21">
        <f>LEN(ProjTextTable[[#This Row],[text]])</f>
        <v>4228</v>
      </c>
      <c r="N191" s="21">
        <f>LEN(TRIM(CLEAN(SUBSTITUTE(ProjTextTable[[#This Row],[text]],CHAR(10)," "))))+1 - LEN(SUBSTITUTE(CLEAN(SUBSTITUTE(ProjTextTable[[#This Row],[text]],CHAR(10)," "))," ",""))</f>
        <v>704</v>
      </c>
      <c r="O191" t="s">
        <v>207</v>
      </c>
      <c r="P191" t="s">
        <v>1742</v>
      </c>
    </row>
    <row r="192" spans="1:16" x14ac:dyDescent="0.4">
      <c r="A192">
        <f t="shared" si="2"/>
        <v>27</v>
      </c>
      <c r="B192" t="s">
        <v>1114</v>
      </c>
      <c r="C192" t="s">
        <v>541</v>
      </c>
      <c r="D192" t="s">
        <v>198</v>
      </c>
      <c r="E192" t="s">
        <v>422</v>
      </c>
      <c r="F192" t="s">
        <v>1476</v>
      </c>
      <c r="G192" t="s">
        <v>1477</v>
      </c>
      <c r="H192" t="s">
        <v>1478</v>
      </c>
      <c r="I192" t="s">
        <v>215</v>
      </c>
      <c r="J192" t="s">
        <v>178</v>
      </c>
      <c r="K192" s="30">
        <v>42661</v>
      </c>
      <c r="L192" s="8">
        <v>42656.641770833332</v>
      </c>
      <c r="M192" s="21">
        <f>LEN(ProjTextTable[[#This Row],[text]])</f>
        <v>2144</v>
      </c>
      <c r="N192" s="21">
        <f>LEN(TRIM(CLEAN(SUBSTITUTE(ProjTextTable[[#This Row],[text]],CHAR(10)," "))))+1 - LEN(SUBSTITUTE(CLEAN(SUBSTITUTE(ProjTextTable[[#This Row],[text]],CHAR(10)," "))," ",""))</f>
        <v>315</v>
      </c>
      <c r="O192" t="s">
        <v>199</v>
      </c>
      <c r="P192" t="s">
        <v>1743</v>
      </c>
    </row>
    <row r="193" spans="1:16" x14ac:dyDescent="0.4">
      <c r="A193">
        <f t="shared" si="2"/>
        <v>27</v>
      </c>
      <c r="B193" t="s">
        <v>1114</v>
      </c>
      <c r="C193" t="s">
        <v>541</v>
      </c>
      <c r="D193" t="s">
        <v>198</v>
      </c>
      <c r="E193" t="s">
        <v>422</v>
      </c>
      <c r="F193" t="s">
        <v>1532</v>
      </c>
      <c r="G193" t="s">
        <v>1533</v>
      </c>
      <c r="H193" t="s">
        <v>1534</v>
      </c>
      <c r="I193" t="s">
        <v>215</v>
      </c>
      <c r="J193" t="s">
        <v>178</v>
      </c>
      <c r="K193" s="30">
        <v>42661</v>
      </c>
      <c r="L193" s="8">
        <v>42660.407210648147</v>
      </c>
      <c r="M193" s="21">
        <f>LEN(ProjTextTable[[#This Row],[text]])</f>
        <v>2442</v>
      </c>
      <c r="N193" s="21">
        <f>LEN(TRIM(CLEAN(SUBSTITUTE(ProjTextTable[[#This Row],[text]],CHAR(10)," "))))+1 - LEN(SUBSTITUTE(CLEAN(SUBSTITUTE(ProjTextTable[[#This Row],[text]],CHAR(10)," "))," ",""))</f>
        <v>367</v>
      </c>
      <c r="O193" t="s">
        <v>207</v>
      </c>
      <c r="P193" t="s">
        <v>1744</v>
      </c>
    </row>
    <row r="194" spans="1:16" x14ac:dyDescent="0.4">
      <c r="A194">
        <f t="shared" ref="A194:A257" si="3">A193+(B194&lt;&gt;B193)</f>
        <v>27</v>
      </c>
      <c r="B194" t="s">
        <v>1114</v>
      </c>
      <c r="C194" t="s">
        <v>541</v>
      </c>
      <c r="D194" t="s">
        <v>198</v>
      </c>
      <c r="E194" t="s">
        <v>422</v>
      </c>
      <c r="F194" t="s">
        <v>1445</v>
      </c>
      <c r="G194" t="s">
        <v>1446</v>
      </c>
      <c r="H194" t="s">
        <v>1447</v>
      </c>
      <c r="I194" t="s">
        <v>215</v>
      </c>
      <c r="J194" t="s">
        <v>178</v>
      </c>
      <c r="K194" s="30">
        <v>42661</v>
      </c>
      <c r="L194" s="8">
        <v>42655.824664351851</v>
      </c>
      <c r="M194" s="21">
        <f>LEN(ProjTextTable[[#This Row],[text]])</f>
        <v>5646</v>
      </c>
      <c r="N194" s="21">
        <f>LEN(TRIM(CLEAN(SUBSTITUTE(ProjTextTable[[#This Row],[text]],CHAR(10)," "))))+1 - LEN(SUBSTITUTE(CLEAN(SUBSTITUTE(ProjTextTable[[#This Row],[text]],CHAR(10)," "))," ",""))</f>
        <v>840</v>
      </c>
      <c r="O194" t="s">
        <v>199</v>
      </c>
      <c r="P194" t="s">
        <v>1745</v>
      </c>
    </row>
    <row r="195" spans="1:16" x14ac:dyDescent="0.4">
      <c r="A195">
        <f t="shared" si="3"/>
        <v>27</v>
      </c>
      <c r="B195" t="s">
        <v>1114</v>
      </c>
      <c r="C195" t="s">
        <v>541</v>
      </c>
      <c r="D195" t="s">
        <v>200</v>
      </c>
      <c r="E195" t="s">
        <v>422</v>
      </c>
      <c r="F195" t="s">
        <v>13</v>
      </c>
      <c r="G195" t="s">
        <v>13</v>
      </c>
      <c r="H195" t="s">
        <v>13</v>
      </c>
      <c r="K195" s="30"/>
      <c r="L195" s="8">
        <v>42572.043553240743</v>
      </c>
      <c r="M195" s="21">
        <f>LEN(ProjTextTable[[#This Row],[text]])</f>
        <v>3305</v>
      </c>
      <c r="N195" s="21">
        <f>LEN(TRIM(CLEAN(SUBSTITUTE(ProjTextTable[[#This Row],[text]],CHAR(10)," "))))+1 - LEN(SUBSTITUTE(CLEAN(SUBSTITUTE(ProjTextTable[[#This Row],[text]],CHAR(10)," "))," ",""))</f>
        <v>470</v>
      </c>
      <c r="O195" t="s">
        <v>13</v>
      </c>
      <c r="P195" t="s">
        <v>1746</v>
      </c>
    </row>
    <row r="196" spans="1:16" x14ac:dyDescent="0.4">
      <c r="A196">
        <f t="shared" si="3"/>
        <v>28</v>
      </c>
      <c r="B196" t="s">
        <v>1121</v>
      </c>
      <c r="C196" t="s">
        <v>1122</v>
      </c>
      <c r="D196" t="s">
        <v>209</v>
      </c>
      <c r="E196" t="s">
        <v>422</v>
      </c>
      <c r="F196" t="s">
        <v>1425</v>
      </c>
      <c r="G196" t="s">
        <v>1426</v>
      </c>
      <c r="H196" t="s">
        <v>264</v>
      </c>
      <c r="I196" t="s">
        <v>197</v>
      </c>
      <c r="J196" t="s">
        <v>1427</v>
      </c>
      <c r="K196" s="30">
        <v>42660</v>
      </c>
      <c r="L196" s="8">
        <v>42711.995613425926</v>
      </c>
      <c r="M196" s="21">
        <f>LEN(ProjTextTable[[#This Row],[text]])</f>
        <v>3384</v>
      </c>
      <c r="N196" s="21">
        <f>LEN(TRIM(CLEAN(SUBSTITUTE(ProjTextTable[[#This Row],[text]],CHAR(10)," "))))+1 - LEN(SUBSTITUTE(CLEAN(SUBSTITUTE(ProjTextTable[[#This Row],[text]],CHAR(10)," "))," ",""))</f>
        <v>488</v>
      </c>
      <c r="O196" t="s">
        <v>263</v>
      </c>
      <c r="P196" t="s">
        <v>1747</v>
      </c>
    </row>
    <row r="197" spans="1:16" x14ac:dyDescent="0.4">
      <c r="A197">
        <f t="shared" si="3"/>
        <v>28</v>
      </c>
      <c r="B197" t="s">
        <v>1121</v>
      </c>
      <c r="C197" t="s">
        <v>1122</v>
      </c>
      <c r="D197" t="s">
        <v>209</v>
      </c>
      <c r="E197" t="s">
        <v>1748</v>
      </c>
      <c r="F197" t="s">
        <v>1749</v>
      </c>
      <c r="G197" t="s">
        <v>1750</v>
      </c>
      <c r="H197" t="s">
        <v>617</v>
      </c>
      <c r="I197" t="s">
        <v>197</v>
      </c>
      <c r="K197" s="30">
        <v>42669</v>
      </c>
      <c r="L197" s="8">
        <v>42711.995636574073</v>
      </c>
      <c r="M197" s="21">
        <f>LEN(ProjTextTable[[#This Row],[text]])</f>
        <v>2147</v>
      </c>
      <c r="N197" s="21">
        <f>LEN(TRIM(CLEAN(SUBSTITUTE(ProjTextTable[[#This Row],[text]],CHAR(10)," "))))+1 - LEN(SUBSTITUTE(CLEAN(SUBSTITUTE(ProjTextTable[[#This Row],[text]],CHAR(10)," "))," ",""))</f>
        <v>307</v>
      </c>
      <c r="O197" t="s">
        <v>491</v>
      </c>
      <c r="P197" t="s">
        <v>1751</v>
      </c>
    </row>
    <row r="198" spans="1:16" x14ac:dyDescent="0.4">
      <c r="A198">
        <f t="shared" si="3"/>
        <v>28</v>
      </c>
      <c r="B198" t="s">
        <v>1121</v>
      </c>
      <c r="C198" t="s">
        <v>1122</v>
      </c>
      <c r="D198" t="s">
        <v>1467</v>
      </c>
      <c r="E198" t="s">
        <v>1119</v>
      </c>
      <c r="F198" t="s">
        <v>1121</v>
      </c>
      <c r="G198" t="s">
        <v>1752</v>
      </c>
      <c r="H198" t="s">
        <v>13</v>
      </c>
      <c r="I198" t="s">
        <v>13</v>
      </c>
      <c r="J198" t="s">
        <v>777</v>
      </c>
      <c r="K198" s="30">
        <v>42721.748611111114</v>
      </c>
      <c r="L198" s="8">
        <v>44547.748611111114</v>
      </c>
      <c r="M198" s="21">
        <f>LEN(ProjTextTable[[#This Row],[text]])</f>
        <v>9384</v>
      </c>
      <c r="N198" s="21">
        <f>LEN(TRIM(CLEAN(SUBSTITUTE(ProjTextTable[[#This Row],[text]],CHAR(10)," "))))+1 - LEN(SUBSTITUTE(CLEAN(SUBSTITUTE(ProjTextTable[[#This Row],[text]],CHAR(10)," "))," ",""))</f>
        <v>1395</v>
      </c>
      <c r="O198" t="s">
        <v>13</v>
      </c>
      <c r="P198" t="s">
        <v>1753</v>
      </c>
    </row>
    <row r="199" spans="1:16" x14ac:dyDescent="0.4">
      <c r="A199">
        <f t="shared" si="3"/>
        <v>28</v>
      </c>
      <c r="B199" t="s">
        <v>1121</v>
      </c>
      <c r="C199" t="s">
        <v>1122</v>
      </c>
      <c r="D199" t="s">
        <v>2</v>
      </c>
      <c r="E199" t="s">
        <v>1119</v>
      </c>
      <c r="F199" t="s">
        <v>13</v>
      </c>
      <c r="G199" t="s">
        <v>1470</v>
      </c>
      <c r="H199" t="s">
        <v>13</v>
      </c>
      <c r="I199" t="s">
        <v>13</v>
      </c>
      <c r="K199" s="30"/>
      <c r="L199" s="8">
        <v>42712.581944444442</v>
      </c>
      <c r="M199" s="21">
        <f>LEN(ProjTextTable[[#This Row],[text]])</f>
        <v>9381</v>
      </c>
      <c r="N199" s="21">
        <f>LEN(TRIM(CLEAN(SUBSTITUTE(ProjTextTable[[#This Row],[text]],CHAR(10)," "))))+1 - LEN(SUBSTITUTE(CLEAN(SUBSTITUTE(ProjTextTable[[#This Row],[text]],CHAR(10)," "))," ",""))</f>
        <v>1385</v>
      </c>
      <c r="O199" t="s">
        <v>13</v>
      </c>
      <c r="P199" t="s">
        <v>1754</v>
      </c>
    </row>
    <row r="200" spans="1:16" x14ac:dyDescent="0.4">
      <c r="A200">
        <f t="shared" si="3"/>
        <v>28</v>
      </c>
      <c r="B200" t="s">
        <v>1121</v>
      </c>
      <c r="C200" t="s">
        <v>1122</v>
      </c>
      <c r="D200" t="s">
        <v>198</v>
      </c>
      <c r="E200" t="s">
        <v>1119</v>
      </c>
      <c r="F200" t="s">
        <v>1755</v>
      </c>
      <c r="G200" t="s">
        <v>1756</v>
      </c>
      <c r="H200" t="s">
        <v>1757</v>
      </c>
      <c r="I200" t="s">
        <v>95</v>
      </c>
      <c r="J200" t="s">
        <v>178</v>
      </c>
      <c r="K200" s="30">
        <v>42671</v>
      </c>
      <c r="L200" s="8">
        <v>42667.644247685188</v>
      </c>
      <c r="M200" s="21">
        <f>LEN(ProjTextTable[[#This Row],[text]])</f>
        <v>3318</v>
      </c>
      <c r="N200" s="21">
        <f>LEN(TRIM(CLEAN(SUBSTITUTE(ProjTextTable[[#This Row],[text]],CHAR(10)," "))))+1 - LEN(SUBSTITUTE(CLEAN(SUBSTITUTE(ProjTextTable[[#This Row],[text]],CHAR(10)," "))," ",""))</f>
        <v>548</v>
      </c>
      <c r="O200" t="s">
        <v>205</v>
      </c>
      <c r="P200" t="s">
        <v>1758</v>
      </c>
    </row>
    <row r="201" spans="1:16" x14ac:dyDescent="0.4">
      <c r="A201">
        <f t="shared" si="3"/>
        <v>28</v>
      </c>
      <c r="B201" t="s">
        <v>1121</v>
      </c>
      <c r="C201" t="s">
        <v>1122</v>
      </c>
      <c r="D201" t="s">
        <v>198</v>
      </c>
      <c r="E201" t="s">
        <v>406</v>
      </c>
      <c r="F201" t="s">
        <v>1759</v>
      </c>
      <c r="G201" t="s">
        <v>1760</v>
      </c>
      <c r="H201" t="s">
        <v>1761</v>
      </c>
      <c r="I201" t="s">
        <v>178</v>
      </c>
      <c r="J201" t="s">
        <v>178</v>
      </c>
      <c r="K201" s="30">
        <v>42654</v>
      </c>
      <c r="L201" s="8">
        <v>42644.775370370371</v>
      </c>
      <c r="M201" s="21">
        <f>LEN(ProjTextTable[[#This Row],[text]])</f>
        <v>5890</v>
      </c>
      <c r="N201" s="21">
        <f>LEN(TRIM(CLEAN(SUBSTITUTE(ProjTextTable[[#This Row],[text]],CHAR(10)," "))))+1 - LEN(SUBSTITUTE(CLEAN(SUBSTITUTE(ProjTextTable[[#This Row],[text]],CHAR(10)," "))," ",""))</f>
        <v>906</v>
      </c>
      <c r="O201" t="s">
        <v>203</v>
      </c>
      <c r="P201" t="s">
        <v>1762</v>
      </c>
    </row>
    <row r="202" spans="1:16" x14ac:dyDescent="0.4">
      <c r="A202">
        <f t="shared" si="3"/>
        <v>28</v>
      </c>
      <c r="B202" t="s">
        <v>1121</v>
      </c>
      <c r="C202" t="s">
        <v>1122</v>
      </c>
      <c r="D202" t="s">
        <v>198</v>
      </c>
      <c r="E202" t="s">
        <v>1119</v>
      </c>
      <c r="F202" t="s">
        <v>1476</v>
      </c>
      <c r="G202" t="s">
        <v>1477</v>
      </c>
      <c r="H202" t="s">
        <v>1478</v>
      </c>
      <c r="I202" t="s">
        <v>215</v>
      </c>
      <c r="J202" t="s">
        <v>178</v>
      </c>
      <c r="K202" s="30">
        <v>42661</v>
      </c>
      <c r="L202" s="8">
        <v>42659.833460648151</v>
      </c>
      <c r="M202" s="21">
        <f>LEN(ProjTextTable[[#This Row],[text]])</f>
        <v>2697</v>
      </c>
      <c r="N202" s="21">
        <f>LEN(TRIM(CLEAN(SUBSTITUTE(ProjTextTable[[#This Row],[text]],CHAR(10)," "))))+1 - LEN(SUBSTITUTE(CLEAN(SUBSTITUTE(ProjTextTable[[#This Row],[text]],CHAR(10)," "))," ",""))</f>
        <v>366</v>
      </c>
      <c r="O202" t="s">
        <v>203</v>
      </c>
      <c r="P202" t="s">
        <v>1763</v>
      </c>
    </row>
    <row r="203" spans="1:16" x14ac:dyDescent="0.4">
      <c r="A203">
        <f t="shared" si="3"/>
        <v>28</v>
      </c>
      <c r="B203" t="s">
        <v>1121</v>
      </c>
      <c r="C203" t="s">
        <v>1122</v>
      </c>
      <c r="D203" t="s">
        <v>198</v>
      </c>
      <c r="E203" t="s">
        <v>1119</v>
      </c>
      <c r="F203" t="s">
        <v>1437</v>
      </c>
      <c r="G203" t="s">
        <v>1438</v>
      </c>
      <c r="H203" t="s">
        <v>1439</v>
      </c>
      <c r="I203" t="s">
        <v>215</v>
      </c>
      <c r="J203" t="s">
        <v>178</v>
      </c>
      <c r="K203" s="30">
        <v>42661</v>
      </c>
      <c r="L203" s="8">
        <v>42657.547858796293</v>
      </c>
      <c r="M203" s="21">
        <f>LEN(ProjTextTable[[#This Row],[text]])</f>
        <v>2237</v>
      </c>
      <c r="N203" s="21">
        <f>LEN(TRIM(CLEAN(SUBSTITUTE(ProjTextTable[[#This Row],[text]],CHAR(10)," "))))+1 - LEN(SUBSTITUTE(CLEAN(SUBSTITUTE(ProjTextTable[[#This Row],[text]],CHAR(10)," "))," ",""))</f>
        <v>333</v>
      </c>
      <c r="O203" t="s">
        <v>199</v>
      </c>
      <c r="P203" t="s">
        <v>1764</v>
      </c>
    </row>
    <row r="204" spans="1:16" x14ac:dyDescent="0.4">
      <c r="A204">
        <f t="shared" si="3"/>
        <v>28</v>
      </c>
      <c r="B204" t="s">
        <v>1121</v>
      </c>
      <c r="C204" t="s">
        <v>1122</v>
      </c>
      <c r="D204" t="s">
        <v>198</v>
      </c>
      <c r="E204" t="s">
        <v>1765</v>
      </c>
      <c r="F204" t="s">
        <v>1766</v>
      </c>
      <c r="G204" t="s">
        <v>1767</v>
      </c>
      <c r="H204" t="s">
        <v>1768</v>
      </c>
      <c r="I204" t="s">
        <v>95</v>
      </c>
      <c r="J204" t="s">
        <v>178</v>
      </c>
      <c r="K204" s="30">
        <v>42671</v>
      </c>
      <c r="L204" s="8">
        <v>42667.464699074073</v>
      </c>
      <c r="M204" s="21">
        <f>LEN(ProjTextTable[[#This Row],[text]])</f>
        <v>3627</v>
      </c>
      <c r="N204" s="21">
        <f>LEN(TRIM(CLEAN(SUBSTITUTE(ProjTextTable[[#This Row],[text]],CHAR(10)," "))))+1 - LEN(SUBSTITUTE(CLEAN(SUBSTITUTE(ProjTextTable[[#This Row],[text]],CHAR(10)," "))," ",""))</f>
        <v>532</v>
      </c>
      <c r="O204" t="s">
        <v>206</v>
      </c>
      <c r="P204" t="s">
        <v>1769</v>
      </c>
    </row>
    <row r="205" spans="1:16" x14ac:dyDescent="0.4">
      <c r="A205">
        <f t="shared" si="3"/>
        <v>28</v>
      </c>
      <c r="B205" t="s">
        <v>1121</v>
      </c>
      <c r="C205" t="s">
        <v>1122</v>
      </c>
      <c r="D205" t="s">
        <v>198</v>
      </c>
      <c r="E205" t="s">
        <v>1765</v>
      </c>
      <c r="F205" t="s">
        <v>1770</v>
      </c>
      <c r="G205" t="s">
        <v>1771</v>
      </c>
      <c r="H205" t="s">
        <v>1772</v>
      </c>
      <c r="I205" t="s">
        <v>95</v>
      </c>
      <c r="J205" t="s">
        <v>178</v>
      </c>
      <c r="K205" s="30">
        <v>42671</v>
      </c>
      <c r="L205" s="8">
        <v>42670.978842592594</v>
      </c>
      <c r="M205" s="21">
        <f>LEN(ProjTextTable[[#This Row],[text]])</f>
        <v>2285</v>
      </c>
      <c r="N205" s="21">
        <f>LEN(TRIM(CLEAN(SUBSTITUTE(ProjTextTable[[#This Row],[text]],CHAR(10)," "))))+1 - LEN(SUBSTITUTE(CLEAN(SUBSTITUTE(ProjTextTable[[#This Row],[text]],CHAR(10)," "))," ",""))</f>
        <v>341</v>
      </c>
      <c r="O205" t="s">
        <v>199</v>
      </c>
      <c r="P205" t="s">
        <v>1773</v>
      </c>
    </row>
    <row r="206" spans="1:16" x14ac:dyDescent="0.4">
      <c r="A206">
        <f t="shared" si="3"/>
        <v>28</v>
      </c>
      <c r="B206" t="s">
        <v>1121</v>
      </c>
      <c r="C206" t="s">
        <v>1122</v>
      </c>
      <c r="D206" t="s">
        <v>198</v>
      </c>
      <c r="E206" t="s">
        <v>1119</v>
      </c>
      <c r="F206" t="s">
        <v>1481</v>
      </c>
      <c r="G206" t="s">
        <v>1482</v>
      </c>
      <c r="H206" t="s">
        <v>1483</v>
      </c>
      <c r="I206" t="s">
        <v>215</v>
      </c>
      <c r="J206" t="s">
        <v>178</v>
      </c>
      <c r="K206" s="30">
        <v>42661</v>
      </c>
      <c r="L206" s="8">
        <v>42661.399641203701</v>
      </c>
      <c r="M206" s="21">
        <f>LEN(ProjTextTable[[#This Row],[text]])</f>
        <v>3718</v>
      </c>
      <c r="N206" s="21">
        <f>LEN(TRIM(CLEAN(SUBSTITUTE(ProjTextTable[[#This Row],[text]],CHAR(10)," "))))+1 - LEN(SUBSTITUTE(CLEAN(SUBSTITUTE(ProjTextTable[[#This Row],[text]],CHAR(10)," "))," ",""))</f>
        <v>539</v>
      </c>
      <c r="O206" t="s">
        <v>203</v>
      </c>
      <c r="P206" t="s">
        <v>1774</v>
      </c>
    </row>
    <row r="207" spans="1:16" x14ac:dyDescent="0.4">
      <c r="A207">
        <f t="shared" si="3"/>
        <v>29</v>
      </c>
      <c r="B207" t="s">
        <v>1127</v>
      </c>
      <c r="C207" t="s">
        <v>1128</v>
      </c>
      <c r="D207" t="s">
        <v>209</v>
      </c>
      <c r="E207" t="s">
        <v>422</v>
      </c>
      <c r="F207" t="s">
        <v>1425</v>
      </c>
      <c r="G207" t="s">
        <v>1426</v>
      </c>
      <c r="H207" t="s">
        <v>264</v>
      </c>
      <c r="I207" t="s">
        <v>197</v>
      </c>
      <c r="J207" t="s">
        <v>1427</v>
      </c>
      <c r="K207" s="30">
        <v>42660</v>
      </c>
      <c r="L207" s="8">
        <v>42674.603738425925</v>
      </c>
      <c r="M207" s="21">
        <f>LEN(ProjTextTable[[#This Row],[text]])</f>
        <v>3378</v>
      </c>
      <c r="N207" s="21">
        <f>LEN(TRIM(CLEAN(SUBSTITUTE(ProjTextTable[[#This Row],[text]],CHAR(10)," "))))+1 - LEN(SUBSTITUTE(CLEAN(SUBSTITUTE(ProjTextTable[[#This Row],[text]],CHAR(10)," "))," ",""))</f>
        <v>481</v>
      </c>
      <c r="O207" t="s">
        <v>263</v>
      </c>
      <c r="P207" t="s">
        <v>1775</v>
      </c>
    </row>
    <row r="208" spans="1:16" x14ac:dyDescent="0.4">
      <c r="A208">
        <f t="shared" si="3"/>
        <v>29</v>
      </c>
      <c r="B208" t="s">
        <v>1127</v>
      </c>
      <c r="C208" t="s">
        <v>1128</v>
      </c>
      <c r="D208" t="s">
        <v>1467</v>
      </c>
      <c r="E208" t="s">
        <v>406</v>
      </c>
      <c r="F208" t="s">
        <v>1127</v>
      </c>
      <c r="G208" t="s">
        <v>1468</v>
      </c>
      <c r="H208" t="s">
        <v>13</v>
      </c>
      <c r="I208" t="s">
        <v>13</v>
      </c>
      <c r="J208" t="s">
        <v>777</v>
      </c>
      <c r="K208" s="30">
        <v>42682.568749999999</v>
      </c>
      <c r="L208" s="8">
        <v>44508.568749999999</v>
      </c>
      <c r="M208" s="21">
        <f>LEN(ProjTextTable[[#This Row],[text]])</f>
        <v>4443</v>
      </c>
      <c r="N208" s="21">
        <f>LEN(TRIM(CLEAN(SUBSTITUTE(ProjTextTable[[#This Row],[text]],CHAR(10)," "))))+1 - LEN(SUBSTITUTE(CLEAN(SUBSTITUTE(ProjTextTable[[#This Row],[text]],CHAR(10)," "))," ",""))</f>
        <v>707</v>
      </c>
      <c r="O208" t="s">
        <v>13</v>
      </c>
      <c r="P208" t="s">
        <v>1776</v>
      </c>
    </row>
    <row r="209" spans="1:16" x14ac:dyDescent="0.4">
      <c r="A209">
        <f t="shared" si="3"/>
        <v>29</v>
      </c>
      <c r="B209" t="s">
        <v>1127</v>
      </c>
      <c r="C209" t="s">
        <v>1128</v>
      </c>
      <c r="D209" t="s">
        <v>2</v>
      </c>
      <c r="E209" t="s">
        <v>406</v>
      </c>
      <c r="F209" t="s">
        <v>13</v>
      </c>
      <c r="G209" t="s">
        <v>1470</v>
      </c>
      <c r="H209" t="s">
        <v>13</v>
      </c>
      <c r="I209" t="s">
        <v>13</v>
      </c>
      <c r="K209" s="30"/>
      <c r="L209" s="8">
        <v>42682.524143518516</v>
      </c>
      <c r="M209" s="21">
        <f>LEN(ProjTextTable[[#This Row],[text]])</f>
        <v>4945</v>
      </c>
      <c r="N209" s="21">
        <f>LEN(TRIM(CLEAN(SUBSTITUTE(ProjTextTable[[#This Row],[text]],CHAR(10)," "))))+1 - LEN(SUBSTITUTE(CLEAN(SUBSTITUTE(ProjTextTable[[#This Row],[text]],CHAR(10)," "))," ",""))</f>
        <v>763</v>
      </c>
      <c r="O209" t="s">
        <v>13</v>
      </c>
      <c r="P209" t="s">
        <v>1777</v>
      </c>
    </row>
    <row r="210" spans="1:16" x14ac:dyDescent="0.4">
      <c r="A210">
        <f t="shared" si="3"/>
        <v>29</v>
      </c>
      <c r="B210" t="s">
        <v>1127</v>
      </c>
      <c r="C210" t="s">
        <v>1128</v>
      </c>
      <c r="D210" t="s">
        <v>198</v>
      </c>
      <c r="E210" t="s">
        <v>406</v>
      </c>
      <c r="F210" t="s">
        <v>1437</v>
      </c>
      <c r="G210" t="s">
        <v>1438</v>
      </c>
      <c r="H210" t="s">
        <v>1439</v>
      </c>
      <c r="I210" t="s">
        <v>215</v>
      </c>
      <c r="J210" t="s">
        <v>178</v>
      </c>
      <c r="K210" s="30">
        <v>42661</v>
      </c>
      <c r="L210" s="8">
        <v>42657.558287037034</v>
      </c>
      <c r="M210" s="21">
        <f>LEN(ProjTextTable[[#This Row],[text]])</f>
        <v>2521</v>
      </c>
      <c r="N210" s="21">
        <f>LEN(TRIM(CLEAN(SUBSTITUTE(ProjTextTable[[#This Row],[text]],CHAR(10)," "))))+1 - LEN(SUBSTITUTE(CLEAN(SUBSTITUTE(ProjTextTable[[#This Row],[text]],CHAR(10)," "))," ",""))</f>
        <v>386</v>
      </c>
      <c r="O210" t="s">
        <v>205</v>
      </c>
      <c r="P210" t="s">
        <v>1778</v>
      </c>
    </row>
    <row r="211" spans="1:16" x14ac:dyDescent="0.4">
      <c r="A211">
        <f t="shared" si="3"/>
        <v>29</v>
      </c>
      <c r="B211" t="s">
        <v>1127</v>
      </c>
      <c r="C211" t="s">
        <v>1128</v>
      </c>
      <c r="D211" t="s">
        <v>198</v>
      </c>
      <c r="E211" t="s">
        <v>406</v>
      </c>
      <c r="F211" t="s">
        <v>1536</v>
      </c>
      <c r="G211" t="s">
        <v>1537</v>
      </c>
      <c r="H211" t="s">
        <v>1538</v>
      </c>
      <c r="I211" t="s">
        <v>215</v>
      </c>
      <c r="J211" t="s">
        <v>178</v>
      </c>
      <c r="K211" s="30">
        <v>42661</v>
      </c>
      <c r="L211" s="8">
        <v>42660.443576388891</v>
      </c>
      <c r="M211" s="21">
        <f>LEN(ProjTextTable[[#This Row],[text]])</f>
        <v>2736</v>
      </c>
      <c r="N211" s="21">
        <f>LEN(TRIM(CLEAN(SUBSTITUTE(ProjTextTable[[#This Row],[text]],CHAR(10)," "))))+1 - LEN(SUBSTITUTE(CLEAN(SUBSTITUTE(ProjTextTable[[#This Row],[text]],CHAR(10)," "))," ",""))</f>
        <v>430</v>
      </c>
      <c r="O211" t="s">
        <v>199</v>
      </c>
      <c r="P211" t="s">
        <v>1779</v>
      </c>
    </row>
    <row r="212" spans="1:16" x14ac:dyDescent="0.4">
      <c r="A212">
        <f t="shared" si="3"/>
        <v>29</v>
      </c>
      <c r="B212" t="s">
        <v>1127</v>
      </c>
      <c r="C212" t="s">
        <v>1128</v>
      </c>
      <c r="D212" t="s">
        <v>198</v>
      </c>
      <c r="E212" t="s">
        <v>406</v>
      </c>
      <c r="F212" t="s">
        <v>1481</v>
      </c>
      <c r="G212" t="s">
        <v>1482</v>
      </c>
      <c r="H212" t="s">
        <v>1483</v>
      </c>
      <c r="I212" t="s">
        <v>215</v>
      </c>
      <c r="J212" t="s">
        <v>178</v>
      </c>
      <c r="K212" s="30">
        <v>42661</v>
      </c>
      <c r="L212" s="8">
        <v>42661.424675925926</v>
      </c>
      <c r="M212" s="21">
        <f>LEN(ProjTextTable[[#This Row],[text]])</f>
        <v>3228</v>
      </c>
      <c r="N212" s="21">
        <f>LEN(TRIM(CLEAN(SUBSTITUTE(ProjTextTable[[#This Row],[text]],CHAR(10)," "))))+1 - LEN(SUBSTITUTE(CLEAN(SUBSTITUTE(ProjTextTable[[#This Row],[text]],CHAR(10)," "))," ",""))</f>
        <v>471</v>
      </c>
      <c r="O212" t="s">
        <v>207</v>
      </c>
      <c r="P212" t="s">
        <v>1780</v>
      </c>
    </row>
    <row r="213" spans="1:16" x14ac:dyDescent="0.4">
      <c r="A213">
        <f t="shared" si="3"/>
        <v>29</v>
      </c>
      <c r="B213" t="s">
        <v>1127</v>
      </c>
      <c r="C213" t="s">
        <v>1128</v>
      </c>
      <c r="D213" t="s">
        <v>198</v>
      </c>
      <c r="E213" t="s">
        <v>406</v>
      </c>
      <c r="F213" t="s">
        <v>1781</v>
      </c>
      <c r="G213" t="s">
        <v>1782</v>
      </c>
      <c r="H213" t="s">
        <v>1783</v>
      </c>
      <c r="I213" t="s">
        <v>178</v>
      </c>
      <c r="J213" t="s">
        <v>178</v>
      </c>
      <c r="K213" s="30">
        <v>42654</v>
      </c>
      <c r="L213" s="8">
        <v>42654.794074074074</v>
      </c>
      <c r="M213" s="21">
        <f>LEN(ProjTextTable[[#This Row],[text]])</f>
        <v>3903</v>
      </c>
      <c r="N213" s="21">
        <f>LEN(TRIM(CLEAN(SUBSTITUTE(ProjTextTable[[#This Row],[text]],CHAR(10)," "))))+1 - LEN(SUBSTITUTE(CLEAN(SUBSTITUTE(ProjTextTable[[#This Row],[text]],CHAR(10)," "))," ",""))</f>
        <v>571</v>
      </c>
      <c r="O213" t="s">
        <v>203</v>
      </c>
      <c r="P213" t="s">
        <v>1784</v>
      </c>
    </row>
    <row r="214" spans="1:16" x14ac:dyDescent="0.4">
      <c r="A214">
        <f t="shared" si="3"/>
        <v>29</v>
      </c>
      <c r="B214" t="s">
        <v>1127</v>
      </c>
      <c r="C214" t="s">
        <v>1128</v>
      </c>
      <c r="D214" t="s">
        <v>198</v>
      </c>
      <c r="E214" t="s">
        <v>406</v>
      </c>
      <c r="F214" t="s">
        <v>1785</v>
      </c>
      <c r="G214" t="s">
        <v>1303</v>
      </c>
      <c r="H214" t="s">
        <v>1786</v>
      </c>
      <c r="I214" t="s">
        <v>178</v>
      </c>
      <c r="J214" t="s">
        <v>178</v>
      </c>
      <c r="K214" s="30">
        <v>42654</v>
      </c>
      <c r="L214" s="8">
        <v>42656.752326388887</v>
      </c>
      <c r="M214" s="21">
        <f>LEN(ProjTextTable[[#This Row],[text]])</f>
        <v>7966</v>
      </c>
      <c r="N214" s="21">
        <f>LEN(TRIM(CLEAN(SUBSTITUTE(ProjTextTable[[#This Row],[text]],CHAR(10)," "))))+1 - LEN(SUBSTITUTE(CLEAN(SUBSTITUTE(ProjTextTable[[#This Row],[text]],CHAR(10)," "))," ",""))</f>
        <v>1270</v>
      </c>
      <c r="O214" t="s">
        <v>199</v>
      </c>
      <c r="P214" t="s">
        <v>1787</v>
      </c>
    </row>
    <row r="215" spans="1:16" x14ac:dyDescent="0.4">
      <c r="A215">
        <f t="shared" si="3"/>
        <v>29</v>
      </c>
      <c r="B215" t="s">
        <v>1127</v>
      </c>
      <c r="C215" t="s">
        <v>1128</v>
      </c>
      <c r="D215" t="s">
        <v>200</v>
      </c>
      <c r="E215" t="s">
        <v>406</v>
      </c>
      <c r="F215" t="s">
        <v>13</v>
      </c>
      <c r="G215" t="s">
        <v>13</v>
      </c>
      <c r="H215" t="s">
        <v>13</v>
      </c>
      <c r="K215" s="30"/>
      <c r="L215" s="8">
        <v>42577.042534722219</v>
      </c>
      <c r="M215" s="21">
        <f>LEN(ProjTextTable[[#This Row],[text]])</f>
        <v>3994</v>
      </c>
      <c r="N215" s="21">
        <f>LEN(TRIM(CLEAN(SUBSTITUTE(ProjTextTable[[#This Row],[text]],CHAR(10)," "))))+1 - LEN(SUBSTITUTE(CLEAN(SUBSTITUTE(ProjTextTable[[#This Row],[text]],CHAR(10)," "))," ",""))</f>
        <v>587</v>
      </c>
      <c r="O215" t="s">
        <v>13</v>
      </c>
      <c r="P215" t="s">
        <v>1788</v>
      </c>
    </row>
    <row r="216" spans="1:16" x14ac:dyDescent="0.4">
      <c r="A216">
        <f t="shared" si="3"/>
        <v>30</v>
      </c>
      <c r="B216" t="s">
        <v>1138</v>
      </c>
      <c r="C216" t="s">
        <v>1139</v>
      </c>
      <c r="D216" t="s">
        <v>209</v>
      </c>
      <c r="E216" t="s">
        <v>451</v>
      </c>
      <c r="F216" t="s">
        <v>1789</v>
      </c>
      <c r="G216" t="s">
        <v>1790</v>
      </c>
      <c r="H216" t="s">
        <v>1791</v>
      </c>
      <c r="I216" t="s">
        <v>197</v>
      </c>
      <c r="J216" t="s">
        <v>1618</v>
      </c>
      <c r="K216" s="30">
        <v>42871</v>
      </c>
      <c r="L216" s="8">
        <v>42916.815636574072</v>
      </c>
      <c r="M216" s="21">
        <f>LEN(ProjTextTable[[#This Row],[text]])</f>
        <v>2248</v>
      </c>
      <c r="N216" s="21">
        <f>LEN(TRIM(CLEAN(SUBSTITUTE(ProjTextTable[[#This Row],[text]],CHAR(10)," "))))+1 - LEN(SUBSTITUTE(CLEAN(SUBSTITUTE(ProjTextTable[[#This Row],[text]],CHAR(10)," "))," ",""))</f>
        <v>309</v>
      </c>
      <c r="O216" t="s">
        <v>1792</v>
      </c>
      <c r="P216" t="s">
        <v>1793</v>
      </c>
    </row>
    <row r="217" spans="1:16" x14ac:dyDescent="0.4">
      <c r="A217">
        <f t="shared" si="3"/>
        <v>30</v>
      </c>
      <c r="B217" t="s">
        <v>1138</v>
      </c>
      <c r="C217" t="s">
        <v>1139</v>
      </c>
      <c r="D217" t="s">
        <v>2</v>
      </c>
      <c r="E217" t="s">
        <v>451</v>
      </c>
      <c r="F217" t="s">
        <v>13</v>
      </c>
      <c r="G217" t="s">
        <v>1470</v>
      </c>
      <c r="H217" t="s">
        <v>13</v>
      </c>
      <c r="I217" t="s">
        <v>13</v>
      </c>
      <c r="K217" s="30"/>
      <c r="L217" s="8">
        <v>42951.478125000001</v>
      </c>
      <c r="M217" s="21">
        <f>LEN(ProjTextTable[[#This Row],[text]])</f>
        <v>4592</v>
      </c>
      <c r="N217" s="21">
        <f>LEN(TRIM(CLEAN(SUBSTITUTE(ProjTextTable[[#This Row],[text]],CHAR(10)," "))))+1 - LEN(SUBSTITUTE(CLEAN(SUBSTITUTE(ProjTextTable[[#This Row],[text]],CHAR(10)," "))," ",""))</f>
        <v>679</v>
      </c>
      <c r="O217" t="s">
        <v>13</v>
      </c>
      <c r="P217" t="s">
        <v>1794</v>
      </c>
    </row>
    <row r="218" spans="1:16" x14ac:dyDescent="0.4">
      <c r="A218">
        <f t="shared" si="3"/>
        <v>30</v>
      </c>
      <c r="B218" t="s">
        <v>1138</v>
      </c>
      <c r="C218" t="s">
        <v>1139</v>
      </c>
      <c r="D218" t="s">
        <v>198</v>
      </c>
      <c r="E218" t="s">
        <v>451</v>
      </c>
      <c r="F218" t="s">
        <v>1795</v>
      </c>
      <c r="G218" t="s">
        <v>1796</v>
      </c>
      <c r="H218" t="s">
        <v>1797</v>
      </c>
      <c r="I218" t="s">
        <v>95</v>
      </c>
      <c r="J218" t="s">
        <v>178</v>
      </c>
      <c r="K218" s="30">
        <v>42872</v>
      </c>
      <c r="L218" s="8">
        <v>42868.605219907404</v>
      </c>
      <c r="M218" s="21">
        <f>LEN(ProjTextTable[[#This Row],[text]])</f>
        <v>4202</v>
      </c>
      <c r="N218" s="21">
        <f>LEN(TRIM(CLEAN(SUBSTITUTE(ProjTextTable[[#This Row],[text]],CHAR(10)," "))))+1 - LEN(SUBSTITUTE(CLEAN(SUBSTITUTE(ProjTextTable[[#This Row],[text]],CHAR(10)," "))," ",""))</f>
        <v>599</v>
      </c>
      <c r="O218" t="s">
        <v>199</v>
      </c>
      <c r="P218" t="s">
        <v>1798</v>
      </c>
    </row>
    <row r="219" spans="1:16" x14ac:dyDescent="0.4">
      <c r="A219">
        <f t="shared" si="3"/>
        <v>30</v>
      </c>
      <c r="B219" t="s">
        <v>1138</v>
      </c>
      <c r="C219" t="s">
        <v>1139</v>
      </c>
      <c r="D219" t="s">
        <v>198</v>
      </c>
      <c r="E219" t="s">
        <v>451</v>
      </c>
      <c r="F219" t="s">
        <v>1799</v>
      </c>
      <c r="G219" t="s">
        <v>595</v>
      </c>
      <c r="H219" t="s">
        <v>1800</v>
      </c>
      <c r="I219" t="s">
        <v>95</v>
      </c>
      <c r="J219" t="s">
        <v>178</v>
      </c>
      <c r="K219" s="30">
        <v>42872</v>
      </c>
      <c r="L219" s="8">
        <v>42871.303171296298</v>
      </c>
      <c r="M219" s="21">
        <f>LEN(ProjTextTable[[#This Row],[text]])</f>
        <v>3511</v>
      </c>
      <c r="N219" s="21">
        <f>LEN(TRIM(CLEAN(SUBSTITUTE(ProjTextTable[[#This Row],[text]],CHAR(10)," "))))+1 - LEN(SUBSTITUTE(CLEAN(SUBSTITUTE(ProjTextTable[[#This Row],[text]],CHAR(10)," "))," ",""))</f>
        <v>523</v>
      </c>
      <c r="O219" t="s">
        <v>199</v>
      </c>
      <c r="P219" t="s">
        <v>1801</v>
      </c>
    </row>
    <row r="220" spans="1:16" x14ac:dyDescent="0.4">
      <c r="A220">
        <f t="shared" si="3"/>
        <v>30</v>
      </c>
      <c r="B220" t="s">
        <v>1138</v>
      </c>
      <c r="C220" t="s">
        <v>1139</v>
      </c>
      <c r="D220" t="s">
        <v>198</v>
      </c>
      <c r="E220" t="s">
        <v>451</v>
      </c>
      <c r="F220" t="s">
        <v>1802</v>
      </c>
      <c r="G220" t="s">
        <v>1803</v>
      </c>
      <c r="H220" t="s">
        <v>1804</v>
      </c>
      <c r="I220" t="s">
        <v>95</v>
      </c>
      <c r="J220" t="s">
        <v>178</v>
      </c>
      <c r="K220" s="30">
        <v>42872</v>
      </c>
      <c r="L220" s="8">
        <v>42872.505439814813</v>
      </c>
      <c r="M220" s="21">
        <f>LEN(ProjTextTable[[#This Row],[text]])</f>
        <v>7639</v>
      </c>
      <c r="N220" s="21">
        <f>LEN(TRIM(CLEAN(SUBSTITUTE(ProjTextTable[[#This Row],[text]],CHAR(10)," "))))+1 - LEN(SUBSTITUTE(CLEAN(SUBSTITUTE(ProjTextTable[[#This Row],[text]],CHAR(10)," "))," ",""))</f>
        <v>1068</v>
      </c>
      <c r="O220" t="s">
        <v>199</v>
      </c>
      <c r="P220" t="s">
        <v>1805</v>
      </c>
    </row>
    <row r="221" spans="1:16" x14ac:dyDescent="0.4">
      <c r="A221">
        <f t="shared" si="3"/>
        <v>30</v>
      </c>
      <c r="B221" t="s">
        <v>1138</v>
      </c>
      <c r="C221" t="s">
        <v>1139</v>
      </c>
      <c r="D221" t="s">
        <v>200</v>
      </c>
      <c r="E221" t="s">
        <v>451</v>
      </c>
      <c r="F221" t="s">
        <v>13</v>
      </c>
      <c r="G221" t="s">
        <v>13</v>
      </c>
      <c r="H221" t="s">
        <v>13</v>
      </c>
      <c r="K221" s="30"/>
      <c r="L221" s="8">
        <v>42808.042256944442</v>
      </c>
      <c r="M221" s="21">
        <f>LEN(ProjTextTable[[#This Row],[text]])</f>
        <v>4262</v>
      </c>
      <c r="N221" s="21">
        <f>LEN(TRIM(CLEAN(SUBSTITUTE(ProjTextTable[[#This Row],[text]],CHAR(10)," "))))+1 - LEN(SUBSTITUTE(CLEAN(SUBSTITUTE(ProjTextTable[[#This Row],[text]],CHAR(10)," "))," ",""))</f>
        <v>646</v>
      </c>
      <c r="O221" t="s">
        <v>13</v>
      </c>
      <c r="P221" t="s">
        <v>1806</v>
      </c>
    </row>
    <row r="222" spans="1:16" x14ac:dyDescent="0.4">
      <c r="A222">
        <f t="shared" si="3"/>
        <v>31</v>
      </c>
      <c r="B222" t="s">
        <v>1144</v>
      </c>
      <c r="C222" t="s">
        <v>1146</v>
      </c>
      <c r="D222" t="s">
        <v>209</v>
      </c>
      <c r="E222" t="s">
        <v>451</v>
      </c>
      <c r="F222" t="s">
        <v>1789</v>
      </c>
      <c r="G222" t="s">
        <v>1790</v>
      </c>
      <c r="H222" t="s">
        <v>1807</v>
      </c>
      <c r="I222" t="s">
        <v>204</v>
      </c>
      <c r="J222" t="s">
        <v>714</v>
      </c>
      <c r="K222" s="30">
        <v>42871</v>
      </c>
      <c r="L222" s="8"/>
      <c r="M222" s="21">
        <f>LEN(ProjTextTable[[#This Row],[text]])</f>
        <v>1</v>
      </c>
      <c r="N222" s="21">
        <f>LEN(TRIM(CLEAN(SUBSTITUTE(ProjTextTable[[#This Row],[text]],CHAR(10)," "))))+1 - LEN(SUBSTITUTE(CLEAN(SUBSTITUTE(ProjTextTable[[#This Row],[text]],CHAR(10)," "))," ",""))</f>
        <v>1</v>
      </c>
      <c r="O222" t="s">
        <v>1808</v>
      </c>
      <c r="P222" t="s">
        <v>13</v>
      </c>
    </row>
    <row r="223" spans="1:16" x14ac:dyDescent="0.4">
      <c r="A223">
        <f t="shared" si="3"/>
        <v>31</v>
      </c>
      <c r="B223" t="s">
        <v>1144</v>
      </c>
      <c r="C223" t="s">
        <v>1146</v>
      </c>
      <c r="D223" t="s">
        <v>1467</v>
      </c>
      <c r="E223" t="s">
        <v>406</v>
      </c>
      <c r="F223" t="s">
        <v>1144</v>
      </c>
      <c r="G223" t="s">
        <v>1468</v>
      </c>
      <c r="H223" t="s">
        <v>13</v>
      </c>
      <c r="I223" t="s">
        <v>13</v>
      </c>
      <c r="J223" t="s">
        <v>777</v>
      </c>
      <c r="K223" s="30">
        <v>42957.678472222222</v>
      </c>
      <c r="L223" s="8">
        <v>44783.678472222222</v>
      </c>
      <c r="M223" s="21">
        <f>LEN(ProjTextTable[[#This Row],[text]])</f>
        <v>2107</v>
      </c>
      <c r="N223" s="21">
        <f>LEN(TRIM(CLEAN(SUBSTITUTE(ProjTextTable[[#This Row],[text]],CHAR(10)," "))))+1 - LEN(SUBSTITUTE(CLEAN(SUBSTITUTE(ProjTextTable[[#This Row],[text]],CHAR(10)," "))," ",""))</f>
        <v>332</v>
      </c>
      <c r="O223" t="s">
        <v>13</v>
      </c>
      <c r="P223" t="s">
        <v>1809</v>
      </c>
    </row>
    <row r="224" spans="1:16" x14ac:dyDescent="0.4">
      <c r="A224">
        <f t="shared" si="3"/>
        <v>31</v>
      </c>
      <c r="B224" t="s">
        <v>1144</v>
      </c>
      <c r="C224" t="s">
        <v>1146</v>
      </c>
      <c r="D224" t="s">
        <v>2</v>
      </c>
      <c r="E224" t="s">
        <v>406</v>
      </c>
      <c r="F224" t="s">
        <v>13</v>
      </c>
      <c r="G224" t="s">
        <v>1470</v>
      </c>
      <c r="H224" t="s">
        <v>13</v>
      </c>
      <c r="I224" t="s">
        <v>13</v>
      </c>
      <c r="K224" s="30"/>
      <c r="L224" s="8">
        <v>42914.640243055554</v>
      </c>
      <c r="M224" s="21">
        <f>LEN(ProjTextTable[[#This Row],[text]])</f>
        <v>2149</v>
      </c>
      <c r="N224" s="21">
        <f>LEN(TRIM(CLEAN(SUBSTITUTE(ProjTextTable[[#This Row],[text]],CHAR(10)," "))))+1 - LEN(SUBSTITUTE(CLEAN(SUBSTITUTE(ProjTextTable[[#This Row],[text]],CHAR(10)," "))," ",""))</f>
        <v>314</v>
      </c>
      <c r="O224" t="s">
        <v>13</v>
      </c>
      <c r="P224" t="s">
        <v>1810</v>
      </c>
    </row>
    <row r="225" spans="1:16" x14ac:dyDescent="0.4">
      <c r="A225">
        <f t="shared" si="3"/>
        <v>31</v>
      </c>
      <c r="B225" t="s">
        <v>1144</v>
      </c>
      <c r="C225" t="s">
        <v>1146</v>
      </c>
      <c r="D225" t="s">
        <v>198</v>
      </c>
      <c r="E225" t="s">
        <v>451</v>
      </c>
      <c r="F225" t="s">
        <v>1472</v>
      </c>
      <c r="G225" t="s">
        <v>1473</v>
      </c>
      <c r="H225" t="s">
        <v>1474</v>
      </c>
      <c r="I225" t="s">
        <v>95</v>
      </c>
      <c r="J225" t="s">
        <v>178</v>
      </c>
      <c r="K225" s="30">
        <v>42872</v>
      </c>
      <c r="L225" s="8">
        <v>42872.392164351855</v>
      </c>
      <c r="M225" s="21">
        <f>LEN(ProjTextTable[[#This Row],[text]])</f>
        <v>4452</v>
      </c>
      <c r="N225" s="21">
        <f>LEN(TRIM(CLEAN(SUBSTITUTE(ProjTextTable[[#This Row],[text]],CHAR(10)," "))))+1 - LEN(SUBSTITUTE(CLEAN(SUBSTITUTE(ProjTextTable[[#This Row],[text]],CHAR(10)," "))," ",""))</f>
        <v>705</v>
      </c>
      <c r="O225" t="s">
        <v>205</v>
      </c>
      <c r="P225" t="s">
        <v>1811</v>
      </c>
    </row>
    <row r="226" spans="1:16" x14ac:dyDescent="0.4">
      <c r="A226">
        <f t="shared" si="3"/>
        <v>31</v>
      </c>
      <c r="B226" t="s">
        <v>1144</v>
      </c>
      <c r="C226" t="s">
        <v>1146</v>
      </c>
      <c r="D226" t="s">
        <v>198</v>
      </c>
      <c r="E226" t="s">
        <v>451</v>
      </c>
      <c r="F226" t="s">
        <v>1799</v>
      </c>
      <c r="G226" t="s">
        <v>595</v>
      </c>
      <c r="H226" t="s">
        <v>1800</v>
      </c>
      <c r="I226" t="s">
        <v>95</v>
      </c>
      <c r="J226" t="s">
        <v>215</v>
      </c>
      <c r="K226" s="30">
        <v>42872</v>
      </c>
      <c r="L226" s="8">
        <v>42868.44258101852</v>
      </c>
      <c r="M226" s="21">
        <f>LEN(ProjTextTable[[#This Row],[text]])</f>
        <v>3032</v>
      </c>
      <c r="N226" s="21">
        <f>LEN(TRIM(CLEAN(SUBSTITUTE(ProjTextTable[[#This Row],[text]],CHAR(10)," "))))+1 - LEN(SUBSTITUTE(CLEAN(SUBSTITUTE(ProjTextTable[[#This Row],[text]],CHAR(10)," "))," ",""))</f>
        <v>423</v>
      </c>
      <c r="O226" t="s">
        <v>199</v>
      </c>
      <c r="P226" t="s">
        <v>1812</v>
      </c>
    </row>
    <row r="227" spans="1:16" x14ac:dyDescent="0.4">
      <c r="A227">
        <f t="shared" si="3"/>
        <v>31</v>
      </c>
      <c r="B227" t="s">
        <v>1144</v>
      </c>
      <c r="C227" t="s">
        <v>1146</v>
      </c>
      <c r="D227" t="s">
        <v>198</v>
      </c>
      <c r="E227" t="s">
        <v>451</v>
      </c>
      <c r="F227" t="s">
        <v>1802</v>
      </c>
      <c r="G227" t="s">
        <v>1803</v>
      </c>
      <c r="H227" t="s">
        <v>1804</v>
      </c>
      <c r="I227" t="s">
        <v>95</v>
      </c>
      <c r="J227" t="s">
        <v>215</v>
      </c>
      <c r="K227" s="30">
        <v>42872</v>
      </c>
      <c r="L227" s="8">
        <v>42870.915416666663</v>
      </c>
      <c r="M227" s="21">
        <f>LEN(ProjTextTable[[#This Row],[text]])</f>
        <v>8519</v>
      </c>
      <c r="N227" s="21">
        <f>LEN(TRIM(CLEAN(SUBSTITUTE(ProjTextTable[[#This Row],[text]],CHAR(10)," "))))+1 - LEN(SUBSTITUTE(CLEAN(SUBSTITUTE(ProjTextTable[[#This Row],[text]],CHAR(10)," "))," ",""))</f>
        <v>1176</v>
      </c>
      <c r="O227" t="s">
        <v>199</v>
      </c>
      <c r="P227" t="s">
        <v>1813</v>
      </c>
    </row>
    <row r="228" spans="1:16" x14ac:dyDescent="0.4">
      <c r="A228">
        <f t="shared" si="3"/>
        <v>32</v>
      </c>
      <c r="B228" t="s">
        <v>1163</v>
      </c>
      <c r="C228" t="s">
        <v>1164</v>
      </c>
      <c r="D228" t="s">
        <v>209</v>
      </c>
      <c r="E228" t="s">
        <v>451</v>
      </c>
      <c r="F228" t="s">
        <v>1789</v>
      </c>
      <c r="G228" t="s">
        <v>1790</v>
      </c>
      <c r="H228" t="s">
        <v>1807</v>
      </c>
      <c r="I228" t="s">
        <v>204</v>
      </c>
      <c r="J228" t="s">
        <v>714</v>
      </c>
      <c r="K228" s="30">
        <v>42871</v>
      </c>
      <c r="L228" s="8"/>
      <c r="M228" s="21">
        <f>LEN(ProjTextTable[[#This Row],[text]])</f>
        <v>1</v>
      </c>
      <c r="N228" s="21">
        <f>LEN(TRIM(CLEAN(SUBSTITUTE(ProjTextTable[[#This Row],[text]],CHAR(10)," "))))+1 - LEN(SUBSTITUTE(CLEAN(SUBSTITUTE(ProjTextTable[[#This Row],[text]],CHAR(10)," "))," ",""))</f>
        <v>1</v>
      </c>
      <c r="O228" t="s">
        <v>1808</v>
      </c>
      <c r="P228" t="s">
        <v>13</v>
      </c>
    </row>
    <row r="229" spans="1:16" x14ac:dyDescent="0.4">
      <c r="A229">
        <f t="shared" si="3"/>
        <v>32</v>
      </c>
      <c r="B229" t="s">
        <v>1163</v>
      </c>
      <c r="C229" t="s">
        <v>1164</v>
      </c>
      <c r="D229" t="s">
        <v>1467</v>
      </c>
      <c r="E229" t="s">
        <v>451</v>
      </c>
      <c r="F229" t="s">
        <v>1163</v>
      </c>
      <c r="G229" t="s">
        <v>1497</v>
      </c>
      <c r="H229" t="s">
        <v>13</v>
      </c>
      <c r="I229" t="s">
        <v>13</v>
      </c>
      <c r="J229" t="s">
        <v>777</v>
      </c>
      <c r="K229" s="30">
        <v>42955.353472222225</v>
      </c>
      <c r="L229" s="8">
        <v>44781.353472222225</v>
      </c>
      <c r="M229" s="21">
        <f>LEN(ProjTextTable[[#This Row],[text]])</f>
        <v>249</v>
      </c>
      <c r="N229" s="21">
        <f>LEN(TRIM(CLEAN(SUBSTITUTE(ProjTextTable[[#This Row],[text]],CHAR(10)," "))))+1 - LEN(SUBSTITUTE(CLEAN(SUBSTITUTE(ProjTextTable[[#This Row],[text]],CHAR(10)," "))," ",""))</f>
        <v>41</v>
      </c>
      <c r="O229" t="s">
        <v>13</v>
      </c>
      <c r="P229" t="s">
        <v>1814</v>
      </c>
    </row>
    <row r="230" spans="1:16" x14ac:dyDescent="0.4">
      <c r="A230">
        <f t="shared" si="3"/>
        <v>32</v>
      </c>
      <c r="B230" t="s">
        <v>1163</v>
      </c>
      <c r="C230" t="s">
        <v>1164</v>
      </c>
      <c r="D230" t="s">
        <v>2</v>
      </c>
      <c r="E230" t="s">
        <v>451</v>
      </c>
      <c r="F230" t="s">
        <v>13</v>
      </c>
      <c r="G230" t="s">
        <v>1470</v>
      </c>
      <c r="H230" t="s">
        <v>13</v>
      </c>
      <c r="I230" t="s">
        <v>13</v>
      </c>
      <c r="K230" s="30"/>
      <c r="L230" s="8">
        <v>42951.514120370368</v>
      </c>
      <c r="M230" s="21">
        <f>LEN(ProjTextTable[[#This Row],[text]])</f>
        <v>4592</v>
      </c>
      <c r="N230" s="21">
        <f>LEN(TRIM(CLEAN(SUBSTITUTE(ProjTextTable[[#This Row],[text]],CHAR(10)," "))))+1 - LEN(SUBSTITUTE(CLEAN(SUBSTITUTE(ProjTextTable[[#This Row],[text]],CHAR(10)," "))," ",""))</f>
        <v>679</v>
      </c>
      <c r="O230" t="s">
        <v>13</v>
      </c>
      <c r="P230" t="s">
        <v>1794</v>
      </c>
    </row>
    <row r="231" spans="1:16" x14ac:dyDescent="0.4">
      <c r="A231">
        <f t="shared" si="3"/>
        <v>32</v>
      </c>
      <c r="B231" t="s">
        <v>1163</v>
      </c>
      <c r="C231" t="s">
        <v>1164</v>
      </c>
      <c r="D231" t="s">
        <v>198</v>
      </c>
      <c r="E231" t="s">
        <v>451</v>
      </c>
      <c r="F231" t="s">
        <v>1433</v>
      </c>
      <c r="G231" t="s">
        <v>1434</v>
      </c>
      <c r="H231" t="s">
        <v>1435</v>
      </c>
      <c r="I231" t="s">
        <v>95</v>
      </c>
      <c r="J231" t="s">
        <v>178</v>
      </c>
      <c r="K231" s="30">
        <v>42872</v>
      </c>
      <c r="L231" s="8">
        <v>42872.458402777775</v>
      </c>
      <c r="M231" s="21">
        <f>LEN(ProjTextTable[[#This Row],[text]])</f>
        <v>6622</v>
      </c>
      <c r="N231" s="21">
        <f>LEN(TRIM(CLEAN(SUBSTITUTE(ProjTextTable[[#This Row],[text]],CHAR(10)," "))))+1 - LEN(SUBSTITUTE(CLEAN(SUBSTITUTE(ProjTextTable[[#This Row],[text]],CHAR(10)," "))," ",""))</f>
        <v>1064</v>
      </c>
      <c r="O231" t="s">
        <v>205</v>
      </c>
      <c r="P231" t="s">
        <v>1815</v>
      </c>
    </row>
    <row r="232" spans="1:16" x14ac:dyDescent="0.4">
      <c r="A232">
        <f t="shared" si="3"/>
        <v>32</v>
      </c>
      <c r="B232" t="s">
        <v>1163</v>
      </c>
      <c r="C232" t="s">
        <v>1164</v>
      </c>
      <c r="D232" t="s">
        <v>198</v>
      </c>
      <c r="E232" t="s">
        <v>451</v>
      </c>
      <c r="F232" t="s">
        <v>1816</v>
      </c>
      <c r="G232" t="s">
        <v>1817</v>
      </c>
      <c r="H232" t="s">
        <v>1818</v>
      </c>
      <c r="I232" t="s">
        <v>95</v>
      </c>
      <c r="J232" t="s">
        <v>178</v>
      </c>
      <c r="K232" s="30">
        <v>42872</v>
      </c>
      <c r="L232" s="8">
        <v>42872.276736111111</v>
      </c>
      <c r="M232" s="21">
        <f>LEN(ProjTextTable[[#This Row],[text]])</f>
        <v>3733</v>
      </c>
      <c r="N232" s="21">
        <f>LEN(TRIM(CLEAN(SUBSTITUTE(ProjTextTable[[#This Row],[text]],CHAR(10)," "))))+1 - LEN(SUBSTITUTE(CLEAN(SUBSTITUTE(ProjTextTable[[#This Row],[text]],CHAR(10)," "))," ",""))</f>
        <v>592</v>
      </c>
      <c r="O232" t="s">
        <v>205</v>
      </c>
      <c r="P232" t="s">
        <v>1819</v>
      </c>
    </row>
    <row r="233" spans="1:16" x14ac:dyDescent="0.4">
      <c r="A233">
        <f t="shared" si="3"/>
        <v>32</v>
      </c>
      <c r="B233" t="s">
        <v>1163</v>
      </c>
      <c r="C233" t="s">
        <v>1164</v>
      </c>
      <c r="D233" t="s">
        <v>198</v>
      </c>
      <c r="E233" t="s">
        <v>451</v>
      </c>
      <c r="F233" t="s">
        <v>1820</v>
      </c>
      <c r="G233" t="s">
        <v>1821</v>
      </c>
      <c r="H233" t="s">
        <v>1822</v>
      </c>
      <c r="I233" t="s">
        <v>95</v>
      </c>
      <c r="J233" t="s">
        <v>178</v>
      </c>
      <c r="K233" s="30">
        <v>42872</v>
      </c>
      <c r="L233" s="8">
        <v>42871.868738425925</v>
      </c>
      <c r="M233" s="21">
        <f>LEN(ProjTextTable[[#This Row],[text]])</f>
        <v>7812</v>
      </c>
      <c r="N233" s="21">
        <f>LEN(TRIM(CLEAN(SUBSTITUTE(ProjTextTable[[#This Row],[text]],CHAR(10)," "))))+1 - LEN(SUBSTITUTE(CLEAN(SUBSTITUTE(ProjTextTable[[#This Row],[text]],CHAR(10)," "))," ",""))</f>
        <v>1250</v>
      </c>
      <c r="O233" t="s">
        <v>199</v>
      </c>
      <c r="P233" t="s">
        <v>1823</v>
      </c>
    </row>
    <row r="234" spans="1:16" x14ac:dyDescent="0.4">
      <c r="A234">
        <f t="shared" si="3"/>
        <v>32</v>
      </c>
      <c r="B234" t="s">
        <v>1163</v>
      </c>
      <c r="C234" t="s">
        <v>1164</v>
      </c>
      <c r="D234" t="s">
        <v>200</v>
      </c>
      <c r="E234" t="s">
        <v>451</v>
      </c>
      <c r="F234" t="s">
        <v>13</v>
      </c>
      <c r="G234" t="s">
        <v>13</v>
      </c>
      <c r="H234" t="s">
        <v>13</v>
      </c>
      <c r="K234" s="30"/>
      <c r="L234" s="8">
        <v>42808.042314814818</v>
      </c>
      <c r="M234" s="21">
        <f>LEN(ProjTextTable[[#This Row],[text]])</f>
        <v>4204</v>
      </c>
      <c r="N234" s="21">
        <f>LEN(TRIM(CLEAN(SUBSTITUTE(ProjTextTable[[#This Row],[text]],CHAR(10)," "))))+1 - LEN(SUBSTITUTE(CLEAN(SUBSTITUTE(ProjTextTable[[#This Row],[text]],CHAR(10)," "))," ",""))</f>
        <v>577</v>
      </c>
      <c r="O234" t="s">
        <v>13</v>
      </c>
      <c r="P234" t="s">
        <v>1824</v>
      </c>
    </row>
    <row r="235" spans="1:16" x14ac:dyDescent="0.4">
      <c r="A235">
        <f t="shared" si="3"/>
        <v>33</v>
      </c>
      <c r="B235" t="s">
        <v>1177</v>
      </c>
      <c r="C235" t="s">
        <v>1178</v>
      </c>
      <c r="D235" t="s">
        <v>209</v>
      </c>
      <c r="E235" t="s">
        <v>451</v>
      </c>
      <c r="F235" t="s">
        <v>1789</v>
      </c>
      <c r="G235" t="s">
        <v>1790</v>
      </c>
      <c r="H235" t="s">
        <v>1807</v>
      </c>
      <c r="I235" t="s">
        <v>204</v>
      </c>
      <c r="J235" t="s">
        <v>714</v>
      </c>
      <c r="K235" s="30">
        <v>42871</v>
      </c>
      <c r="L235" s="8"/>
      <c r="M235" s="21">
        <f>LEN(ProjTextTable[[#This Row],[text]])</f>
        <v>1</v>
      </c>
      <c r="N235" s="21">
        <f>LEN(TRIM(CLEAN(SUBSTITUTE(ProjTextTable[[#This Row],[text]],CHAR(10)," "))))+1 - LEN(SUBSTITUTE(CLEAN(SUBSTITUTE(ProjTextTable[[#This Row],[text]],CHAR(10)," "))," ",""))</f>
        <v>1</v>
      </c>
      <c r="O235" t="s">
        <v>1808</v>
      </c>
      <c r="P235" t="s">
        <v>13</v>
      </c>
    </row>
    <row r="236" spans="1:16" x14ac:dyDescent="0.4">
      <c r="A236">
        <f t="shared" si="3"/>
        <v>33</v>
      </c>
      <c r="B236" t="s">
        <v>1177</v>
      </c>
      <c r="C236" t="s">
        <v>1178</v>
      </c>
      <c r="D236" t="s">
        <v>1467</v>
      </c>
      <c r="E236" t="s">
        <v>451</v>
      </c>
      <c r="F236" t="s">
        <v>1177</v>
      </c>
      <c r="G236" t="s">
        <v>1497</v>
      </c>
      <c r="H236" t="s">
        <v>13</v>
      </c>
      <c r="I236" t="s">
        <v>13</v>
      </c>
      <c r="J236" t="s">
        <v>777</v>
      </c>
      <c r="K236" s="30">
        <v>42955.354166666664</v>
      </c>
      <c r="L236" s="8">
        <v>44781.354166666664</v>
      </c>
      <c r="M236" s="21">
        <f>LEN(ProjTextTable[[#This Row],[text]])</f>
        <v>249</v>
      </c>
      <c r="N236" s="21">
        <f>LEN(TRIM(CLEAN(SUBSTITUTE(ProjTextTable[[#This Row],[text]],CHAR(10)," "))))+1 - LEN(SUBSTITUTE(CLEAN(SUBSTITUTE(ProjTextTable[[#This Row],[text]],CHAR(10)," "))," ",""))</f>
        <v>41</v>
      </c>
      <c r="O236" t="s">
        <v>13</v>
      </c>
      <c r="P236" t="s">
        <v>1825</v>
      </c>
    </row>
    <row r="237" spans="1:16" x14ac:dyDescent="0.4">
      <c r="A237">
        <f t="shared" si="3"/>
        <v>33</v>
      </c>
      <c r="B237" t="s">
        <v>1177</v>
      </c>
      <c r="C237" t="s">
        <v>1178</v>
      </c>
      <c r="D237" t="s">
        <v>2</v>
      </c>
      <c r="E237" t="s">
        <v>451</v>
      </c>
      <c r="F237" t="s">
        <v>13</v>
      </c>
      <c r="G237" t="s">
        <v>1470</v>
      </c>
      <c r="H237" t="s">
        <v>13</v>
      </c>
      <c r="I237" t="s">
        <v>13</v>
      </c>
      <c r="K237" s="30"/>
      <c r="L237" s="8">
        <v>42951.518680555557</v>
      </c>
      <c r="M237" s="21">
        <f>LEN(ProjTextTable[[#This Row],[text]])</f>
        <v>4592</v>
      </c>
      <c r="N237" s="21">
        <f>LEN(TRIM(CLEAN(SUBSTITUTE(ProjTextTable[[#This Row],[text]],CHAR(10)," "))))+1 - LEN(SUBSTITUTE(CLEAN(SUBSTITUTE(ProjTextTable[[#This Row],[text]],CHAR(10)," "))," ",""))</f>
        <v>679</v>
      </c>
      <c r="O237" t="s">
        <v>13</v>
      </c>
      <c r="P237" t="s">
        <v>1794</v>
      </c>
    </row>
    <row r="238" spans="1:16" x14ac:dyDescent="0.4">
      <c r="A238">
        <f t="shared" si="3"/>
        <v>33</v>
      </c>
      <c r="B238" t="s">
        <v>1177</v>
      </c>
      <c r="C238" t="s">
        <v>1178</v>
      </c>
      <c r="D238" t="s">
        <v>198</v>
      </c>
      <c r="E238" t="s">
        <v>451</v>
      </c>
      <c r="F238" t="s">
        <v>1795</v>
      </c>
      <c r="G238" t="s">
        <v>1796</v>
      </c>
      <c r="H238" t="s">
        <v>1797</v>
      </c>
      <c r="I238" t="s">
        <v>95</v>
      </c>
      <c r="J238" t="s">
        <v>178</v>
      </c>
      <c r="K238" s="30">
        <v>42872</v>
      </c>
      <c r="L238" s="8">
        <v>42868.61440972222</v>
      </c>
      <c r="M238" s="21">
        <f>LEN(ProjTextTable[[#This Row],[text]])</f>
        <v>4801</v>
      </c>
      <c r="N238" s="21">
        <f>LEN(TRIM(CLEAN(SUBSTITUTE(ProjTextTable[[#This Row],[text]],CHAR(10)," "))))+1 - LEN(SUBSTITUTE(CLEAN(SUBSTITUTE(ProjTextTable[[#This Row],[text]],CHAR(10)," "))," ",""))</f>
        <v>697</v>
      </c>
      <c r="O238" t="s">
        <v>199</v>
      </c>
      <c r="P238" t="s">
        <v>1826</v>
      </c>
    </row>
    <row r="239" spans="1:16" x14ac:dyDescent="0.4">
      <c r="A239">
        <f t="shared" si="3"/>
        <v>33</v>
      </c>
      <c r="B239" t="s">
        <v>1177</v>
      </c>
      <c r="C239" t="s">
        <v>1178</v>
      </c>
      <c r="D239" t="s">
        <v>198</v>
      </c>
      <c r="E239" t="s">
        <v>451</v>
      </c>
      <c r="F239" t="s">
        <v>1816</v>
      </c>
      <c r="G239" t="s">
        <v>1817</v>
      </c>
      <c r="H239" t="s">
        <v>1818</v>
      </c>
      <c r="I239" t="s">
        <v>95</v>
      </c>
      <c r="J239" t="s">
        <v>178</v>
      </c>
      <c r="K239" s="30">
        <v>42872</v>
      </c>
      <c r="L239" s="8">
        <v>42861.907708333332</v>
      </c>
      <c r="M239" s="21">
        <f>LEN(ProjTextTable[[#This Row],[text]])</f>
        <v>4282</v>
      </c>
      <c r="N239" s="21">
        <f>LEN(TRIM(CLEAN(SUBSTITUTE(ProjTextTable[[#This Row],[text]],CHAR(10)," "))))+1 - LEN(SUBSTITUTE(CLEAN(SUBSTITUTE(ProjTextTable[[#This Row],[text]],CHAR(10)," "))," ",""))</f>
        <v>661</v>
      </c>
      <c r="O239" t="s">
        <v>199</v>
      </c>
      <c r="P239" t="s">
        <v>1827</v>
      </c>
    </row>
    <row r="240" spans="1:16" x14ac:dyDescent="0.4">
      <c r="A240">
        <f t="shared" si="3"/>
        <v>33</v>
      </c>
      <c r="B240" t="s">
        <v>1177</v>
      </c>
      <c r="C240" t="s">
        <v>1178</v>
      </c>
      <c r="D240" t="s">
        <v>198</v>
      </c>
      <c r="E240" t="s">
        <v>451</v>
      </c>
      <c r="F240" t="s">
        <v>1820</v>
      </c>
      <c r="G240" t="s">
        <v>1821</v>
      </c>
      <c r="H240" t="s">
        <v>1822</v>
      </c>
      <c r="I240" t="s">
        <v>95</v>
      </c>
      <c r="J240" t="s">
        <v>178</v>
      </c>
      <c r="K240" s="30">
        <v>42872</v>
      </c>
      <c r="L240" s="8">
        <v>42871.922523148147</v>
      </c>
      <c r="M240" s="21">
        <f>LEN(ProjTextTable[[#This Row],[text]])</f>
        <v>5655</v>
      </c>
      <c r="N240" s="21">
        <f>LEN(TRIM(CLEAN(SUBSTITUTE(ProjTextTable[[#This Row],[text]],CHAR(10)," "))))+1 - LEN(SUBSTITUTE(CLEAN(SUBSTITUTE(ProjTextTable[[#This Row],[text]],CHAR(10)," "))," ",""))</f>
        <v>879</v>
      </c>
      <c r="O240" t="s">
        <v>207</v>
      </c>
      <c r="P240" t="s">
        <v>1828</v>
      </c>
    </row>
    <row r="241" spans="1:16" x14ac:dyDescent="0.4">
      <c r="A241">
        <f t="shared" si="3"/>
        <v>33</v>
      </c>
      <c r="B241" t="s">
        <v>1177</v>
      </c>
      <c r="C241" t="s">
        <v>1178</v>
      </c>
      <c r="D241" t="s">
        <v>200</v>
      </c>
      <c r="E241" t="s">
        <v>451</v>
      </c>
      <c r="F241" t="s">
        <v>13</v>
      </c>
      <c r="G241" t="s">
        <v>13</v>
      </c>
      <c r="H241" t="s">
        <v>13</v>
      </c>
      <c r="K241" s="30"/>
      <c r="L241" s="8">
        <v>42810.042233796295</v>
      </c>
      <c r="M241" s="21">
        <f>LEN(ProjTextTable[[#This Row],[text]])</f>
        <v>4031</v>
      </c>
      <c r="N241" s="21">
        <f>LEN(TRIM(CLEAN(SUBSTITUTE(ProjTextTable[[#This Row],[text]],CHAR(10)," "))))+1 - LEN(SUBSTITUTE(CLEAN(SUBSTITUTE(ProjTextTable[[#This Row],[text]],CHAR(10)," "))," ",""))</f>
        <v>568</v>
      </c>
      <c r="O241" t="s">
        <v>13</v>
      </c>
      <c r="P241" t="s">
        <v>1829</v>
      </c>
    </row>
    <row r="242" spans="1:16" x14ac:dyDescent="0.4">
      <c r="A242">
        <f t="shared" si="3"/>
        <v>34</v>
      </c>
      <c r="B242" t="s">
        <v>1192</v>
      </c>
      <c r="C242" t="s">
        <v>1193</v>
      </c>
      <c r="D242" t="s">
        <v>209</v>
      </c>
      <c r="E242" t="s">
        <v>451</v>
      </c>
      <c r="F242" t="s">
        <v>1789</v>
      </c>
      <c r="G242" t="s">
        <v>1790</v>
      </c>
      <c r="H242" t="s">
        <v>1807</v>
      </c>
      <c r="I242" t="s">
        <v>204</v>
      </c>
      <c r="J242" t="s">
        <v>714</v>
      </c>
      <c r="K242" s="30">
        <v>42871</v>
      </c>
      <c r="L242" s="8"/>
      <c r="M242" s="21">
        <f>LEN(ProjTextTable[[#This Row],[text]])</f>
        <v>1</v>
      </c>
      <c r="N242" s="21">
        <f>LEN(TRIM(CLEAN(SUBSTITUTE(ProjTextTable[[#This Row],[text]],CHAR(10)," "))))+1 - LEN(SUBSTITUTE(CLEAN(SUBSTITUTE(ProjTextTable[[#This Row],[text]],CHAR(10)," "))," ",""))</f>
        <v>1</v>
      </c>
      <c r="O242" t="s">
        <v>1808</v>
      </c>
      <c r="P242" t="s">
        <v>13</v>
      </c>
    </row>
    <row r="243" spans="1:16" x14ac:dyDescent="0.4">
      <c r="A243">
        <f t="shared" si="3"/>
        <v>34</v>
      </c>
      <c r="B243" t="s">
        <v>1192</v>
      </c>
      <c r="C243" t="s">
        <v>1193</v>
      </c>
      <c r="D243" t="s">
        <v>1467</v>
      </c>
      <c r="E243" t="s">
        <v>406</v>
      </c>
      <c r="F243" t="s">
        <v>1192</v>
      </c>
      <c r="G243" t="s">
        <v>1468</v>
      </c>
      <c r="H243" t="s">
        <v>13</v>
      </c>
      <c r="I243" t="s">
        <v>13</v>
      </c>
      <c r="J243" t="s">
        <v>777</v>
      </c>
      <c r="K243" s="30">
        <v>42955.686111111114</v>
      </c>
      <c r="L243" s="8">
        <v>44781.686111111114</v>
      </c>
      <c r="M243" s="21">
        <f>LEN(ProjTextTable[[#This Row],[text]])</f>
        <v>2107</v>
      </c>
      <c r="N243" s="21">
        <f>LEN(TRIM(CLEAN(SUBSTITUTE(ProjTextTable[[#This Row],[text]],CHAR(10)," "))))+1 - LEN(SUBSTITUTE(CLEAN(SUBSTITUTE(ProjTextTable[[#This Row],[text]],CHAR(10)," "))," ",""))</f>
        <v>332</v>
      </c>
      <c r="O243" t="s">
        <v>13</v>
      </c>
      <c r="P243" t="s">
        <v>1809</v>
      </c>
    </row>
    <row r="244" spans="1:16" x14ac:dyDescent="0.4">
      <c r="A244">
        <f t="shared" si="3"/>
        <v>34</v>
      </c>
      <c r="B244" t="s">
        <v>1192</v>
      </c>
      <c r="C244" t="s">
        <v>1193</v>
      </c>
      <c r="D244" t="s">
        <v>2</v>
      </c>
      <c r="E244" t="s">
        <v>406</v>
      </c>
      <c r="F244" t="s">
        <v>13</v>
      </c>
      <c r="G244" t="s">
        <v>1470</v>
      </c>
      <c r="H244" t="s">
        <v>13</v>
      </c>
      <c r="I244" t="s">
        <v>13</v>
      </c>
      <c r="K244" s="30"/>
      <c r="L244" s="8">
        <v>42914.640416666669</v>
      </c>
      <c r="M244" s="21">
        <f>LEN(ProjTextTable[[#This Row],[text]])</f>
        <v>1963</v>
      </c>
      <c r="N244" s="21">
        <f>LEN(TRIM(CLEAN(SUBSTITUTE(ProjTextTable[[#This Row],[text]],CHAR(10)," "))))+1 - LEN(SUBSTITUTE(CLEAN(SUBSTITUTE(ProjTextTable[[#This Row],[text]],CHAR(10)," "))," ",""))</f>
        <v>292</v>
      </c>
      <c r="O244" t="s">
        <v>13</v>
      </c>
      <c r="P244" t="s">
        <v>1830</v>
      </c>
    </row>
    <row r="245" spans="1:16" x14ac:dyDescent="0.4">
      <c r="A245">
        <f t="shared" si="3"/>
        <v>34</v>
      </c>
      <c r="B245" t="s">
        <v>1192</v>
      </c>
      <c r="C245" t="s">
        <v>1193</v>
      </c>
      <c r="D245" t="s">
        <v>198</v>
      </c>
      <c r="E245" t="s">
        <v>451</v>
      </c>
      <c r="F245" t="s">
        <v>1831</v>
      </c>
      <c r="G245" t="s">
        <v>1832</v>
      </c>
      <c r="H245" t="s">
        <v>1833</v>
      </c>
      <c r="I245" t="s">
        <v>95</v>
      </c>
      <c r="J245" t="s">
        <v>178</v>
      </c>
      <c r="K245" s="30">
        <v>42872</v>
      </c>
      <c r="L245" s="8">
        <v>42867.534050925926</v>
      </c>
      <c r="M245" s="21">
        <f>LEN(ProjTextTable[[#This Row],[text]])</f>
        <v>2279</v>
      </c>
      <c r="N245" s="21">
        <f>LEN(TRIM(CLEAN(SUBSTITUTE(ProjTextTable[[#This Row],[text]],CHAR(10)," "))))+1 - LEN(SUBSTITUTE(CLEAN(SUBSTITUTE(ProjTextTable[[#This Row],[text]],CHAR(10)," "))," ",""))</f>
        <v>330</v>
      </c>
      <c r="O245" t="s">
        <v>215</v>
      </c>
      <c r="P245" t="s">
        <v>1834</v>
      </c>
    </row>
    <row r="246" spans="1:16" x14ac:dyDescent="0.4">
      <c r="A246">
        <f t="shared" si="3"/>
        <v>34</v>
      </c>
      <c r="B246" t="s">
        <v>1192</v>
      </c>
      <c r="C246" t="s">
        <v>1193</v>
      </c>
      <c r="D246" t="s">
        <v>198</v>
      </c>
      <c r="E246" t="s">
        <v>451</v>
      </c>
      <c r="F246" t="s">
        <v>1433</v>
      </c>
      <c r="G246" t="s">
        <v>1434</v>
      </c>
      <c r="H246" t="s">
        <v>1435</v>
      </c>
      <c r="I246" t="s">
        <v>95</v>
      </c>
      <c r="J246" t="s">
        <v>178</v>
      </c>
      <c r="K246" s="30">
        <v>42872</v>
      </c>
      <c r="L246" s="8">
        <v>42872.46125</v>
      </c>
      <c r="M246" s="21">
        <f>LEN(ProjTextTable[[#This Row],[text]])</f>
        <v>6491</v>
      </c>
      <c r="N246" s="21">
        <f>LEN(TRIM(CLEAN(SUBSTITUTE(ProjTextTable[[#This Row],[text]],CHAR(10)," "))))+1 - LEN(SUBSTITUTE(CLEAN(SUBSTITUTE(ProjTextTable[[#This Row],[text]],CHAR(10)," "))," ",""))</f>
        <v>1075</v>
      </c>
      <c r="O246" t="s">
        <v>205</v>
      </c>
      <c r="P246" t="s">
        <v>1835</v>
      </c>
    </row>
    <row r="247" spans="1:16" x14ac:dyDescent="0.4">
      <c r="A247">
        <f t="shared" si="3"/>
        <v>34</v>
      </c>
      <c r="B247" t="s">
        <v>1192</v>
      </c>
      <c r="C247" t="s">
        <v>1193</v>
      </c>
      <c r="D247" t="s">
        <v>198</v>
      </c>
      <c r="E247" t="s">
        <v>451</v>
      </c>
      <c r="F247" t="s">
        <v>1836</v>
      </c>
      <c r="G247" t="s">
        <v>1837</v>
      </c>
      <c r="H247" t="s">
        <v>1838</v>
      </c>
      <c r="I247" t="s">
        <v>95</v>
      </c>
      <c r="J247" t="s">
        <v>178</v>
      </c>
      <c r="K247" s="30">
        <v>42872</v>
      </c>
      <c r="L247" s="8">
        <v>42867.884722222225</v>
      </c>
      <c r="M247" s="21">
        <f>LEN(ProjTextTable[[#This Row],[text]])</f>
        <v>2518</v>
      </c>
      <c r="N247" s="21">
        <f>LEN(TRIM(CLEAN(SUBSTITUTE(ProjTextTable[[#This Row],[text]],CHAR(10)," "))))+1 - LEN(SUBSTITUTE(CLEAN(SUBSTITUTE(ProjTextTable[[#This Row],[text]],CHAR(10)," "))," ",""))</f>
        <v>390</v>
      </c>
      <c r="O247" t="s">
        <v>215</v>
      </c>
      <c r="P247" t="s">
        <v>1839</v>
      </c>
    </row>
    <row r="248" spans="1:16" x14ac:dyDescent="0.4">
      <c r="A248">
        <f t="shared" si="3"/>
        <v>34</v>
      </c>
      <c r="B248" t="s">
        <v>1192</v>
      </c>
      <c r="C248" t="s">
        <v>1193</v>
      </c>
      <c r="D248" t="s">
        <v>200</v>
      </c>
      <c r="E248" t="s">
        <v>406</v>
      </c>
      <c r="F248" t="s">
        <v>13</v>
      </c>
      <c r="G248" t="s">
        <v>13</v>
      </c>
      <c r="H248" t="s">
        <v>13</v>
      </c>
      <c r="K248" s="30"/>
      <c r="L248" s="8">
        <v>42810.042268518519</v>
      </c>
      <c r="M248" s="21">
        <f>LEN(ProjTextTable[[#This Row],[text]])</f>
        <v>3386</v>
      </c>
      <c r="N248" s="21">
        <f>LEN(TRIM(CLEAN(SUBSTITUTE(ProjTextTable[[#This Row],[text]],CHAR(10)," "))))+1 - LEN(SUBSTITUTE(CLEAN(SUBSTITUTE(ProjTextTable[[#This Row],[text]],CHAR(10)," "))," ",""))</f>
        <v>512</v>
      </c>
      <c r="O248" t="s">
        <v>13</v>
      </c>
      <c r="P248" t="s">
        <v>1840</v>
      </c>
    </row>
    <row r="249" spans="1:16" x14ac:dyDescent="0.4">
      <c r="A249">
        <f t="shared" si="3"/>
        <v>35</v>
      </c>
      <c r="B249" t="s">
        <v>1199</v>
      </c>
      <c r="C249" t="s">
        <v>1200</v>
      </c>
      <c r="D249" t="s">
        <v>209</v>
      </c>
      <c r="E249" t="s">
        <v>451</v>
      </c>
      <c r="F249" t="s">
        <v>1789</v>
      </c>
      <c r="G249" t="s">
        <v>1790</v>
      </c>
      <c r="H249" t="s">
        <v>1841</v>
      </c>
      <c r="I249" t="s">
        <v>201</v>
      </c>
      <c r="J249" t="s">
        <v>197</v>
      </c>
      <c r="K249" s="30">
        <v>42871</v>
      </c>
      <c r="L249" s="8">
        <v>42922.825601851851</v>
      </c>
      <c r="M249" s="21">
        <f>LEN(ProjTextTable[[#This Row],[text]])</f>
        <v>3905</v>
      </c>
      <c r="N249" s="21">
        <f>LEN(TRIM(CLEAN(SUBSTITUTE(ProjTextTable[[#This Row],[text]],CHAR(10)," "))))+1 - LEN(SUBSTITUTE(CLEAN(SUBSTITUTE(ProjTextTable[[#This Row],[text]],CHAR(10)," "))," ",""))</f>
        <v>571</v>
      </c>
      <c r="O249" t="s">
        <v>178</v>
      </c>
      <c r="P249" t="s">
        <v>1842</v>
      </c>
    </row>
    <row r="250" spans="1:16" x14ac:dyDescent="0.4">
      <c r="A250">
        <f t="shared" si="3"/>
        <v>35</v>
      </c>
      <c r="B250" t="s">
        <v>1199</v>
      </c>
      <c r="C250" t="s">
        <v>1200</v>
      </c>
      <c r="D250" t="s">
        <v>908</v>
      </c>
      <c r="E250" t="s">
        <v>406</v>
      </c>
      <c r="F250" t="s">
        <v>13</v>
      </c>
      <c r="G250" t="s">
        <v>1468</v>
      </c>
      <c r="H250" t="s">
        <v>13</v>
      </c>
      <c r="I250" t="s">
        <v>13</v>
      </c>
      <c r="K250" s="30"/>
      <c r="L250" s="8">
        <v>42928.711365740739</v>
      </c>
      <c r="M250" s="21">
        <f>LEN(ProjTextTable[[#This Row],[text]])</f>
        <v>2329</v>
      </c>
      <c r="N250" s="21">
        <f>LEN(TRIM(CLEAN(SUBSTITUTE(ProjTextTable[[#This Row],[text]],CHAR(10)," "))))+1 - LEN(SUBSTITUTE(CLEAN(SUBSTITUTE(ProjTextTable[[#This Row],[text]],CHAR(10)," "))," ",""))</f>
        <v>321</v>
      </c>
      <c r="O250" t="s">
        <v>13</v>
      </c>
      <c r="P250" t="s">
        <v>1843</v>
      </c>
    </row>
    <row r="251" spans="1:16" x14ac:dyDescent="0.4">
      <c r="A251">
        <f t="shared" si="3"/>
        <v>35</v>
      </c>
      <c r="B251" t="s">
        <v>1199</v>
      </c>
      <c r="C251" t="s">
        <v>1200</v>
      </c>
      <c r="D251" t="s">
        <v>1467</v>
      </c>
      <c r="E251" t="s">
        <v>406</v>
      </c>
      <c r="F251" t="s">
        <v>1199</v>
      </c>
      <c r="G251" t="s">
        <v>1468</v>
      </c>
      <c r="H251" t="s">
        <v>13</v>
      </c>
      <c r="I251" t="s">
        <v>13</v>
      </c>
      <c r="J251" t="s">
        <v>1844</v>
      </c>
      <c r="K251" s="30">
        <v>42928.722916666666</v>
      </c>
      <c r="L251" s="8">
        <v>44754.722916666666</v>
      </c>
      <c r="M251" s="21">
        <f>LEN(ProjTextTable[[#This Row],[text]])</f>
        <v>6819</v>
      </c>
      <c r="N251" s="21">
        <f>LEN(TRIM(CLEAN(SUBSTITUTE(ProjTextTable[[#This Row],[text]],CHAR(10)," "))))+1 - LEN(SUBSTITUTE(CLEAN(SUBSTITUTE(ProjTextTable[[#This Row],[text]],CHAR(10)," "))," ",""))</f>
        <v>1024</v>
      </c>
      <c r="O251" t="s">
        <v>13</v>
      </c>
      <c r="P251" t="s">
        <v>1845</v>
      </c>
    </row>
    <row r="252" spans="1:16" x14ac:dyDescent="0.4">
      <c r="A252">
        <f t="shared" si="3"/>
        <v>35</v>
      </c>
      <c r="B252" t="s">
        <v>1199</v>
      </c>
      <c r="C252" t="s">
        <v>1200</v>
      </c>
      <c r="D252" t="s">
        <v>2</v>
      </c>
      <c r="E252" t="s">
        <v>406</v>
      </c>
      <c r="F252" t="s">
        <v>13</v>
      </c>
      <c r="G252" t="s">
        <v>1470</v>
      </c>
      <c r="H252" t="s">
        <v>13</v>
      </c>
      <c r="I252" t="s">
        <v>13</v>
      </c>
      <c r="K252" s="30"/>
      <c r="L252" s="8">
        <v>42927.466689814813</v>
      </c>
      <c r="M252" s="21">
        <f>LEN(ProjTextTable[[#This Row],[text]])</f>
        <v>6180</v>
      </c>
      <c r="N252" s="21">
        <f>LEN(TRIM(CLEAN(SUBSTITUTE(ProjTextTable[[#This Row],[text]],CHAR(10)," "))))+1 - LEN(SUBSTITUTE(CLEAN(SUBSTITUTE(ProjTextTable[[#This Row],[text]],CHAR(10)," "))," ",""))</f>
        <v>912</v>
      </c>
      <c r="O252" t="s">
        <v>13</v>
      </c>
      <c r="P252" t="s">
        <v>1846</v>
      </c>
    </row>
    <row r="253" spans="1:16" x14ac:dyDescent="0.4">
      <c r="A253">
        <f t="shared" si="3"/>
        <v>35</v>
      </c>
      <c r="B253" t="s">
        <v>1199</v>
      </c>
      <c r="C253" t="s">
        <v>1200</v>
      </c>
      <c r="D253" t="s">
        <v>198</v>
      </c>
      <c r="E253" t="s">
        <v>451</v>
      </c>
      <c r="F253" t="s">
        <v>1847</v>
      </c>
      <c r="G253" t="s">
        <v>1848</v>
      </c>
      <c r="H253" t="s">
        <v>1849</v>
      </c>
      <c r="I253" t="s">
        <v>95</v>
      </c>
      <c r="J253" t="s">
        <v>178</v>
      </c>
      <c r="K253" s="30">
        <v>42872</v>
      </c>
      <c r="L253" s="8">
        <v>42871.412928240738</v>
      </c>
      <c r="M253" s="21">
        <f>LEN(ProjTextTable[[#This Row],[text]])</f>
        <v>5104</v>
      </c>
      <c r="N253" s="21">
        <f>LEN(TRIM(CLEAN(SUBSTITUTE(ProjTextTable[[#This Row],[text]],CHAR(10)," "))))+1 - LEN(SUBSTITUTE(CLEAN(SUBSTITUTE(ProjTextTable[[#This Row],[text]],CHAR(10)," "))," ",""))</f>
        <v>830</v>
      </c>
      <c r="O253" t="s">
        <v>203</v>
      </c>
      <c r="P253" t="s">
        <v>1850</v>
      </c>
    </row>
    <row r="254" spans="1:16" x14ac:dyDescent="0.4">
      <c r="A254">
        <f t="shared" si="3"/>
        <v>35</v>
      </c>
      <c r="B254" t="s">
        <v>1199</v>
      </c>
      <c r="C254" t="s">
        <v>1200</v>
      </c>
      <c r="D254" t="s">
        <v>198</v>
      </c>
      <c r="E254" t="s">
        <v>451</v>
      </c>
      <c r="F254" t="s">
        <v>1836</v>
      </c>
      <c r="G254" t="s">
        <v>1837</v>
      </c>
      <c r="H254" t="s">
        <v>1838</v>
      </c>
      <c r="I254" t="s">
        <v>95</v>
      </c>
      <c r="J254" t="s">
        <v>178</v>
      </c>
      <c r="K254" s="30">
        <v>42872</v>
      </c>
      <c r="L254" s="8">
        <v>42870.014525462961</v>
      </c>
      <c r="M254" s="21">
        <f>LEN(ProjTextTable[[#This Row],[text]])</f>
        <v>3884</v>
      </c>
      <c r="N254" s="21">
        <f>LEN(TRIM(CLEAN(SUBSTITUTE(ProjTextTable[[#This Row],[text]],CHAR(10)," "))))+1 - LEN(SUBSTITUTE(CLEAN(SUBSTITUTE(ProjTextTable[[#This Row],[text]],CHAR(10)," "))," ",""))</f>
        <v>594</v>
      </c>
      <c r="O254" t="s">
        <v>202</v>
      </c>
      <c r="P254" t="s">
        <v>1851</v>
      </c>
    </row>
    <row r="255" spans="1:16" x14ac:dyDescent="0.4">
      <c r="A255">
        <f t="shared" si="3"/>
        <v>35</v>
      </c>
      <c r="B255" t="s">
        <v>1199</v>
      </c>
      <c r="C255" t="s">
        <v>1200</v>
      </c>
      <c r="D255" t="s">
        <v>198</v>
      </c>
      <c r="E255" t="s">
        <v>451</v>
      </c>
      <c r="F255" t="s">
        <v>1852</v>
      </c>
      <c r="G255" t="s">
        <v>1086</v>
      </c>
      <c r="H255" t="s">
        <v>1853</v>
      </c>
      <c r="I255" t="s">
        <v>95</v>
      </c>
      <c r="J255" t="s">
        <v>178</v>
      </c>
      <c r="K255" s="30">
        <v>42872</v>
      </c>
      <c r="L255" s="8">
        <v>42872.390914351854</v>
      </c>
      <c r="M255" s="21">
        <f>LEN(ProjTextTable[[#This Row],[text]])</f>
        <v>3789</v>
      </c>
      <c r="N255" s="21">
        <f>LEN(TRIM(CLEAN(SUBSTITUTE(ProjTextTable[[#This Row],[text]],CHAR(10)," "))))+1 - LEN(SUBSTITUTE(CLEAN(SUBSTITUTE(ProjTextTable[[#This Row],[text]],CHAR(10)," "))," ",""))</f>
        <v>595</v>
      </c>
      <c r="O255" t="s">
        <v>203</v>
      </c>
      <c r="P255" t="s">
        <v>1854</v>
      </c>
    </row>
    <row r="256" spans="1:16" x14ac:dyDescent="0.4">
      <c r="A256">
        <f t="shared" si="3"/>
        <v>35</v>
      </c>
      <c r="B256" t="s">
        <v>1199</v>
      </c>
      <c r="C256" t="s">
        <v>1200</v>
      </c>
      <c r="D256" t="s">
        <v>200</v>
      </c>
      <c r="E256" t="s">
        <v>406</v>
      </c>
      <c r="F256" t="s">
        <v>13</v>
      </c>
      <c r="G256" t="s">
        <v>13</v>
      </c>
      <c r="H256" t="s">
        <v>13</v>
      </c>
      <c r="K256" s="30"/>
      <c r="L256" s="8">
        <v>42810.042280092595</v>
      </c>
      <c r="M256" s="21">
        <f>LEN(ProjTextTable[[#This Row],[text]])</f>
        <v>3488</v>
      </c>
      <c r="N256" s="21">
        <f>LEN(TRIM(CLEAN(SUBSTITUTE(ProjTextTable[[#This Row],[text]],CHAR(10)," "))))+1 - LEN(SUBSTITUTE(CLEAN(SUBSTITUTE(ProjTextTable[[#This Row],[text]],CHAR(10)," "))," ",""))</f>
        <v>505</v>
      </c>
      <c r="O256" t="s">
        <v>13</v>
      </c>
      <c r="P256" t="s">
        <v>1855</v>
      </c>
    </row>
    <row r="257" spans="1:16" x14ac:dyDescent="0.4">
      <c r="A257">
        <f t="shared" si="3"/>
        <v>35</v>
      </c>
      <c r="B257" t="s">
        <v>1199</v>
      </c>
      <c r="C257" t="s">
        <v>1200</v>
      </c>
      <c r="D257" t="s">
        <v>1515</v>
      </c>
      <c r="E257" t="s">
        <v>406</v>
      </c>
      <c r="F257" t="s">
        <v>1199</v>
      </c>
      <c r="G257" t="s">
        <v>1468</v>
      </c>
      <c r="H257" t="s">
        <v>1856</v>
      </c>
      <c r="K257" s="30"/>
      <c r="L257" s="8">
        <v>42923.155011574076</v>
      </c>
      <c r="M257" s="21">
        <f>LEN(ProjTextTable[[#This Row],[text]])</f>
        <v>2216</v>
      </c>
      <c r="N257" s="21">
        <f>LEN(TRIM(CLEAN(SUBSTITUTE(ProjTextTable[[#This Row],[text]],CHAR(10)," "))))+1 - LEN(SUBSTITUTE(CLEAN(SUBSTITUTE(ProjTextTable[[#This Row],[text]],CHAR(10)," "))," ",""))</f>
        <v>333</v>
      </c>
      <c r="O257" t="s">
        <v>13</v>
      </c>
      <c r="P257" t="s">
        <v>1857</v>
      </c>
    </row>
    <row r="258" spans="1:16" x14ac:dyDescent="0.4">
      <c r="A258">
        <f t="shared" ref="A258:A321" si="4">A257+(B258&lt;&gt;B257)</f>
        <v>36</v>
      </c>
      <c r="B258" t="s">
        <v>1207</v>
      </c>
      <c r="C258" t="s">
        <v>1208</v>
      </c>
      <c r="D258" t="s">
        <v>209</v>
      </c>
      <c r="E258" t="s">
        <v>451</v>
      </c>
      <c r="F258" t="s">
        <v>1789</v>
      </c>
      <c r="G258" t="s">
        <v>1790</v>
      </c>
      <c r="H258" t="s">
        <v>1807</v>
      </c>
      <c r="I258" t="s">
        <v>204</v>
      </c>
      <c r="J258" t="s">
        <v>714</v>
      </c>
      <c r="K258" s="30">
        <v>42871</v>
      </c>
      <c r="L258" s="8"/>
      <c r="M258" s="21">
        <f>LEN(ProjTextTable[[#This Row],[text]])</f>
        <v>1</v>
      </c>
      <c r="N258" s="21">
        <f>LEN(TRIM(CLEAN(SUBSTITUTE(ProjTextTable[[#This Row],[text]],CHAR(10)," "))))+1 - LEN(SUBSTITUTE(CLEAN(SUBSTITUTE(ProjTextTable[[#This Row],[text]],CHAR(10)," "))," ",""))</f>
        <v>1</v>
      </c>
      <c r="O258" t="s">
        <v>1808</v>
      </c>
      <c r="P258" t="s">
        <v>13</v>
      </c>
    </row>
    <row r="259" spans="1:16" x14ac:dyDescent="0.4">
      <c r="A259">
        <f t="shared" si="4"/>
        <v>36</v>
      </c>
      <c r="B259" t="s">
        <v>1207</v>
      </c>
      <c r="C259" t="s">
        <v>1208</v>
      </c>
      <c r="D259" t="s">
        <v>1467</v>
      </c>
      <c r="E259" t="s">
        <v>406</v>
      </c>
      <c r="F259" t="s">
        <v>1207</v>
      </c>
      <c r="G259" t="s">
        <v>1468</v>
      </c>
      <c r="H259" t="s">
        <v>13</v>
      </c>
      <c r="I259" t="s">
        <v>13</v>
      </c>
      <c r="J259" t="s">
        <v>777</v>
      </c>
      <c r="K259" s="30">
        <v>42955.725694444445</v>
      </c>
      <c r="L259" s="8">
        <v>44781.725694444445</v>
      </c>
      <c r="M259" s="21">
        <f>LEN(ProjTextTable[[#This Row],[text]])</f>
        <v>2107</v>
      </c>
      <c r="N259" s="21">
        <f>LEN(TRIM(CLEAN(SUBSTITUTE(ProjTextTable[[#This Row],[text]],CHAR(10)," "))))+1 - LEN(SUBSTITUTE(CLEAN(SUBSTITUTE(ProjTextTable[[#This Row],[text]],CHAR(10)," "))," ",""))</f>
        <v>332</v>
      </c>
      <c r="O259" t="s">
        <v>13</v>
      </c>
      <c r="P259" t="s">
        <v>1809</v>
      </c>
    </row>
    <row r="260" spans="1:16" x14ac:dyDescent="0.4">
      <c r="A260">
        <f t="shared" si="4"/>
        <v>36</v>
      </c>
      <c r="B260" t="s">
        <v>1207</v>
      </c>
      <c r="C260" t="s">
        <v>1208</v>
      </c>
      <c r="D260" t="s">
        <v>2</v>
      </c>
      <c r="E260" t="s">
        <v>406</v>
      </c>
      <c r="F260" t="s">
        <v>13</v>
      </c>
      <c r="G260" t="s">
        <v>1470</v>
      </c>
      <c r="H260" t="s">
        <v>13</v>
      </c>
      <c r="I260" t="s">
        <v>13</v>
      </c>
      <c r="K260" s="30"/>
      <c r="L260" s="8">
        <v>42914.640474537038</v>
      </c>
      <c r="M260" s="21">
        <f>LEN(ProjTextTable[[#This Row],[text]])</f>
        <v>2087</v>
      </c>
      <c r="N260" s="21">
        <f>LEN(TRIM(CLEAN(SUBSTITUTE(ProjTextTable[[#This Row],[text]],CHAR(10)," "))))+1 - LEN(SUBSTITUTE(CLEAN(SUBSTITUTE(ProjTextTable[[#This Row],[text]],CHAR(10)," "))," ",""))</f>
        <v>307</v>
      </c>
      <c r="O260" t="s">
        <v>13</v>
      </c>
      <c r="P260" t="s">
        <v>1858</v>
      </c>
    </row>
    <row r="261" spans="1:16" x14ac:dyDescent="0.4">
      <c r="A261">
        <f t="shared" si="4"/>
        <v>36</v>
      </c>
      <c r="B261" t="s">
        <v>1207</v>
      </c>
      <c r="C261" t="s">
        <v>1208</v>
      </c>
      <c r="D261" t="s">
        <v>198</v>
      </c>
      <c r="E261" t="s">
        <v>451</v>
      </c>
      <c r="F261" t="s">
        <v>1847</v>
      </c>
      <c r="G261" t="s">
        <v>1848</v>
      </c>
      <c r="H261" t="s">
        <v>1849</v>
      </c>
      <c r="I261" t="s">
        <v>95</v>
      </c>
      <c r="J261" t="s">
        <v>178</v>
      </c>
      <c r="K261" s="30">
        <v>42872</v>
      </c>
      <c r="L261" s="8">
        <v>42869.049942129626</v>
      </c>
      <c r="M261" s="21">
        <f>LEN(ProjTextTable[[#This Row],[text]])</f>
        <v>4060</v>
      </c>
      <c r="N261" s="21">
        <f>LEN(TRIM(CLEAN(SUBSTITUTE(ProjTextTable[[#This Row],[text]],CHAR(10)," "))))+1 - LEN(SUBSTITUTE(CLEAN(SUBSTITUTE(ProjTextTable[[#This Row],[text]],CHAR(10)," "))," ",""))</f>
        <v>624</v>
      </c>
      <c r="O261" t="s">
        <v>205</v>
      </c>
      <c r="P261" t="s">
        <v>1859</v>
      </c>
    </row>
    <row r="262" spans="1:16" x14ac:dyDescent="0.4">
      <c r="A262">
        <f t="shared" si="4"/>
        <v>36</v>
      </c>
      <c r="B262" t="s">
        <v>1207</v>
      </c>
      <c r="C262" t="s">
        <v>1208</v>
      </c>
      <c r="D262" t="s">
        <v>198</v>
      </c>
      <c r="E262" t="s">
        <v>451</v>
      </c>
      <c r="F262" t="s">
        <v>1472</v>
      </c>
      <c r="G262" t="s">
        <v>1473</v>
      </c>
      <c r="H262" t="s">
        <v>1474</v>
      </c>
      <c r="I262" t="s">
        <v>95</v>
      </c>
      <c r="J262" t="s">
        <v>178</v>
      </c>
      <c r="K262" s="30">
        <v>42872</v>
      </c>
      <c r="L262" s="8">
        <v>42859.702696759261</v>
      </c>
      <c r="M262" s="21">
        <f>LEN(ProjTextTable[[#This Row],[text]])</f>
        <v>3487</v>
      </c>
      <c r="N262" s="21">
        <f>LEN(TRIM(CLEAN(SUBSTITUTE(ProjTextTable[[#This Row],[text]],CHAR(10)," "))))+1 - LEN(SUBSTITUTE(CLEAN(SUBSTITUTE(ProjTextTable[[#This Row],[text]],CHAR(10)," "))," ",""))</f>
        <v>526</v>
      </c>
      <c r="O262" t="s">
        <v>199</v>
      </c>
      <c r="P262" t="s">
        <v>1860</v>
      </c>
    </row>
    <row r="263" spans="1:16" x14ac:dyDescent="0.4">
      <c r="A263">
        <f t="shared" si="4"/>
        <v>36</v>
      </c>
      <c r="B263" t="s">
        <v>1207</v>
      </c>
      <c r="C263" t="s">
        <v>1208</v>
      </c>
      <c r="D263" t="s">
        <v>198</v>
      </c>
      <c r="E263" t="s">
        <v>451</v>
      </c>
      <c r="F263" t="s">
        <v>1799</v>
      </c>
      <c r="G263" t="s">
        <v>595</v>
      </c>
      <c r="H263" t="s">
        <v>1800</v>
      </c>
      <c r="I263" t="s">
        <v>95</v>
      </c>
      <c r="J263" t="s">
        <v>178</v>
      </c>
      <c r="K263" s="30">
        <v>42872</v>
      </c>
      <c r="L263" s="8">
        <v>42871.874421296299</v>
      </c>
      <c r="M263" s="21">
        <f>LEN(ProjTextTable[[#This Row],[text]])</f>
        <v>3698</v>
      </c>
      <c r="N263" s="21">
        <f>LEN(TRIM(CLEAN(SUBSTITUTE(ProjTextTable[[#This Row],[text]],CHAR(10)," "))))+1 - LEN(SUBSTITUTE(CLEAN(SUBSTITUTE(ProjTextTable[[#This Row],[text]],CHAR(10)," "))," ",""))</f>
        <v>554</v>
      </c>
      <c r="O263" t="s">
        <v>199</v>
      </c>
      <c r="P263" t="s">
        <v>1861</v>
      </c>
    </row>
    <row r="264" spans="1:16" x14ac:dyDescent="0.4">
      <c r="A264">
        <f t="shared" si="4"/>
        <v>36</v>
      </c>
      <c r="B264" t="s">
        <v>1207</v>
      </c>
      <c r="C264" t="s">
        <v>1208</v>
      </c>
      <c r="D264" t="s">
        <v>200</v>
      </c>
      <c r="E264" t="s">
        <v>406</v>
      </c>
      <c r="F264" t="s">
        <v>13</v>
      </c>
      <c r="G264" t="s">
        <v>13</v>
      </c>
      <c r="H264" t="s">
        <v>13</v>
      </c>
      <c r="K264" s="30"/>
      <c r="L264" s="8">
        <v>42810.042291666665</v>
      </c>
      <c r="M264" s="21">
        <f>LEN(ProjTextTable[[#This Row],[text]])</f>
        <v>4036</v>
      </c>
      <c r="N264" s="21">
        <f>LEN(TRIM(CLEAN(SUBSTITUTE(ProjTextTable[[#This Row],[text]],CHAR(10)," "))))+1 - LEN(SUBSTITUTE(CLEAN(SUBSTITUTE(ProjTextTable[[#This Row],[text]],CHAR(10)," "))," ",""))</f>
        <v>597</v>
      </c>
      <c r="O264" t="s">
        <v>13</v>
      </c>
      <c r="P264" t="s">
        <v>1862</v>
      </c>
    </row>
    <row r="265" spans="1:16" x14ac:dyDescent="0.4">
      <c r="A265">
        <f t="shared" si="4"/>
        <v>37</v>
      </c>
      <c r="B265" t="s">
        <v>1222</v>
      </c>
      <c r="C265" t="s">
        <v>1223</v>
      </c>
      <c r="D265" t="s">
        <v>209</v>
      </c>
      <c r="E265" t="s">
        <v>451</v>
      </c>
      <c r="F265" t="s">
        <v>1789</v>
      </c>
      <c r="G265" t="s">
        <v>1790</v>
      </c>
      <c r="H265" t="s">
        <v>1841</v>
      </c>
      <c r="I265" t="s">
        <v>201</v>
      </c>
      <c r="J265" t="s">
        <v>1577</v>
      </c>
      <c r="K265" s="30">
        <v>42871</v>
      </c>
      <c r="L265" s="8">
        <v>42932.439062500001</v>
      </c>
      <c r="M265" s="21">
        <f>LEN(ProjTextTable[[#This Row],[text]])</f>
        <v>3018</v>
      </c>
      <c r="N265" s="21">
        <f>LEN(TRIM(CLEAN(SUBSTITUTE(ProjTextTable[[#This Row],[text]],CHAR(10)," "))))+1 - LEN(SUBSTITUTE(CLEAN(SUBSTITUTE(ProjTextTable[[#This Row],[text]],CHAR(10)," "))," ",""))</f>
        <v>440</v>
      </c>
      <c r="O265" t="s">
        <v>178</v>
      </c>
      <c r="P265" t="s">
        <v>1863</v>
      </c>
    </row>
    <row r="266" spans="1:16" x14ac:dyDescent="0.4">
      <c r="A266">
        <f t="shared" si="4"/>
        <v>37</v>
      </c>
      <c r="B266" t="s">
        <v>1222</v>
      </c>
      <c r="C266" t="s">
        <v>1223</v>
      </c>
      <c r="D266" t="s">
        <v>908</v>
      </c>
      <c r="E266" t="s">
        <v>451</v>
      </c>
      <c r="F266" t="s">
        <v>13</v>
      </c>
      <c r="G266" t="s">
        <v>1497</v>
      </c>
      <c r="H266" t="s">
        <v>13</v>
      </c>
      <c r="I266" t="s">
        <v>13</v>
      </c>
      <c r="K266" s="30"/>
      <c r="L266" s="8">
        <v>42929.699317129627</v>
      </c>
      <c r="M266" s="21">
        <f>LEN(ProjTextTable[[#This Row],[text]])</f>
        <v>1474</v>
      </c>
      <c r="N266" s="21">
        <f>LEN(TRIM(CLEAN(SUBSTITUTE(ProjTextTable[[#This Row],[text]],CHAR(10)," "))))+1 - LEN(SUBSTITUTE(CLEAN(SUBSTITUTE(ProjTextTable[[#This Row],[text]],CHAR(10)," "))," ",""))</f>
        <v>212</v>
      </c>
      <c r="O266" t="s">
        <v>13</v>
      </c>
      <c r="P266" t="s">
        <v>1864</v>
      </c>
    </row>
    <row r="267" spans="1:16" x14ac:dyDescent="0.4">
      <c r="A267">
        <f t="shared" si="4"/>
        <v>37</v>
      </c>
      <c r="B267" t="s">
        <v>1222</v>
      </c>
      <c r="C267" t="s">
        <v>1223</v>
      </c>
      <c r="D267" t="s">
        <v>1467</v>
      </c>
      <c r="E267" t="s">
        <v>451</v>
      </c>
      <c r="F267" t="s">
        <v>1222</v>
      </c>
      <c r="G267" t="s">
        <v>1497</v>
      </c>
      <c r="H267" t="s">
        <v>13</v>
      </c>
      <c r="I267" t="s">
        <v>13</v>
      </c>
      <c r="J267" t="s">
        <v>1844</v>
      </c>
      <c r="K267" s="30">
        <v>42930.568749999999</v>
      </c>
      <c r="L267" s="8">
        <v>44756.568749999999</v>
      </c>
      <c r="M267" s="21">
        <f>LEN(ProjTextTable[[#This Row],[text]])</f>
        <v>5905</v>
      </c>
      <c r="N267" s="21">
        <f>LEN(TRIM(CLEAN(SUBSTITUTE(ProjTextTable[[#This Row],[text]],CHAR(10)," "))))+1 - LEN(SUBSTITUTE(CLEAN(SUBSTITUTE(ProjTextTable[[#This Row],[text]],CHAR(10)," "))," ",""))</f>
        <v>866</v>
      </c>
      <c r="O267" t="s">
        <v>13</v>
      </c>
      <c r="P267" t="s">
        <v>1865</v>
      </c>
    </row>
    <row r="268" spans="1:16" x14ac:dyDescent="0.4">
      <c r="A268">
        <f t="shared" si="4"/>
        <v>37</v>
      </c>
      <c r="B268" t="s">
        <v>1222</v>
      </c>
      <c r="C268" t="s">
        <v>1223</v>
      </c>
      <c r="D268" t="s">
        <v>2</v>
      </c>
      <c r="E268" t="s">
        <v>451</v>
      </c>
      <c r="F268" t="s">
        <v>13</v>
      </c>
      <c r="G268" t="s">
        <v>1470</v>
      </c>
      <c r="H268" t="s">
        <v>13</v>
      </c>
      <c r="I268" t="s">
        <v>13</v>
      </c>
      <c r="K268" s="30"/>
      <c r="L268" s="8">
        <v>42933.641435185185</v>
      </c>
      <c r="M268" s="21">
        <f>LEN(ProjTextTable[[#This Row],[text]])</f>
        <v>7551</v>
      </c>
      <c r="N268" s="21">
        <f>LEN(TRIM(CLEAN(SUBSTITUTE(ProjTextTable[[#This Row],[text]],CHAR(10)," "))))+1 - LEN(SUBSTITUTE(CLEAN(SUBSTITUTE(ProjTextTable[[#This Row],[text]],CHAR(10)," "))," ",""))</f>
        <v>1098</v>
      </c>
      <c r="O268" t="s">
        <v>13</v>
      </c>
      <c r="P268" t="s">
        <v>1866</v>
      </c>
    </row>
    <row r="269" spans="1:16" x14ac:dyDescent="0.4">
      <c r="A269">
        <f t="shared" si="4"/>
        <v>37</v>
      </c>
      <c r="B269" t="s">
        <v>1222</v>
      </c>
      <c r="C269" t="s">
        <v>1223</v>
      </c>
      <c r="D269" t="s">
        <v>198</v>
      </c>
      <c r="E269" t="s">
        <v>451</v>
      </c>
      <c r="F269" t="s">
        <v>1836</v>
      </c>
      <c r="G269" t="s">
        <v>1837</v>
      </c>
      <c r="H269" t="s">
        <v>1838</v>
      </c>
      <c r="I269" t="s">
        <v>95</v>
      </c>
      <c r="J269" t="s">
        <v>178</v>
      </c>
      <c r="K269" s="30">
        <v>42872</v>
      </c>
      <c r="L269" s="8">
        <v>42867.920983796299</v>
      </c>
      <c r="M269" s="21">
        <f>LEN(ProjTextTable[[#This Row],[text]])</f>
        <v>3662</v>
      </c>
      <c r="N269" s="21">
        <f>LEN(TRIM(CLEAN(SUBSTITUTE(ProjTextTable[[#This Row],[text]],CHAR(10)," "))))+1 - LEN(SUBSTITUTE(CLEAN(SUBSTITUTE(ProjTextTable[[#This Row],[text]],CHAR(10)," "))," ",""))</f>
        <v>547</v>
      </c>
      <c r="O269" t="s">
        <v>206</v>
      </c>
      <c r="P269" t="s">
        <v>1867</v>
      </c>
    </row>
    <row r="270" spans="1:16" x14ac:dyDescent="0.4">
      <c r="A270">
        <f t="shared" si="4"/>
        <v>37</v>
      </c>
      <c r="B270" t="s">
        <v>1222</v>
      </c>
      <c r="C270" t="s">
        <v>1223</v>
      </c>
      <c r="D270" t="s">
        <v>198</v>
      </c>
      <c r="E270" t="s">
        <v>451</v>
      </c>
      <c r="F270" t="s">
        <v>1570</v>
      </c>
      <c r="G270" t="s">
        <v>1571</v>
      </c>
      <c r="H270" t="s">
        <v>1572</v>
      </c>
      <c r="I270" t="s">
        <v>95</v>
      </c>
      <c r="J270" t="s">
        <v>178</v>
      </c>
      <c r="K270" s="30">
        <v>42872</v>
      </c>
      <c r="L270" s="8">
        <v>42871.297071759262</v>
      </c>
      <c r="M270" s="21">
        <f>LEN(ProjTextTable[[#This Row],[text]])</f>
        <v>3093</v>
      </c>
      <c r="N270" s="21">
        <f>LEN(TRIM(CLEAN(SUBSTITUTE(ProjTextTable[[#This Row],[text]],CHAR(10)," "))))+1 - LEN(SUBSTITUTE(CLEAN(SUBSTITUTE(ProjTextTable[[#This Row],[text]],CHAR(10)," "))," ",""))</f>
        <v>489</v>
      </c>
      <c r="O270" t="s">
        <v>203</v>
      </c>
      <c r="P270" t="s">
        <v>1868</v>
      </c>
    </row>
    <row r="271" spans="1:16" x14ac:dyDescent="0.4">
      <c r="A271">
        <f t="shared" si="4"/>
        <v>37</v>
      </c>
      <c r="B271" t="s">
        <v>1222</v>
      </c>
      <c r="C271" t="s">
        <v>1223</v>
      </c>
      <c r="D271" t="s">
        <v>198</v>
      </c>
      <c r="E271" t="s">
        <v>451</v>
      </c>
      <c r="F271" t="s">
        <v>1802</v>
      </c>
      <c r="G271" t="s">
        <v>1803</v>
      </c>
      <c r="H271" t="s">
        <v>1804</v>
      </c>
      <c r="I271" t="s">
        <v>95</v>
      </c>
      <c r="J271" t="s">
        <v>178</v>
      </c>
      <c r="K271" s="30">
        <v>42872</v>
      </c>
      <c r="L271" s="8">
        <v>42872.510474537034</v>
      </c>
      <c r="M271" s="21">
        <f>LEN(ProjTextTable[[#This Row],[text]])</f>
        <v>4484</v>
      </c>
      <c r="N271" s="21">
        <f>LEN(TRIM(CLEAN(SUBSTITUTE(ProjTextTable[[#This Row],[text]],CHAR(10)," "))))+1 - LEN(SUBSTITUTE(CLEAN(SUBSTITUTE(ProjTextTable[[#This Row],[text]],CHAR(10)," "))," ",""))</f>
        <v>627</v>
      </c>
      <c r="O271" t="s">
        <v>202</v>
      </c>
      <c r="P271" t="s">
        <v>1869</v>
      </c>
    </row>
    <row r="272" spans="1:16" x14ac:dyDescent="0.4">
      <c r="A272">
        <f t="shared" si="4"/>
        <v>37</v>
      </c>
      <c r="B272" t="s">
        <v>1222</v>
      </c>
      <c r="C272" t="s">
        <v>1223</v>
      </c>
      <c r="D272" t="s">
        <v>200</v>
      </c>
      <c r="E272" t="s">
        <v>451</v>
      </c>
      <c r="F272" t="s">
        <v>13</v>
      </c>
      <c r="G272" t="s">
        <v>13</v>
      </c>
      <c r="H272" t="s">
        <v>13</v>
      </c>
      <c r="K272" s="30"/>
      <c r="L272" s="8">
        <v>42810.042291666665</v>
      </c>
      <c r="M272" s="21">
        <f>LEN(ProjTextTable[[#This Row],[text]])</f>
        <v>2708</v>
      </c>
      <c r="N272" s="21">
        <f>LEN(TRIM(CLEAN(SUBSTITUTE(ProjTextTable[[#This Row],[text]],CHAR(10)," "))))+1 - LEN(SUBSTITUTE(CLEAN(SUBSTITUTE(ProjTextTable[[#This Row],[text]],CHAR(10)," "))," ",""))</f>
        <v>387</v>
      </c>
      <c r="O272" t="s">
        <v>13</v>
      </c>
      <c r="P272" t="s">
        <v>1870</v>
      </c>
    </row>
    <row r="273" spans="1:16" x14ac:dyDescent="0.4">
      <c r="A273">
        <f t="shared" si="4"/>
        <v>38</v>
      </c>
      <c r="B273" t="s">
        <v>1228</v>
      </c>
      <c r="C273" t="s">
        <v>1229</v>
      </c>
      <c r="D273" t="s">
        <v>209</v>
      </c>
      <c r="E273" t="s">
        <v>451</v>
      </c>
      <c r="F273" t="s">
        <v>1789</v>
      </c>
      <c r="G273" t="s">
        <v>1790</v>
      </c>
      <c r="H273" t="s">
        <v>1807</v>
      </c>
      <c r="I273" t="s">
        <v>204</v>
      </c>
      <c r="J273" t="s">
        <v>714</v>
      </c>
      <c r="K273" s="30">
        <v>42871</v>
      </c>
      <c r="L273" s="8"/>
      <c r="M273" s="21">
        <f>LEN(ProjTextTable[[#This Row],[text]])</f>
        <v>1</v>
      </c>
      <c r="N273" s="21">
        <f>LEN(TRIM(CLEAN(SUBSTITUTE(ProjTextTable[[#This Row],[text]],CHAR(10)," "))))+1 - LEN(SUBSTITUTE(CLEAN(SUBSTITUTE(ProjTextTable[[#This Row],[text]],CHAR(10)," "))," ",""))</f>
        <v>1</v>
      </c>
      <c r="O273" t="s">
        <v>1808</v>
      </c>
      <c r="P273" t="s">
        <v>13</v>
      </c>
    </row>
    <row r="274" spans="1:16" x14ac:dyDescent="0.4">
      <c r="A274">
        <f t="shared" si="4"/>
        <v>38</v>
      </c>
      <c r="B274" t="s">
        <v>1228</v>
      </c>
      <c r="C274" t="s">
        <v>1229</v>
      </c>
      <c r="D274" t="s">
        <v>1467</v>
      </c>
      <c r="E274" t="s">
        <v>406</v>
      </c>
      <c r="F274" t="s">
        <v>1228</v>
      </c>
      <c r="G274" t="s">
        <v>1468</v>
      </c>
      <c r="H274" t="s">
        <v>13</v>
      </c>
      <c r="I274" t="s">
        <v>13</v>
      </c>
      <c r="J274" t="s">
        <v>777</v>
      </c>
      <c r="K274" s="30">
        <v>42955.695833333331</v>
      </c>
      <c r="L274" s="8">
        <v>44781.695833333331</v>
      </c>
      <c r="M274" s="21">
        <f>LEN(ProjTextTable[[#This Row],[text]])</f>
        <v>2107</v>
      </c>
      <c r="N274" s="21">
        <f>LEN(TRIM(CLEAN(SUBSTITUTE(ProjTextTable[[#This Row],[text]],CHAR(10)," "))))+1 - LEN(SUBSTITUTE(CLEAN(SUBSTITUTE(ProjTextTable[[#This Row],[text]],CHAR(10)," "))," ",""))</f>
        <v>332</v>
      </c>
      <c r="O274" t="s">
        <v>13</v>
      </c>
      <c r="P274" t="s">
        <v>1809</v>
      </c>
    </row>
    <row r="275" spans="1:16" x14ac:dyDescent="0.4">
      <c r="A275">
        <f t="shared" si="4"/>
        <v>38</v>
      </c>
      <c r="B275" t="s">
        <v>1228</v>
      </c>
      <c r="C275" t="s">
        <v>1229</v>
      </c>
      <c r="D275" t="s">
        <v>2</v>
      </c>
      <c r="E275" t="s">
        <v>406</v>
      </c>
      <c r="F275" t="s">
        <v>13</v>
      </c>
      <c r="G275" t="s">
        <v>1470</v>
      </c>
      <c r="H275" t="s">
        <v>13</v>
      </c>
      <c r="I275" t="s">
        <v>13</v>
      </c>
      <c r="K275" s="30"/>
      <c r="L275" s="8">
        <v>42914.640543981484</v>
      </c>
      <c r="M275" s="21">
        <f>LEN(ProjTextTable[[#This Row],[text]])</f>
        <v>1971</v>
      </c>
      <c r="N275" s="21">
        <f>LEN(TRIM(CLEAN(SUBSTITUTE(ProjTextTable[[#This Row],[text]],CHAR(10)," "))))+1 - LEN(SUBSTITUTE(CLEAN(SUBSTITUTE(ProjTextTable[[#This Row],[text]],CHAR(10)," "))," ",""))</f>
        <v>289</v>
      </c>
      <c r="O275" t="s">
        <v>13</v>
      </c>
      <c r="P275" t="s">
        <v>1871</v>
      </c>
    </row>
    <row r="276" spans="1:16" x14ac:dyDescent="0.4">
      <c r="A276">
        <f t="shared" si="4"/>
        <v>38</v>
      </c>
      <c r="B276" t="s">
        <v>1228</v>
      </c>
      <c r="C276" t="s">
        <v>1229</v>
      </c>
      <c r="D276" t="s">
        <v>198</v>
      </c>
      <c r="E276" t="s">
        <v>451</v>
      </c>
      <c r="F276" t="s">
        <v>1847</v>
      </c>
      <c r="G276" t="s">
        <v>1848</v>
      </c>
      <c r="H276" t="s">
        <v>1849</v>
      </c>
      <c r="I276" t="s">
        <v>95</v>
      </c>
      <c r="J276" t="s">
        <v>178</v>
      </c>
      <c r="K276" s="30">
        <v>42872</v>
      </c>
      <c r="L276" s="8">
        <v>42868.855196759258</v>
      </c>
      <c r="M276" s="21">
        <f>LEN(ProjTextTable[[#This Row],[text]])</f>
        <v>4696</v>
      </c>
      <c r="N276" s="21">
        <f>LEN(TRIM(CLEAN(SUBSTITUTE(ProjTextTable[[#This Row],[text]],CHAR(10)," "))))+1 - LEN(SUBSTITUTE(CLEAN(SUBSTITUTE(ProjTextTable[[#This Row],[text]],CHAR(10)," "))," ",""))</f>
        <v>767</v>
      </c>
      <c r="O276" t="s">
        <v>205</v>
      </c>
      <c r="P276" t="s">
        <v>1872</v>
      </c>
    </row>
    <row r="277" spans="1:16" x14ac:dyDescent="0.4">
      <c r="A277">
        <f t="shared" si="4"/>
        <v>38</v>
      </c>
      <c r="B277" t="s">
        <v>1228</v>
      </c>
      <c r="C277" t="s">
        <v>1229</v>
      </c>
      <c r="D277" t="s">
        <v>198</v>
      </c>
      <c r="E277" t="s">
        <v>451</v>
      </c>
      <c r="F277" t="s">
        <v>1570</v>
      </c>
      <c r="G277" t="s">
        <v>1571</v>
      </c>
      <c r="H277" t="s">
        <v>1572</v>
      </c>
      <c r="I277" t="s">
        <v>95</v>
      </c>
      <c r="J277" t="s">
        <v>178</v>
      </c>
      <c r="K277" s="30">
        <v>42872</v>
      </c>
      <c r="L277" s="8">
        <v>42870.936736111114</v>
      </c>
      <c r="M277" s="21">
        <f>LEN(ProjTextTable[[#This Row],[text]])</f>
        <v>3159</v>
      </c>
      <c r="N277" s="21">
        <f>LEN(TRIM(CLEAN(SUBSTITUTE(ProjTextTable[[#This Row],[text]],CHAR(10)," "))))+1 - LEN(SUBSTITUTE(CLEAN(SUBSTITUTE(ProjTextTable[[#This Row],[text]],CHAR(10)," "))," ",""))</f>
        <v>489</v>
      </c>
      <c r="O277" t="s">
        <v>207</v>
      </c>
      <c r="P277" t="s">
        <v>1873</v>
      </c>
    </row>
    <row r="278" spans="1:16" x14ac:dyDescent="0.4">
      <c r="A278">
        <f t="shared" si="4"/>
        <v>38</v>
      </c>
      <c r="B278" t="s">
        <v>1228</v>
      </c>
      <c r="C278" t="s">
        <v>1229</v>
      </c>
      <c r="D278" t="s">
        <v>198</v>
      </c>
      <c r="E278" t="s">
        <v>451</v>
      </c>
      <c r="F278" t="s">
        <v>1816</v>
      </c>
      <c r="G278" t="s">
        <v>1817</v>
      </c>
      <c r="H278" t="s">
        <v>1818</v>
      </c>
      <c r="I278" t="s">
        <v>95</v>
      </c>
      <c r="J278" t="s">
        <v>178</v>
      </c>
      <c r="K278" s="30">
        <v>42872</v>
      </c>
      <c r="L278" s="8">
        <v>42862.16914351852</v>
      </c>
      <c r="M278" s="21">
        <f>LEN(ProjTextTable[[#This Row],[text]])</f>
        <v>4414</v>
      </c>
      <c r="N278" s="21">
        <f>LEN(TRIM(CLEAN(SUBSTITUTE(ProjTextTable[[#This Row],[text]],CHAR(10)," "))))+1 - LEN(SUBSTITUTE(CLEAN(SUBSTITUTE(ProjTextTable[[#This Row],[text]],CHAR(10)," "))," ",""))</f>
        <v>673</v>
      </c>
      <c r="O278" t="s">
        <v>207</v>
      </c>
      <c r="P278" t="s">
        <v>1874</v>
      </c>
    </row>
    <row r="279" spans="1:16" x14ac:dyDescent="0.4">
      <c r="A279">
        <f t="shared" si="4"/>
        <v>38</v>
      </c>
      <c r="B279" t="s">
        <v>1228</v>
      </c>
      <c r="C279" t="s">
        <v>1229</v>
      </c>
      <c r="D279" t="s">
        <v>200</v>
      </c>
      <c r="E279" t="s">
        <v>406</v>
      </c>
      <c r="F279" t="s">
        <v>13</v>
      </c>
      <c r="G279" t="s">
        <v>13</v>
      </c>
      <c r="H279" t="s">
        <v>13</v>
      </c>
      <c r="K279" s="30"/>
      <c r="L279" s="8">
        <v>42810.042303240742</v>
      </c>
      <c r="M279" s="21">
        <f>LEN(ProjTextTable[[#This Row],[text]])</f>
        <v>2802</v>
      </c>
      <c r="N279" s="21">
        <f>LEN(TRIM(CLEAN(SUBSTITUTE(ProjTextTable[[#This Row],[text]],CHAR(10)," "))))+1 - LEN(SUBSTITUTE(CLEAN(SUBSTITUTE(ProjTextTable[[#This Row],[text]],CHAR(10)," "))," ",""))</f>
        <v>400</v>
      </c>
      <c r="O279" t="s">
        <v>13</v>
      </c>
      <c r="P279" t="s">
        <v>1875</v>
      </c>
    </row>
    <row r="280" spans="1:16" x14ac:dyDescent="0.4">
      <c r="A280">
        <f t="shared" si="4"/>
        <v>39</v>
      </c>
      <c r="B280" t="s">
        <v>1235</v>
      </c>
      <c r="C280" t="s">
        <v>1236</v>
      </c>
      <c r="D280" t="s">
        <v>209</v>
      </c>
      <c r="E280" t="s">
        <v>451</v>
      </c>
      <c r="F280" t="s">
        <v>1789</v>
      </c>
      <c r="G280" t="s">
        <v>1790</v>
      </c>
      <c r="H280" t="s">
        <v>1791</v>
      </c>
      <c r="I280" t="s">
        <v>197</v>
      </c>
      <c r="J280" t="s">
        <v>1618</v>
      </c>
      <c r="K280" s="30">
        <v>42871</v>
      </c>
      <c r="L280" s="8">
        <v>42916.815636574072</v>
      </c>
      <c r="M280" s="21">
        <f>LEN(ProjTextTable[[#This Row],[text]])</f>
        <v>3927</v>
      </c>
      <c r="N280" s="21">
        <f>LEN(TRIM(CLEAN(SUBSTITUTE(ProjTextTable[[#This Row],[text]],CHAR(10)," "))))+1 - LEN(SUBSTITUTE(CLEAN(SUBSTITUTE(ProjTextTable[[#This Row],[text]],CHAR(10)," "))," ",""))</f>
        <v>581</v>
      </c>
      <c r="O280" t="s">
        <v>1792</v>
      </c>
      <c r="P280" t="s">
        <v>1876</v>
      </c>
    </row>
    <row r="281" spans="1:16" x14ac:dyDescent="0.4">
      <c r="A281">
        <f t="shared" si="4"/>
        <v>39</v>
      </c>
      <c r="B281" t="s">
        <v>1235</v>
      </c>
      <c r="C281" t="s">
        <v>1236</v>
      </c>
      <c r="D281" t="s">
        <v>2</v>
      </c>
      <c r="E281" t="s">
        <v>451</v>
      </c>
      <c r="F281" t="s">
        <v>13</v>
      </c>
      <c r="G281" t="s">
        <v>1470</v>
      </c>
      <c r="H281" t="s">
        <v>13</v>
      </c>
      <c r="I281" t="s">
        <v>13</v>
      </c>
      <c r="K281" s="30"/>
      <c r="L281" s="8">
        <v>42951.496446759258</v>
      </c>
      <c r="M281" s="21">
        <f>LEN(ProjTextTable[[#This Row],[text]])</f>
        <v>4592</v>
      </c>
      <c r="N281" s="21">
        <f>LEN(TRIM(CLEAN(SUBSTITUTE(ProjTextTable[[#This Row],[text]],CHAR(10)," "))))+1 - LEN(SUBSTITUTE(CLEAN(SUBSTITUTE(ProjTextTable[[#This Row],[text]],CHAR(10)," "))," ",""))</f>
        <v>679</v>
      </c>
      <c r="O281" t="s">
        <v>13</v>
      </c>
      <c r="P281" t="s">
        <v>1794</v>
      </c>
    </row>
    <row r="282" spans="1:16" x14ac:dyDescent="0.4">
      <c r="A282">
        <f t="shared" si="4"/>
        <v>39</v>
      </c>
      <c r="B282" t="s">
        <v>1235</v>
      </c>
      <c r="C282" t="s">
        <v>1236</v>
      </c>
      <c r="D282" t="s">
        <v>198</v>
      </c>
      <c r="E282" t="s">
        <v>451</v>
      </c>
      <c r="F282" t="s">
        <v>1847</v>
      </c>
      <c r="G282" t="s">
        <v>1848</v>
      </c>
      <c r="H282" t="s">
        <v>1849</v>
      </c>
      <c r="I282" t="s">
        <v>95</v>
      </c>
      <c r="J282" t="s">
        <v>178</v>
      </c>
      <c r="K282" s="30">
        <v>42872</v>
      </c>
      <c r="L282" s="8">
        <v>42871.622314814813</v>
      </c>
      <c r="M282" s="21">
        <f>LEN(ProjTextTable[[#This Row],[text]])</f>
        <v>5055</v>
      </c>
      <c r="N282" s="21">
        <f>LEN(TRIM(CLEAN(SUBSTITUTE(ProjTextTable[[#This Row],[text]],CHAR(10)," "))))+1 - LEN(SUBSTITUTE(CLEAN(SUBSTITUTE(ProjTextTable[[#This Row],[text]],CHAR(10)," "))," ",""))</f>
        <v>825</v>
      </c>
      <c r="O282" t="s">
        <v>207</v>
      </c>
      <c r="P282" t="s">
        <v>1877</v>
      </c>
    </row>
    <row r="283" spans="1:16" x14ac:dyDescent="0.4">
      <c r="A283">
        <f t="shared" si="4"/>
        <v>39</v>
      </c>
      <c r="B283" t="s">
        <v>1235</v>
      </c>
      <c r="C283" t="s">
        <v>1236</v>
      </c>
      <c r="D283" t="s">
        <v>198</v>
      </c>
      <c r="E283" t="s">
        <v>451</v>
      </c>
      <c r="F283" t="s">
        <v>1472</v>
      </c>
      <c r="G283" t="s">
        <v>1473</v>
      </c>
      <c r="H283" t="s">
        <v>1474</v>
      </c>
      <c r="I283" t="s">
        <v>95</v>
      </c>
      <c r="J283" t="s">
        <v>178</v>
      </c>
      <c r="K283" s="30">
        <v>42872</v>
      </c>
      <c r="L283" s="8">
        <v>42859.702696759261</v>
      </c>
      <c r="M283" s="21">
        <f>LEN(ProjTextTable[[#This Row],[text]])</f>
        <v>5318</v>
      </c>
      <c r="N283" s="21">
        <f>LEN(TRIM(CLEAN(SUBSTITUTE(ProjTextTable[[#This Row],[text]],CHAR(10)," "))))+1 - LEN(SUBSTITUTE(CLEAN(SUBSTITUTE(ProjTextTable[[#This Row],[text]],CHAR(10)," "))," ",""))</f>
        <v>835</v>
      </c>
      <c r="O283" t="s">
        <v>206</v>
      </c>
      <c r="P283" t="s">
        <v>1878</v>
      </c>
    </row>
    <row r="284" spans="1:16" x14ac:dyDescent="0.4">
      <c r="A284">
        <f t="shared" si="4"/>
        <v>39</v>
      </c>
      <c r="B284" t="s">
        <v>1235</v>
      </c>
      <c r="C284" t="s">
        <v>1236</v>
      </c>
      <c r="D284" t="s">
        <v>198</v>
      </c>
      <c r="E284" t="s">
        <v>451</v>
      </c>
      <c r="F284" t="s">
        <v>1852</v>
      </c>
      <c r="G284" t="s">
        <v>1086</v>
      </c>
      <c r="H284" t="s">
        <v>1853</v>
      </c>
      <c r="I284" t="s">
        <v>95</v>
      </c>
      <c r="J284" t="s">
        <v>178</v>
      </c>
      <c r="K284" s="30">
        <v>42872</v>
      </c>
      <c r="L284" s="8">
        <v>42872.477951388886</v>
      </c>
      <c r="M284" s="21">
        <f>LEN(ProjTextTable[[#This Row],[text]])</f>
        <v>4049</v>
      </c>
      <c r="N284" s="21">
        <f>LEN(TRIM(CLEAN(SUBSTITUTE(ProjTextTable[[#This Row],[text]],CHAR(10)," "))))+1 - LEN(SUBSTITUTE(CLEAN(SUBSTITUTE(ProjTextTable[[#This Row],[text]],CHAR(10)," "))," ",""))</f>
        <v>633</v>
      </c>
      <c r="O284" t="s">
        <v>206</v>
      </c>
      <c r="P284" t="s">
        <v>1879</v>
      </c>
    </row>
    <row r="285" spans="1:16" x14ac:dyDescent="0.4">
      <c r="A285">
        <f t="shared" si="4"/>
        <v>40</v>
      </c>
      <c r="B285" t="s">
        <v>1242</v>
      </c>
      <c r="C285" t="s">
        <v>1243</v>
      </c>
      <c r="D285" t="s">
        <v>209</v>
      </c>
      <c r="E285" t="s">
        <v>451</v>
      </c>
      <c r="F285" t="s">
        <v>1789</v>
      </c>
      <c r="G285" t="s">
        <v>1790</v>
      </c>
      <c r="H285" t="s">
        <v>1841</v>
      </c>
      <c r="I285" t="s">
        <v>201</v>
      </c>
      <c r="J285" t="s">
        <v>197</v>
      </c>
      <c r="K285" s="30">
        <v>42871</v>
      </c>
      <c r="L285" s="8">
        <v>42925.807326388887</v>
      </c>
      <c r="M285" s="21">
        <f>LEN(ProjTextTable[[#This Row],[text]])</f>
        <v>4782</v>
      </c>
      <c r="N285" s="21">
        <f>LEN(TRIM(CLEAN(SUBSTITUTE(ProjTextTable[[#This Row],[text]],CHAR(10)," "))))+1 - LEN(SUBSTITUTE(CLEAN(SUBSTITUTE(ProjTextTable[[#This Row],[text]],CHAR(10)," "))," ",""))</f>
        <v>702</v>
      </c>
      <c r="O285" t="s">
        <v>178</v>
      </c>
      <c r="P285" t="s">
        <v>1880</v>
      </c>
    </row>
    <row r="286" spans="1:16" x14ac:dyDescent="0.4">
      <c r="A286">
        <f t="shared" si="4"/>
        <v>40</v>
      </c>
      <c r="B286" t="s">
        <v>1242</v>
      </c>
      <c r="C286" t="s">
        <v>1243</v>
      </c>
      <c r="D286" t="s">
        <v>908</v>
      </c>
      <c r="E286" t="s">
        <v>1241</v>
      </c>
      <c r="F286" t="s">
        <v>13</v>
      </c>
      <c r="G286" t="s">
        <v>1881</v>
      </c>
      <c r="H286" t="s">
        <v>13</v>
      </c>
      <c r="I286" t="s">
        <v>13</v>
      </c>
      <c r="K286" s="30"/>
      <c r="L286" s="8">
        <v>42928.713240740741</v>
      </c>
      <c r="M286" s="21">
        <f>LEN(ProjTextTable[[#This Row],[text]])</f>
        <v>2881</v>
      </c>
      <c r="N286" s="21">
        <f>LEN(TRIM(CLEAN(SUBSTITUTE(ProjTextTable[[#This Row],[text]],CHAR(10)," "))))+1 - LEN(SUBSTITUTE(CLEAN(SUBSTITUTE(ProjTextTable[[#This Row],[text]],CHAR(10)," "))," ",""))</f>
        <v>381</v>
      </c>
      <c r="O286" t="s">
        <v>13</v>
      </c>
      <c r="P286" t="s">
        <v>1882</v>
      </c>
    </row>
    <row r="287" spans="1:16" x14ac:dyDescent="0.4">
      <c r="A287">
        <f t="shared" si="4"/>
        <v>40</v>
      </c>
      <c r="B287" t="s">
        <v>1242</v>
      </c>
      <c r="C287" t="s">
        <v>1243</v>
      </c>
      <c r="D287" t="s">
        <v>1467</v>
      </c>
      <c r="E287" t="s">
        <v>1241</v>
      </c>
      <c r="F287" t="s">
        <v>1242</v>
      </c>
      <c r="G287" t="s">
        <v>1883</v>
      </c>
      <c r="H287" t="s">
        <v>13</v>
      </c>
      <c r="I287" t="s">
        <v>13</v>
      </c>
      <c r="J287" t="s">
        <v>1844</v>
      </c>
      <c r="K287" s="30">
        <v>42926.736805555556</v>
      </c>
      <c r="L287" s="8">
        <v>44752.736805555556</v>
      </c>
      <c r="M287" s="21">
        <f>LEN(ProjTextTable[[#This Row],[text]])</f>
        <v>7394</v>
      </c>
      <c r="N287" s="21">
        <f>LEN(TRIM(CLEAN(SUBSTITUTE(ProjTextTable[[#This Row],[text]],CHAR(10)," "))))+1 - LEN(SUBSTITUTE(CLEAN(SUBSTITUTE(ProjTextTable[[#This Row],[text]],CHAR(10)," "))," ",""))</f>
        <v>1054</v>
      </c>
      <c r="O287" t="s">
        <v>13</v>
      </c>
      <c r="P287" t="s">
        <v>1884</v>
      </c>
    </row>
    <row r="288" spans="1:16" x14ac:dyDescent="0.4">
      <c r="A288">
        <f t="shared" si="4"/>
        <v>40</v>
      </c>
      <c r="B288" t="s">
        <v>1242</v>
      </c>
      <c r="C288" t="s">
        <v>1243</v>
      </c>
      <c r="D288" t="s">
        <v>198</v>
      </c>
      <c r="E288" t="s">
        <v>451</v>
      </c>
      <c r="F288" t="s">
        <v>1847</v>
      </c>
      <c r="G288" t="s">
        <v>1848</v>
      </c>
      <c r="H288" t="s">
        <v>1849</v>
      </c>
      <c r="I288" t="s">
        <v>95</v>
      </c>
      <c r="J288" t="s">
        <v>178</v>
      </c>
      <c r="K288" s="30">
        <v>42872</v>
      </c>
      <c r="L288" s="8">
        <v>42868.5468287037</v>
      </c>
      <c r="M288" s="21">
        <f>LEN(ProjTextTable[[#This Row],[text]])</f>
        <v>4488</v>
      </c>
      <c r="N288" s="21">
        <f>LEN(TRIM(CLEAN(SUBSTITUTE(ProjTextTable[[#This Row],[text]],CHAR(10)," "))))+1 - LEN(SUBSTITUTE(CLEAN(SUBSTITUTE(ProjTextTable[[#This Row],[text]],CHAR(10)," "))," ",""))</f>
        <v>721</v>
      </c>
      <c r="O288" t="s">
        <v>203</v>
      </c>
      <c r="P288" t="s">
        <v>1885</v>
      </c>
    </row>
    <row r="289" spans="1:16" x14ac:dyDescent="0.4">
      <c r="A289">
        <f t="shared" si="4"/>
        <v>40</v>
      </c>
      <c r="B289" t="s">
        <v>1242</v>
      </c>
      <c r="C289" t="s">
        <v>1243</v>
      </c>
      <c r="D289" t="s">
        <v>198</v>
      </c>
      <c r="E289" t="s">
        <v>451</v>
      </c>
      <c r="F289" t="s">
        <v>1820</v>
      </c>
      <c r="G289" t="s">
        <v>1821</v>
      </c>
      <c r="H289" t="s">
        <v>1822</v>
      </c>
      <c r="I289" t="s">
        <v>95</v>
      </c>
      <c r="J289" t="s">
        <v>178</v>
      </c>
      <c r="K289" s="30">
        <v>42872</v>
      </c>
      <c r="L289" s="8">
        <v>42871.889548611114</v>
      </c>
      <c r="M289" s="21">
        <f>LEN(ProjTextTable[[#This Row],[text]])</f>
        <v>6689</v>
      </c>
      <c r="N289" s="21">
        <f>LEN(TRIM(CLEAN(SUBSTITUTE(ProjTextTable[[#This Row],[text]],CHAR(10)," "))))+1 - LEN(SUBSTITUTE(CLEAN(SUBSTITUTE(ProjTextTable[[#This Row],[text]],CHAR(10)," "))," ",""))</f>
        <v>997</v>
      </c>
      <c r="O289" t="s">
        <v>206</v>
      </c>
      <c r="P289" t="s">
        <v>1886</v>
      </c>
    </row>
    <row r="290" spans="1:16" x14ac:dyDescent="0.4">
      <c r="A290">
        <f t="shared" si="4"/>
        <v>40</v>
      </c>
      <c r="B290" t="s">
        <v>1242</v>
      </c>
      <c r="C290" t="s">
        <v>1243</v>
      </c>
      <c r="D290" t="s">
        <v>198</v>
      </c>
      <c r="E290" t="s">
        <v>451</v>
      </c>
      <c r="F290" t="s">
        <v>1852</v>
      </c>
      <c r="G290" t="s">
        <v>1086</v>
      </c>
      <c r="H290" t="s">
        <v>1853</v>
      </c>
      <c r="I290" t="s">
        <v>95</v>
      </c>
      <c r="J290" t="s">
        <v>178</v>
      </c>
      <c r="K290" s="30">
        <v>42872</v>
      </c>
      <c r="L290" s="8">
        <v>42869.471817129626</v>
      </c>
      <c r="M290" s="21">
        <f>LEN(ProjTextTable[[#This Row],[text]])</f>
        <v>3741</v>
      </c>
      <c r="N290" s="21">
        <f>LEN(TRIM(CLEAN(SUBSTITUTE(ProjTextTable[[#This Row],[text]],CHAR(10)," "))))+1 - LEN(SUBSTITUTE(CLEAN(SUBSTITUTE(ProjTextTable[[#This Row],[text]],CHAR(10)," "))," ",""))</f>
        <v>583</v>
      </c>
      <c r="O290" t="s">
        <v>202</v>
      </c>
      <c r="P290" t="s">
        <v>1887</v>
      </c>
    </row>
    <row r="291" spans="1:16" x14ac:dyDescent="0.4">
      <c r="A291">
        <f t="shared" si="4"/>
        <v>40</v>
      </c>
      <c r="B291" t="s">
        <v>1242</v>
      </c>
      <c r="C291" t="s">
        <v>1243</v>
      </c>
      <c r="D291" t="s">
        <v>200</v>
      </c>
      <c r="E291" t="s">
        <v>1241</v>
      </c>
      <c r="F291" t="s">
        <v>13</v>
      </c>
      <c r="G291" t="s">
        <v>13</v>
      </c>
      <c r="H291" t="s">
        <v>13</v>
      </c>
      <c r="K291" s="30"/>
      <c r="L291" s="8">
        <v>42810.042326388888</v>
      </c>
      <c r="M291" s="21">
        <f>LEN(ProjTextTable[[#This Row],[text]])</f>
        <v>4315</v>
      </c>
      <c r="N291" s="21">
        <f>LEN(TRIM(CLEAN(SUBSTITUTE(ProjTextTable[[#This Row],[text]],CHAR(10)," "))))+1 - LEN(SUBSTITUTE(CLEAN(SUBSTITUTE(ProjTextTable[[#This Row],[text]],CHAR(10)," "))," ",""))</f>
        <v>578</v>
      </c>
      <c r="O291" t="s">
        <v>13</v>
      </c>
      <c r="P291" t="s">
        <v>1888</v>
      </c>
    </row>
    <row r="292" spans="1:16" x14ac:dyDescent="0.4">
      <c r="A292">
        <f t="shared" si="4"/>
        <v>41</v>
      </c>
      <c r="B292" t="s">
        <v>1247</v>
      </c>
      <c r="C292" t="s">
        <v>1248</v>
      </c>
      <c r="D292" t="s">
        <v>209</v>
      </c>
      <c r="E292" t="s">
        <v>451</v>
      </c>
      <c r="F292" t="s">
        <v>1789</v>
      </c>
      <c r="G292" t="s">
        <v>1790</v>
      </c>
      <c r="H292" t="s">
        <v>1807</v>
      </c>
      <c r="I292" t="s">
        <v>204</v>
      </c>
      <c r="J292" t="s">
        <v>714</v>
      </c>
      <c r="K292" s="30">
        <v>42871</v>
      </c>
      <c r="L292" s="8"/>
      <c r="M292" s="21">
        <f>LEN(ProjTextTable[[#This Row],[text]])</f>
        <v>1</v>
      </c>
      <c r="N292" s="21">
        <f>LEN(TRIM(CLEAN(SUBSTITUTE(ProjTextTable[[#This Row],[text]],CHAR(10)," "))))+1 - LEN(SUBSTITUTE(CLEAN(SUBSTITUTE(ProjTextTable[[#This Row],[text]],CHAR(10)," "))," ",""))</f>
        <v>1</v>
      </c>
      <c r="O292" t="s">
        <v>1808</v>
      </c>
      <c r="P292" t="s">
        <v>13</v>
      </c>
    </row>
    <row r="293" spans="1:16" x14ac:dyDescent="0.4">
      <c r="A293">
        <f t="shared" si="4"/>
        <v>41</v>
      </c>
      <c r="B293" t="s">
        <v>1247</v>
      </c>
      <c r="C293" t="s">
        <v>1248</v>
      </c>
      <c r="D293" t="s">
        <v>1467</v>
      </c>
      <c r="E293" t="s">
        <v>406</v>
      </c>
      <c r="F293" t="s">
        <v>1247</v>
      </c>
      <c r="G293" t="s">
        <v>1468</v>
      </c>
      <c r="H293" t="s">
        <v>13</v>
      </c>
      <c r="I293" t="s">
        <v>13</v>
      </c>
      <c r="J293" t="s">
        <v>777</v>
      </c>
      <c r="K293" s="30">
        <v>42955.727083333331</v>
      </c>
      <c r="L293" s="8">
        <v>44781.727083333331</v>
      </c>
      <c r="M293" s="21">
        <f>LEN(ProjTextTable[[#This Row],[text]])</f>
        <v>2107</v>
      </c>
      <c r="N293" s="21">
        <f>LEN(TRIM(CLEAN(SUBSTITUTE(ProjTextTable[[#This Row],[text]],CHAR(10)," "))))+1 - LEN(SUBSTITUTE(CLEAN(SUBSTITUTE(ProjTextTable[[#This Row],[text]],CHAR(10)," "))," ",""))</f>
        <v>332</v>
      </c>
      <c r="O293" t="s">
        <v>13</v>
      </c>
      <c r="P293" t="s">
        <v>1809</v>
      </c>
    </row>
    <row r="294" spans="1:16" x14ac:dyDescent="0.4">
      <c r="A294">
        <f t="shared" si="4"/>
        <v>41</v>
      </c>
      <c r="B294" t="s">
        <v>1247</v>
      </c>
      <c r="C294" t="s">
        <v>1248</v>
      </c>
      <c r="D294" t="s">
        <v>2</v>
      </c>
      <c r="E294" t="s">
        <v>406</v>
      </c>
      <c r="F294" t="s">
        <v>13</v>
      </c>
      <c r="G294" t="s">
        <v>1470</v>
      </c>
      <c r="H294" t="s">
        <v>13</v>
      </c>
      <c r="I294" t="s">
        <v>13</v>
      </c>
      <c r="K294" s="30"/>
      <c r="L294" s="8">
        <v>42914.640601851854</v>
      </c>
      <c r="M294" s="21">
        <f>LEN(ProjTextTable[[#This Row],[text]])</f>
        <v>2204</v>
      </c>
      <c r="N294" s="21">
        <f>LEN(TRIM(CLEAN(SUBSTITUTE(ProjTextTable[[#This Row],[text]],CHAR(10)," "))))+1 - LEN(SUBSTITUTE(CLEAN(SUBSTITUTE(ProjTextTable[[#This Row],[text]],CHAR(10)," "))," ",""))</f>
        <v>325</v>
      </c>
      <c r="O294" t="s">
        <v>13</v>
      </c>
      <c r="P294" t="s">
        <v>1889</v>
      </c>
    </row>
    <row r="295" spans="1:16" x14ac:dyDescent="0.4">
      <c r="A295">
        <f t="shared" si="4"/>
        <v>41</v>
      </c>
      <c r="B295" t="s">
        <v>1247</v>
      </c>
      <c r="C295" t="s">
        <v>1248</v>
      </c>
      <c r="D295" t="s">
        <v>198</v>
      </c>
      <c r="E295" t="s">
        <v>451</v>
      </c>
      <c r="F295" t="s">
        <v>1836</v>
      </c>
      <c r="G295" t="s">
        <v>1837</v>
      </c>
      <c r="H295" t="s">
        <v>1838</v>
      </c>
      <c r="I295" t="s">
        <v>95</v>
      </c>
      <c r="J295" t="s">
        <v>178</v>
      </c>
      <c r="K295" s="30">
        <v>42872</v>
      </c>
      <c r="L295" s="8">
        <v>42870.326747685183</v>
      </c>
      <c r="M295" s="21">
        <f>LEN(ProjTextTable[[#This Row],[text]])</f>
        <v>3785</v>
      </c>
      <c r="N295" s="21">
        <f>LEN(TRIM(CLEAN(SUBSTITUTE(ProjTextTable[[#This Row],[text]],CHAR(10)," "))))+1 - LEN(SUBSTITUTE(CLEAN(SUBSTITUTE(ProjTextTable[[#This Row],[text]],CHAR(10)," "))," ",""))</f>
        <v>563</v>
      </c>
      <c r="O295" t="s">
        <v>199</v>
      </c>
      <c r="P295" t="s">
        <v>1890</v>
      </c>
    </row>
    <row r="296" spans="1:16" x14ac:dyDescent="0.4">
      <c r="A296">
        <f t="shared" si="4"/>
        <v>41</v>
      </c>
      <c r="B296" t="s">
        <v>1247</v>
      </c>
      <c r="C296" t="s">
        <v>1248</v>
      </c>
      <c r="D296" t="s">
        <v>198</v>
      </c>
      <c r="E296" t="s">
        <v>451</v>
      </c>
      <c r="F296" t="s">
        <v>1816</v>
      </c>
      <c r="G296" t="s">
        <v>1817</v>
      </c>
      <c r="H296" t="s">
        <v>1818</v>
      </c>
      <c r="I296" t="s">
        <v>95</v>
      </c>
      <c r="J296" t="s">
        <v>178</v>
      </c>
      <c r="K296" s="30">
        <v>42872</v>
      </c>
      <c r="L296" s="8">
        <v>42871.529537037037</v>
      </c>
      <c r="M296" s="21">
        <f>LEN(ProjTextTable[[#This Row],[text]])</f>
        <v>3766</v>
      </c>
      <c r="N296" s="21">
        <f>LEN(TRIM(CLEAN(SUBSTITUTE(ProjTextTable[[#This Row],[text]],CHAR(10)," "))))+1 - LEN(SUBSTITUTE(CLEAN(SUBSTITUTE(ProjTextTable[[#This Row],[text]],CHAR(10)," "))," ",""))</f>
        <v>586</v>
      </c>
      <c r="O296" t="s">
        <v>199</v>
      </c>
      <c r="P296" t="s">
        <v>1891</v>
      </c>
    </row>
    <row r="297" spans="1:16" x14ac:dyDescent="0.4">
      <c r="A297">
        <f t="shared" si="4"/>
        <v>41</v>
      </c>
      <c r="B297" t="s">
        <v>1247</v>
      </c>
      <c r="C297" t="s">
        <v>1248</v>
      </c>
      <c r="D297" t="s">
        <v>198</v>
      </c>
      <c r="E297" t="s">
        <v>451</v>
      </c>
      <c r="F297" t="s">
        <v>1820</v>
      </c>
      <c r="G297" t="s">
        <v>1821</v>
      </c>
      <c r="H297" t="s">
        <v>1822</v>
      </c>
      <c r="I297" t="s">
        <v>95</v>
      </c>
      <c r="J297" t="s">
        <v>178</v>
      </c>
      <c r="K297" s="30">
        <v>42872</v>
      </c>
      <c r="L297" s="8">
        <v>42871.856493055559</v>
      </c>
      <c r="M297" s="21">
        <f>LEN(ProjTextTable[[#This Row],[text]])</f>
        <v>5308</v>
      </c>
      <c r="N297" s="21">
        <f>LEN(TRIM(CLEAN(SUBSTITUTE(ProjTextTable[[#This Row],[text]],CHAR(10)," "))))+1 - LEN(SUBSTITUTE(CLEAN(SUBSTITUTE(ProjTextTable[[#This Row],[text]],CHAR(10)," "))," ",""))</f>
        <v>809</v>
      </c>
      <c r="O297" t="s">
        <v>215</v>
      </c>
      <c r="P297" t="s">
        <v>1892</v>
      </c>
    </row>
    <row r="298" spans="1:16" x14ac:dyDescent="0.4">
      <c r="A298">
        <f t="shared" si="4"/>
        <v>41</v>
      </c>
      <c r="B298" t="s">
        <v>1247</v>
      </c>
      <c r="C298" t="s">
        <v>1248</v>
      </c>
      <c r="D298" t="s">
        <v>200</v>
      </c>
      <c r="E298" t="s">
        <v>406</v>
      </c>
      <c r="F298" t="s">
        <v>13</v>
      </c>
      <c r="G298" t="s">
        <v>13</v>
      </c>
      <c r="H298" t="s">
        <v>13</v>
      </c>
      <c r="K298" s="30"/>
      <c r="L298" s="8">
        <v>42810.042326388888</v>
      </c>
      <c r="M298" s="21">
        <f>LEN(ProjTextTable[[#This Row],[text]])</f>
        <v>4087</v>
      </c>
      <c r="N298" s="21">
        <f>LEN(TRIM(CLEAN(SUBSTITUTE(ProjTextTable[[#This Row],[text]],CHAR(10)," "))))+1 - LEN(SUBSTITUTE(CLEAN(SUBSTITUTE(ProjTextTable[[#This Row],[text]],CHAR(10)," "))," ",""))</f>
        <v>592</v>
      </c>
      <c r="O298" t="s">
        <v>13</v>
      </c>
      <c r="P298" t="s">
        <v>1893</v>
      </c>
    </row>
    <row r="299" spans="1:16" x14ac:dyDescent="0.4">
      <c r="A299">
        <f t="shared" si="4"/>
        <v>42</v>
      </c>
      <c r="B299" t="s">
        <v>1274</v>
      </c>
      <c r="C299" t="s">
        <v>1275</v>
      </c>
      <c r="D299" t="s">
        <v>209</v>
      </c>
      <c r="E299" t="s">
        <v>451</v>
      </c>
      <c r="F299" t="s">
        <v>1789</v>
      </c>
      <c r="G299" t="s">
        <v>1790</v>
      </c>
      <c r="H299" t="s">
        <v>1791</v>
      </c>
      <c r="I299" t="s">
        <v>197</v>
      </c>
      <c r="J299" t="s">
        <v>1618</v>
      </c>
      <c r="K299" s="30">
        <v>42871</v>
      </c>
      <c r="L299" s="8">
        <v>42916.815636574072</v>
      </c>
      <c r="M299" s="21">
        <f>LEN(ProjTextTable[[#This Row],[text]])</f>
        <v>4060</v>
      </c>
      <c r="N299" s="21">
        <f>LEN(TRIM(CLEAN(SUBSTITUTE(ProjTextTable[[#This Row],[text]],CHAR(10)," "))))+1 - LEN(SUBSTITUTE(CLEAN(SUBSTITUTE(ProjTextTable[[#This Row],[text]],CHAR(10)," "))," ",""))</f>
        <v>605</v>
      </c>
      <c r="O299" t="s">
        <v>1792</v>
      </c>
      <c r="P299" t="s">
        <v>1894</v>
      </c>
    </row>
    <row r="300" spans="1:16" x14ac:dyDescent="0.4">
      <c r="A300">
        <f t="shared" si="4"/>
        <v>42</v>
      </c>
      <c r="B300" t="s">
        <v>1274</v>
      </c>
      <c r="C300" t="s">
        <v>1275</v>
      </c>
      <c r="D300" t="s">
        <v>2</v>
      </c>
      <c r="E300" t="s">
        <v>406</v>
      </c>
      <c r="F300" t="s">
        <v>13</v>
      </c>
      <c r="G300" t="s">
        <v>1470</v>
      </c>
      <c r="H300" t="s">
        <v>13</v>
      </c>
      <c r="I300" t="s">
        <v>13</v>
      </c>
      <c r="K300" s="30"/>
      <c r="L300" s="8">
        <v>42914.638993055552</v>
      </c>
      <c r="M300" s="21">
        <f>LEN(ProjTextTable[[#This Row],[text]])</f>
        <v>1991</v>
      </c>
      <c r="N300" s="21">
        <f>LEN(TRIM(CLEAN(SUBSTITUTE(ProjTextTable[[#This Row],[text]],CHAR(10)," "))))+1 - LEN(SUBSTITUTE(CLEAN(SUBSTITUTE(ProjTextTable[[#This Row],[text]],CHAR(10)," "))," ",""))</f>
        <v>292</v>
      </c>
      <c r="O300" t="s">
        <v>13</v>
      </c>
      <c r="P300" t="s">
        <v>1895</v>
      </c>
    </row>
    <row r="301" spans="1:16" x14ac:dyDescent="0.4">
      <c r="A301">
        <f t="shared" si="4"/>
        <v>42</v>
      </c>
      <c r="B301" t="s">
        <v>1274</v>
      </c>
      <c r="C301" t="s">
        <v>1275</v>
      </c>
      <c r="D301" t="s">
        <v>198</v>
      </c>
      <c r="E301" t="s">
        <v>451</v>
      </c>
      <c r="F301" t="s">
        <v>1472</v>
      </c>
      <c r="G301" t="s">
        <v>1473</v>
      </c>
      <c r="H301" t="s">
        <v>1474</v>
      </c>
      <c r="I301" t="s">
        <v>95</v>
      </c>
      <c r="J301" t="s">
        <v>178</v>
      </c>
      <c r="K301" s="30">
        <v>42872</v>
      </c>
      <c r="L301" s="8">
        <v>42859.702696759261</v>
      </c>
      <c r="M301" s="21">
        <f>LEN(ProjTextTable[[#This Row],[text]])</f>
        <v>4826</v>
      </c>
      <c r="N301" s="21">
        <f>LEN(TRIM(CLEAN(SUBSTITUTE(ProjTextTable[[#This Row],[text]],CHAR(10)," "))))+1 - LEN(SUBSTITUTE(CLEAN(SUBSTITUTE(ProjTextTable[[#This Row],[text]],CHAR(10)," "))," ",""))</f>
        <v>745</v>
      </c>
      <c r="O301" t="s">
        <v>206</v>
      </c>
      <c r="P301" t="s">
        <v>1896</v>
      </c>
    </row>
    <row r="302" spans="1:16" x14ac:dyDescent="0.4">
      <c r="A302">
        <f t="shared" si="4"/>
        <v>42</v>
      </c>
      <c r="B302" t="s">
        <v>1274</v>
      </c>
      <c r="C302" t="s">
        <v>1275</v>
      </c>
      <c r="D302" t="s">
        <v>198</v>
      </c>
      <c r="E302" t="s">
        <v>451</v>
      </c>
      <c r="F302" t="s">
        <v>1433</v>
      </c>
      <c r="G302" t="s">
        <v>1434</v>
      </c>
      <c r="H302" t="s">
        <v>1435</v>
      </c>
      <c r="I302" t="s">
        <v>95</v>
      </c>
      <c r="J302" t="s">
        <v>178</v>
      </c>
      <c r="K302" s="30">
        <v>42872</v>
      </c>
      <c r="L302" s="8">
        <v>42872.450520833336</v>
      </c>
      <c r="M302" s="21">
        <f>LEN(ProjTextTable[[#This Row],[text]])</f>
        <v>5774</v>
      </c>
      <c r="N302" s="21">
        <f>LEN(TRIM(CLEAN(SUBSTITUTE(ProjTextTable[[#This Row],[text]],CHAR(10)," "))))+1 - LEN(SUBSTITUTE(CLEAN(SUBSTITUTE(ProjTextTable[[#This Row],[text]],CHAR(10)," "))," ",""))</f>
        <v>907</v>
      </c>
      <c r="O302" t="s">
        <v>206</v>
      </c>
      <c r="P302" t="s">
        <v>1897</v>
      </c>
    </row>
    <row r="303" spans="1:16" x14ac:dyDescent="0.4">
      <c r="A303">
        <f t="shared" si="4"/>
        <v>42</v>
      </c>
      <c r="B303" t="s">
        <v>1274</v>
      </c>
      <c r="C303" t="s">
        <v>1275</v>
      </c>
      <c r="D303" t="s">
        <v>198</v>
      </c>
      <c r="E303" t="s">
        <v>451</v>
      </c>
      <c r="F303" t="s">
        <v>1799</v>
      </c>
      <c r="G303" t="s">
        <v>595</v>
      </c>
      <c r="H303" t="s">
        <v>1800</v>
      </c>
      <c r="I303" t="s">
        <v>95</v>
      </c>
      <c r="J303" t="s">
        <v>178</v>
      </c>
      <c r="K303" s="30">
        <v>42872</v>
      </c>
      <c r="L303" s="8">
        <v>42871.589953703704</v>
      </c>
      <c r="M303" s="21">
        <f>LEN(ProjTextTable[[#This Row],[text]])</f>
        <v>2499</v>
      </c>
      <c r="N303" s="21">
        <f>LEN(TRIM(CLEAN(SUBSTITUTE(ProjTextTable[[#This Row],[text]],CHAR(10)," "))))+1 - LEN(SUBSTITUTE(CLEAN(SUBSTITUTE(ProjTextTable[[#This Row],[text]],CHAR(10)," "))," ",""))</f>
        <v>351</v>
      </c>
      <c r="O303" t="s">
        <v>206</v>
      </c>
      <c r="P303" t="s">
        <v>1898</v>
      </c>
    </row>
    <row r="304" spans="1:16" x14ac:dyDescent="0.4">
      <c r="A304">
        <f t="shared" si="4"/>
        <v>42</v>
      </c>
      <c r="B304" t="s">
        <v>1274</v>
      </c>
      <c r="C304" t="s">
        <v>1275</v>
      </c>
      <c r="D304" t="s">
        <v>200</v>
      </c>
      <c r="E304" t="s">
        <v>406</v>
      </c>
      <c r="F304" t="s">
        <v>13</v>
      </c>
      <c r="G304" t="s">
        <v>13</v>
      </c>
      <c r="H304" t="s">
        <v>13</v>
      </c>
      <c r="K304" s="30"/>
      <c r="L304" s="8">
        <v>42810.042326388888</v>
      </c>
      <c r="M304" s="21">
        <f>LEN(ProjTextTable[[#This Row],[text]])</f>
        <v>4014</v>
      </c>
      <c r="N304" s="21">
        <f>LEN(TRIM(CLEAN(SUBSTITUTE(ProjTextTable[[#This Row],[text]],CHAR(10)," "))))+1 - LEN(SUBSTITUTE(CLEAN(SUBSTITUTE(ProjTextTable[[#This Row],[text]],CHAR(10)," "))," ",""))</f>
        <v>571</v>
      </c>
      <c r="O304" t="s">
        <v>13</v>
      </c>
      <c r="P304" t="s">
        <v>1899</v>
      </c>
    </row>
    <row r="305" spans="1:16" x14ac:dyDescent="0.4">
      <c r="A305">
        <f t="shared" si="4"/>
        <v>43</v>
      </c>
      <c r="B305" t="s">
        <v>1281</v>
      </c>
      <c r="C305" t="s">
        <v>1282</v>
      </c>
      <c r="D305" t="s">
        <v>209</v>
      </c>
      <c r="E305" t="s">
        <v>451</v>
      </c>
      <c r="F305" t="s">
        <v>1789</v>
      </c>
      <c r="G305" t="s">
        <v>1790</v>
      </c>
      <c r="H305" t="s">
        <v>1841</v>
      </c>
      <c r="I305" t="s">
        <v>201</v>
      </c>
      <c r="J305" t="s">
        <v>197</v>
      </c>
      <c r="K305" s="30">
        <v>42871</v>
      </c>
      <c r="L305" s="8">
        <v>42922.825601851851</v>
      </c>
      <c r="M305" s="21">
        <f>LEN(ProjTextTable[[#This Row],[text]])</f>
        <v>4927</v>
      </c>
      <c r="N305" s="21">
        <f>LEN(TRIM(CLEAN(SUBSTITUTE(ProjTextTable[[#This Row],[text]],CHAR(10)," "))))+1 - LEN(SUBSTITUTE(CLEAN(SUBSTITUTE(ProjTextTable[[#This Row],[text]],CHAR(10)," "))," ",""))</f>
        <v>742</v>
      </c>
      <c r="O305" t="s">
        <v>178</v>
      </c>
      <c r="P305" t="s">
        <v>1900</v>
      </c>
    </row>
    <row r="306" spans="1:16" x14ac:dyDescent="0.4">
      <c r="A306">
        <f t="shared" si="4"/>
        <v>43</v>
      </c>
      <c r="B306" t="s">
        <v>1281</v>
      </c>
      <c r="C306" t="s">
        <v>1282</v>
      </c>
      <c r="D306" t="s">
        <v>908</v>
      </c>
      <c r="E306" t="s">
        <v>406</v>
      </c>
      <c r="F306" t="s">
        <v>13</v>
      </c>
      <c r="G306" t="s">
        <v>1468</v>
      </c>
      <c r="H306" t="s">
        <v>13</v>
      </c>
      <c r="I306" t="s">
        <v>13</v>
      </c>
      <c r="K306" s="30"/>
      <c r="L306" s="8">
        <v>42935.637106481481</v>
      </c>
      <c r="M306" s="21">
        <f>LEN(ProjTextTable[[#This Row],[text]])</f>
        <v>3567</v>
      </c>
      <c r="N306" s="21">
        <f>LEN(TRIM(CLEAN(SUBSTITUTE(ProjTextTable[[#This Row],[text]],CHAR(10)," "))))+1 - LEN(SUBSTITUTE(CLEAN(SUBSTITUTE(ProjTextTable[[#This Row],[text]],CHAR(10)," "))," ",""))</f>
        <v>481</v>
      </c>
      <c r="O306" t="s">
        <v>13</v>
      </c>
      <c r="P306" t="s">
        <v>1901</v>
      </c>
    </row>
    <row r="307" spans="1:16" x14ac:dyDescent="0.4">
      <c r="A307">
        <f t="shared" si="4"/>
        <v>43</v>
      </c>
      <c r="B307" t="s">
        <v>1281</v>
      </c>
      <c r="C307" t="s">
        <v>1282</v>
      </c>
      <c r="D307" t="s">
        <v>1467</v>
      </c>
      <c r="E307" t="s">
        <v>406</v>
      </c>
      <c r="F307" t="s">
        <v>1281</v>
      </c>
      <c r="G307" t="s">
        <v>1468</v>
      </c>
      <c r="H307" t="s">
        <v>13</v>
      </c>
      <c r="I307" t="s">
        <v>13</v>
      </c>
      <c r="J307" t="s">
        <v>1844</v>
      </c>
      <c r="K307" s="30">
        <v>42928.938888888886</v>
      </c>
      <c r="L307" s="8">
        <v>44754.938888888886</v>
      </c>
      <c r="M307" s="21">
        <f>LEN(ProjTextTable[[#This Row],[text]])</f>
        <v>6811</v>
      </c>
      <c r="N307" s="21">
        <f>LEN(TRIM(CLEAN(SUBSTITUTE(ProjTextTable[[#This Row],[text]],CHAR(10)," "))))+1 - LEN(SUBSTITUTE(CLEAN(SUBSTITUTE(ProjTextTable[[#This Row],[text]],CHAR(10)," "))," ",""))</f>
        <v>1055</v>
      </c>
      <c r="O307" t="s">
        <v>13</v>
      </c>
      <c r="P307" t="s">
        <v>1902</v>
      </c>
    </row>
    <row r="308" spans="1:16" x14ac:dyDescent="0.4">
      <c r="A308">
        <f t="shared" si="4"/>
        <v>43</v>
      </c>
      <c r="B308" t="s">
        <v>1281</v>
      </c>
      <c r="C308" t="s">
        <v>1282</v>
      </c>
      <c r="D308" t="s">
        <v>2</v>
      </c>
      <c r="E308" t="s">
        <v>406</v>
      </c>
      <c r="F308" t="s">
        <v>13</v>
      </c>
      <c r="G308" t="s">
        <v>1470</v>
      </c>
      <c r="H308" t="s">
        <v>13</v>
      </c>
      <c r="I308" t="s">
        <v>13</v>
      </c>
      <c r="K308" s="30"/>
      <c r="L308" s="8">
        <v>42934.612986111111</v>
      </c>
      <c r="M308" s="21">
        <f>LEN(ProjTextTable[[#This Row],[text]])</f>
        <v>7502</v>
      </c>
      <c r="N308" s="21">
        <f>LEN(TRIM(CLEAN(SUBSTITUTE(ProjTextTable[[#This Row],[text]],CHAR(10)," "))))+1 - LEN(SUBSTITUTE(CLEAN(SUBSTITUTE(ProjTextTable[[#This Row],[text]],CHAR(10)," "))," ",""))</f>
        <v>1122</v>
      </c>
      <c r="O308" t="s">
        <v>13</v>
      </c>
      <c r="P308" t="s">
        <v>1903</v>
      </c>
    </row>
    <row r="309" spans="1:16" x14ac:dyDescent="0.4">
      <c r="A309">
        <f t="shared" si="4"/>
        <v>43</v>
      </c>
      <c r="B309" t="s">
        <v>1281</v>
      </c>
      <c r="C309" t="s">
        <v>1282</v>
      </c>
      <c r="D309" t="s">
        <v>198</v>
      </c>
      <c r="E309" t="s">
        <v>451</v>
      </c>
      <c r="F309" t="s">
        <v>1831</v>
      </c>
      <c r="G309" t="s">
        <v>1832</v>
      </c>
      <c r="H309" t="s">
        <v>1833</v>
      </c>
      <c r="I309" t="s">
        <v>95</v>
      </c>
      <c r="J309" t="s">
        <v>178</v>
      </c>
      <c r="K309" s="30">
        <v>42872</v>
      </c>
      <c r="L309" s="8">
        <v>42872.496678240743</v>
      </c>
      <c r="M309" s="21">
        <f>LEN(ProjTextTable[[#This Row],[text]])</f>
        <v>2700</v>
      </c>
      <c r="N309" s="21">
        <f>LEN(TRIM(CLEAN(SUBSTITUTE(ProjTextTable[[#This Row],[text]],CHAR(10)," "))))+1 - LEN(SUBSTITUTE(CLEAN(SUBSTITUTE(ProjTextTable[[#This Row],[text]],CHAR(10)," "))," ",""))</f>
        <v>424</v>
      </c>
      <c r="O309" t="s">
        <v>203</v>
      </c>
      <c r="P309" t="s">
        <v>1904</v>
      </c>
    </row>
    <row r="310" spans="1:16" x14ac:dyDescent="0.4">
      <c r="A310">
        <f t="shared" si="4"/>
        <v>43</v>
      </c>
      <c r="B310" t="s">
        <v>1281</v>
      </c>
      <c r="C310" t="s">
        <v>1282</v>
      </c>
      <c r="D310" t="s">
        <v>198</v>
      </c>
      <c r="E310" t="s">
        <v>451</v>
      </c>
      <c r="F310" t="s">
        <v>1847</v>
      </c>
      <c r="G310" t="s">
        <v>1848</v>
      </c>
      <c r="H310" t="s">
        <v>1849</v>
      </c>
      <c r="I310" t="s">
        <v>95</v>
      </c>
      <c r="J310" t="s">
        <v>178</v>
      </c>
      <c r="K310" s="30">
        <v>42872</v>
      </c>
      <c r="L310" s="8">
        <v>42868.926793981482</v>
      </c>
      <c r="M310" s="21">
        <f>LEN(ProjTextTable[[#This Row],[text]])</f>
        <v>4818</v>
      </c>
      <c r="N310" s="21">
        <f>LEN(TRIM(CLEAN(SUBSTITUTE(ProjTextTable[[#This Row],[text]],CHAR(10)," "))))+1 - LEN(SUBSTITUTE(CLEAN(SUBSTITUTE(ProjTextTable[[#This Row],[text]],CHAR(10)," "))," ",""))</f>
        <v>776</v>
      </c>
      <c r="O310" t="s">
        <v>206</v>
      </c>
      <c r="P310" t="s">
        <v>1905</v>
      </c>
    </row>
    <row r="311" spans="1:16" x14ac:dyDescent="0.4">
      <c r="A311">
        <f t="shared" si="4"/>
        <v>43</v>
      </c>
      <c r="B311" t="s">
        <v>1281</v>
      </c>
      <c r="C311" t="s">
        <v>1282</v>
      </c>
      <c r="D311" t="s">
        <v>198</v>
      </c>
      <c r="E311" t="s">
        <v>451</v>
      </c>
      <c r="F311" t="s">
        <v>1472</v>
      </c>
      <c r="G311" t="s">
        <v>1473</v>
      </c>
      <c r="H311" t="s">
        <v>1474</v>
      </c>
      <c r="I311" t="s">
        <v>95</v>
      </c>
      <c r="J311" t="s">
        <v>178</v>
      </c>
      <c r="K311" s="30">
        <v>42872</v>
      </c>
      <c r="L311" s="8">
        <v>42871.727083333331</v>
      </c>
      <c r="M311" s="21">
        <f>LEN(ProjTextTable[[#This Row],[text]])</f>
        <v>4336</v>
      </c>
      <c r="N311" s="21">
        <f>LEN(TRIM(CLEAN(SUBSTITUTE(ProjTextTable[[#This Row],[text]],CHAR(10)," "))))+1 - LEN(SUBSTITUTE(CLEAN(SUBSTITUTE(ProjTextTable[[#This Row],[text]],CHAR(10)," "))," ",""))</f>
        <v>637</v>
      </c>
      <c r="O311" t="s">
        <v>203</v>
      </c>
      <c r="P311" t="s">
        <v>1906</v>
      </c>
    </row>
    <row r="312" spans="1:16" x14ac:dyDescent="0.4">
      <c r="A312">
        <f t="shared" si="4"/>
        <v>43</v>
      </c>
      <c r="B312" t="s">
        <v>1281</v>
      </c>
      <c r="C312" t="s">
        <v>1282</v>
      </c>
      <c r="D312" t="s">
        <v>200</v>
      </c>
      <c r="E312" t="s">
        <v>406</v>
      </c>
      <c r="F312" t="s">
        <v>13</v>
      </c>
      <c r="G312" t="s">
        <v>13</v>
      </c>
      <c r="H312" t="s">
        <v>13</v>
      </c>
      <c r="K312" s="30"/>
      <c r="L312" s="8">
        <v>42810.042349537034</v>
      </c>
      <c r="M312" s="21">
        <f>LEN(ProjTextTable[[#This Row],[text]])</f>
        <v>4140</v>
      </c>
      <c r="N312" s="21">
        <f>LEN(TRIM(CLEAN(SUBSTITUTE(ProjTextTable[[#This Row],[text]],CHAR(10)," "))))+1 - LEN(SUBSTITUTE(CLEAN(SUBSTITUTE(ProjTextTable[[#This Row],[text]],CHAR(10)," "))," ",""))</f>
        <v>598</v>
      </c>
      <c r="O312" t="s">
        <v>13</v>
      </c>
      <c r="P312" t="s">
        <v>1907</v>
      </c>
    </row>
    <row r="313" spans="1:16" x14ac:dyDescent="0.4">
      <c r="A313">
        <f t="shared" si="4"/>
        <v>44</v>
      </c>
      <c r="B313" t="s">
        <v>1297</v>
      </c>
      <c r="C313" t="s">
        <v>1298</v>
      </c>
      <c r="D313" t="s">
        <v>209</v>
      </c>
      <c r="E313" t="s">
        <v>451</v>
      </c>
      <c r="F313" t="s">
        <v>1789</v>
      </c>
      <c r="G313" t="s">
        <v>1790</v>
      </c>
      <c r="H313" t="s">
        <v>1791</v>
      </c>
      <c r="I313" t="s">
        <v>197</v>
      </c>
      <c r="J313" t="s">
        <v>1618</v>
      </c>
      <c r="K313" s="30">
        <v>42871</v>
      </c>
      <c r="L313" s="8">
        <v>42916.815636574072</v>
      </c>
      <c r="M313" s="21">
        <f>LEN(ProjTextTable[[#This Row],[text]])</f>
        <v>3094</v>
      </c>
      <c r="N313" s="21">
        <f>LEN(TRIM(CLEAN(SUBSTITUTE(ProjTextTable[[#This Row],[text]],CHAR(10)," "))))+1 - LEN(SUBSTITUTE(CLEAN(SUBSTITUTE(ProjTextTable[[#This Row],[text]],CHAR(10)," "))," ",""))</f>
        <v>436</v>
      </c>
      <c r="O313" t="s">
        <v>1792</v>
      </c>
      <c r="P313" t="s">
        <v>1908</v>
      </c>
    </row>
    <row r="314" spans="1:16" x14ac:dyDescent="0.4">
      <c r="A314">
        <f t="shared" si="4"/>
        <v>44</v>
      </c>
      <c r="B314" t="s">
        <v>1297</v>
      </c>
      <c r="C314" t="s">
        <v>1298</v>
      </c>
      <c r="D314" t="s">
        <v>2</v>
      </c>
      <c r="E314" t="s">
        <v>406</v>
      </c>
      <c r="F314" t="s">
        <v>13</v>
      </c>
      <c r="G314" t="s">
        <v>1470</v>
      </c>
      <c r="H314" t="s">
        <v>13</v>
      </c>
      <c r="I314" t="s">
        <v>13</v>
      </c>
      <c r="K314" s="30"/>
      <c r="L314" s="8">
        <v>42914.639050925929</v>
      </c>
      <c r="M314" s="21">
        <f>LEN(ProjTextTable[[#This Row],[text]])</f>
        <v>1988</v>
      </c>
      <c r="N314" s="21">
        <f>LEN(TRIM(CLEAN(SUBSTITUTE(ProjTextTable[[#This Row],[text]],CHAR(10)," "))))+1 - LEN(SUBSTITUTE(CLEAN(SUBSTITUTE(ProjTextTable[[#This Row],[text]],CHAR(10)," "))," ",""))</f>
        <v>295</v>
      </c>
      <c r="O314" t="s">
        <v>13</v>
      </c>
      <c r="P314" t="s">
        <v>1909</v>
      </c>
    </row>
    <row r="315" spans="1:16" x14ac:dyDescent="0.4">
      <c r="A315">
        <f t="shared" si="4"/>
        <v>44</v>
      </c>
      <c r="B315" t="s">
        <v>1297</v>
      </c>
      <c r="C315" t="s">
        <v>1298</v>
      </c>
      <c r="D315" t="s">
        <v>198</v>
      </c>
      <c r="E315" t="s">
        <v>451</v>
      </c>
      <c r="F315" t="s">
        <v>1831</v>
      </c>
      <c r="G315" t="s">
        <v>1832</v>
      </c>
      <c r="H315" t="s">
        <v>1833</v>
      </c>
      <c r="I315" t="s">
        <v>95</v>
      </c>
      <c r="J315" t="s">
        <v>178</v>
      </c>
      <c r="K315" s="30">
        <v>42872</v>
      </c>
      <c r="L315" s="8">
        <v>42873.550636574073</v>
      </c>
      <c r="M315" s="21">
        <f>LEN(ProjTextTable[[#This Row],[text]])</f>
        <v>2216</v>
      </c>
      <c r="N315" s="21">
        <f>LEN(TRIM(CLEAN(SUBSTITUTE(ProjTextTable[[#This Row],[text]],CHAR(10)," "))))+1 - LEN(SUBSTITUTE(CLEAN(SUBSTITUTE(ProjTextTable[[#This Row],[text]],CHAR(10)," "))," ",""))</f>
        <v>362</v>
      </c>
      <c r="O315" t="s">
        <v>215</v>
      </c>
      <c r="P315" t="s">
        <v>1910</v>
      </c>
    </row>
    <row r="316" spans="1:16" x14ac:dyDescent="0.4">
      <c r="A316">
        <f t="shared" si="4"/>
        <v>44</v>
      </c>
      <c r="B316" t="s">
        <v>1297</v>
      </c>
      <c r="C316" t="s">
        <v>1298</v>
      </c>
      <c r="D316" t="s">
        <v>198</v>
      </c>
      <c r="E316" t="s">
        <v>451</v>
      </c>
      <c r="F316" t="s">
        <v>1795</v>
      </c>
      <c r="G316" t="s">
        <v>1796</v>
      </c>
      <c r="H316" t="s">
        <v>1797</v>
      </c>
      <c r="I316" t="s">
        <v>95</v>
      </c>
      <c r="J316" t="s">
        <v>178</v>
      </c>
      <c r="K316" s="30">
        <v>42872</v>
      </c>
      <c r="L316" s="8">
        <v>42868.606006944443</v>
      </c>
      <c r="M316" s="21">
        <f>LEN(ProjTextTable[[#This Row],[text]])</f>
        <v>2802</v>
      </c>
      <c r="N316" s="21">
        <f>LEN(TRIM(CLEAN(SUBSTITUTE(ProjTextTable[[#This Row],[text]],CHAR(10)," "))))+1 - LEN(SUBSTITUTE(CLEAN(SUBSTITUTE(ProjTextTable[[#This Row],[text]],CHAR(10)," "))," ",""))</f>
        <v>393</v>
      </c>
      <c r="O316" t="s">
        <v>203</v>
      </c>
      <c r="P316" t="s">
        <v>1911</v>
      </c>
    </row>
    <row r="317" spans="1:16" x14ac:dyDescent="0.4">
      <c r="A317">
        <f t="shared" si="4"/>
        <v>44</v>
      </c>
      <c r="B317" t="s">
        <v>1297</v>
      </c>
      <c r="C317" t="s">
        <v>1298</v>
      </c>
      <c r="D317" t="s">
        <v>198</v>
      </c>
      <c r="E317" t="s">
        <v>451</v>
      </c>
      <c r="F317" t="s">
        <v>1816</v>
      </c>
      <c r="G317" t="s">
        <v>1817</v>
      </c>
      <c r="H317" t="s">
        <v>1818</v>
      </c>
      <c r="I317" t="s">
        <v>95</v>
      </c>
      <c r="J317" t="s">
        <v>178</v>
      </c>
      <c r="K317" s="30">
        <v>42872</v>
      </c>
      <c r="L317" s="8">
        <v>42864.883159722223</v>
      </c>
      <c r="M317" s="21">
        <f>LEN(ProjTextTable[[#This Row],[text]])</f>
        <v>3319</v>
      </c>
      <c r="N317" s="21">
        <f>LEN(TRIM(CLEAN(SUBSTITUTE(ProjTextTable[[#This Row],[text]],CHAR(10)," "))))+1 - LEN(SUBSTITUTE(CLEAN(SUBSTITUTE(ProjTextTable[[#This Row],[text]],CHAR(10)," "))," ",""))</f>
        <v>496</v>
      </c>
      <c r="O317" t="s">
        <v>206</v>
      </c>
      <c r="P317" t="s">
        <v>1912</v>
      </c>
    </row>
    <row r="318" spans="1:16" x14ac:dyDescent="0.4">
      <c r="A318">
        <f t="shared" si="4"/>
        <v>44</v>
      </c>
      <c r="B318" t="s">
        <v>1297</v>
      </c>
      <c r="C318" t="s">
        <v>1298</v>
      </c>
      <c r="D318" t="s">
        <v>200</v>
      </c>
      <c r="E318" t="s">
        <v>406</v>
      </c>
      <c r="F318" t="s">
        <v>13</v>
      </c>
      <c r="G318" t="s">
        <v>13</v>
      </c>
      <c r="H318" t="s">
        <v>13</v>
      </c>
      <c r="K318" s="30"/>
      <c r="L318" s="8">
        <v>42810.042361111111</v>
      </c>
      <c r="M318" s="21">
        <f>LEN(ProjTextTable[[#This Row],[text]])</f>
        <v>3149</v>
      </c>
      <c r="N318" s="21">
        <f>LEN(TRIM(CLEAN(SUBSTITUTE(ProjTextTable[[#This Row],[text]],CHAR(10)," "))))+1 - LEN(SUBSTITUTE(CLEAN(SUBSTITUTE(ProjTextTable[[#This Row],[text]],CHAR(10)," "))," ",""))</f>
        <v>428</v>
      </c>
      <c r="O318" t="s">
        <v>13</v>
      </c>
      <c r="P318" t="s">
        <v>1913</v>
      </c>
    </row>
    <row r="319" spans="1:16" x14ac:dyDescent="0.4">
      <c r="A319">
        <f t="shared" si="4"/>
        <v>45</v>
      </c>
      <c r="B319" t="s">
        <v>1302</v>
      </c>
      <c r="C319" t="s">
        <v>1303</v>
      </c>
      <c r="D319" t="s">
        <v>209</v>
      </c>
      <c r="E319" t="s">
        <v>451</v>
      </c>
      <c r="F319" t="s">
        <v>1789</v>
      </c>
      <c r="G319" t="s">
        <v>1790</v>
      </c>
      <c r="H319" t="s">
        <v>1791</v>
      </c>
      <c r="I319" t="s">
        <v>197</v>
      </c>
      <c r="J319" t="s">
        <v>1618</v>
      </c>
      <c r="K319" s="30">
        <v>42871</v>
      </c>
      <c r="L319" s="8">
        <v>42916.815636574072</v>
      </c>
      <c r="M319" s="21">
        <f>LEN(ProjTextTable[[#This Row],[text]])</f>
        <v>3216</v>
      </c>
      <c r="N319" s="21">
        <f>LEN(TRIM(CLEAN(SUBSTITUTE(ProjTextTable[[#This Row],[text]],CHAR(10)," "))))+1 - LEN(SUBSTITUTE(CLEAN(SUBSTITUTE(ProjTextTable[[#This Row],[text]],CHAR(10)," "))," ",""))</f>
        <v>465</v>
      </c>
      <c r="O319" t="s">
        <v>1792</v>
      </c>
      <c r="P319" t="s">
        <v>1914</v>
      </c>
    </row>
    <row r="320" spans="1:16" x14ac:dyDescent="0.4">
      <c r="A320">
        <f t="shared" si="4"/>
        <v>45</v>
      </c>
      <c r="B320" t="s">
        <v>1302</v>
      </c>
      <c r="C320" t="s">
        <v>1303</v>
      </c>
      <c r="D320" t="s">
        <v>2</v>
      </c>
      <c r="E320" t="s">
        <v>451</v>
      </c>
      <c r="F320" t="s">
        <v>13</v>
      </c>
      <c r="G320" t="s">
        <v>1470</v>
      </c>
      <c r="H320" t="s">
        <v>13</v>
      </c>
      <c r="I320" t="s">
        <v>13</v>
      </c>
      <c r="K320" s="30"/>
      <c r="L320" s="8">
        <v>42951.506886574076</v>
      </c>
      <c r="M320" s="21">
        <f>LEN(ProjTextTable[[#This Row],[text]])</f>
        <v>4592</v>
      </c>
      <c r="N320" s="21">
        <f>LEN(TRIM(CLEAN(SUBSTITUTE(ProjTextTable[[#This Row],[text]],CHAR(10)," "))))+1 - LEN(SUBSTITUTE(CLEAN(SUBSTITUTE(ProjTextTable[[#This Row],[text]],CHAR(10)," "))," ",""))</f>
        <v>679</v>
      </c>
      <c r="O320" t="s">
        <v>13</v>
      </c>
      <c r="P320" t="s">
        <v>1794</v>
      </c>
    </row>
    <row r="321" spans="1:16" x14ac:dyDescent="0.4">
      <c r="A321">
        <f t="shared" si="4"/>
        <v>45</v>
      </c>
      <c r="B321" t="s">
        <v>1302</v>
      </c>
      <c r="C321" t="s">
        <v>1303</v>
      </c>
      <c r="D321" t="s">
        <v>198</v>
      </c>
      <c r="E321" t="s">
        <v>451</v>
      </c>
      <c r="F321" t="s">
        <v>1836</v>
      </c>
      <c r="G321" t="s">
        <v>1837</v>
      </c>
      <c r="H321" t="s">
        <v>1838</v>
      </c>
      <c r="I321" t="s">
        <v>95</v>
      </c>
      <c r="J321" t="s">
        <v>178</v>
      </c>
      <c r="K321" s="30">
        <v>42872</v>
      </c>
      <c r="L321" s="8">
        <v>42869.971365740741</v>
      </c>
      <c r="M321" s="21">
        <f>LEN(ProjTextTable[[#This Row],[text]])</f>
        <v>5433</v>
      </c>
      <c r="N321" s="21">
        <f>LEN(TRIM(CLEAN(SUBSTITUTE(ProjTextTable[[#This Row],[text]],CHAR(10)," "))))+1 - LEN(SUBSTITUTE(CLEAN(SUBSTITUTE(ProjTextTable[[#This Row],[text]],CHAR(10)," "))," ",""))</f>
        <v>858</v>
      </c>
      <c r="O321" t="s">
        <v>203</v>
      </c>
      <c r="P321" t="s">
        <v>1915</v>
      </c>
    </row>
    <row r="322" spans="1:16" x14ac:dyDescent="0.4">
      <c r="A322">
        <f t="shared" ref="A322:A385" si="5">A321+(B322&lt;&gt;B321)</f>
        <v>45</v>
      </c>
      <c r="B322" t="s">
        <v>1302</v>
      </c>
      <c r="C322" t="s">
        <v>1303</v>
      </c>
      <c r="D322" t="s">
        <v>198</v>
      </c>
      <c r="E322" t="s">
        <v>451</v>
      </c>
      <c r="F322" t="s">
        <v>1852</v>
      </c>
      <c r="G322" t="s">
        <v>1086</v>
      </c>
      <c r="H322" t="s">
        <v>1853</v>
      </c>
      <c r="I322" t="s">
        <v>95</v>
      </c>
      <c r="J322" t="s">
        <v>178</v>
      </c>
      <c r="K322" s="30">
        <v>42872</v>
      </c>
      <c r="L322" s="8">
        <v>42869.566631944443</v>
      </c>
      <c r="M322" s="21">
        <f>LEN(ProjTextTable[[#This Row],[text]])</f>
        <v>3508</v>
      </c>
      <c r="N322" s="21">
        <f>LEN(TRIM(CLEAN(SUBSTITUTE(ProjTextTable[[#This Row],[text]],CHAR(10)," "))))+1 - LEN(SUBSTITUTE(CLEAN(SUBSTITUTE(ProjTextTable[[#This Row],[text]],CHAR(10)," "))," ",""))</f>
        <v>537</v>
      </c>
      <c r="O322" t="s">
        <v>199</v>
      </c>
      <c r="P322" t="s">
        <v>1916</v>
      </c>
    </row>
    <row r="323" spans="1:16" x14ac:dyDescent="0.4">
      <c r="A323">
        <f t="shared" si="5"/>
        <v>45</v>
      </c>
      <c r="B323" t="s">
        <v>1302</v>
      </c>
      <c r="C323" t="s">
        <v>1303</v>
      </c>
      <c r="D323" t="s">
        <v>198</v>
      </c>
      <c r="E323" t="s">
        <v>451</v>
      </c>
      <c r="F323" t="s">
        <v>1802</v>
      </c>
      <c r="G323" t="s">
        <v>1803</v>
      </c>
      <c r="H323" t="s">
        <v>1804</v>
      </c>
      <c r="I323" t="s">
        <v>95</v>
      </c>
      <c r="J323" t="s">
        <v>178</v>
      </c>
      <c r="K323" s="30">
        <v>42872</v>
      </c>
      <c r="L323" s="8">
        <v>42872.505069444444</v>
      </c>
      <c r="M323" s="21">
        <f>LEN(ProjTextTable[[#This Row],[text]])</f>
        <v>6979</v>
      </c>
      <c r="N323" s="21">
        <f>LEN(TRIM(CLEAN(SUBSTITUTE(ProjTextTable[[#This Row],[text]],CHAR(10)," "))))+1 - LEN(SUBSTITUTE(CLEAN(SUBSTITUTE(ProjTextTable[[#This Row],[text]],CHAR(10)," "))," ",""))</f>
        <v>972</v>
      </c>
      <c r="O323" t="s">
        <v>206</v>
      </c>
      <c r="P323" t="s">
        <v>1917</v>
      </c>
    </row>
    <row r="324" spans="1:16" x14ac:dyDescent="0.4">
      <c r="A324">
        <f t="shared" si="5"/>
        <v>45</v>
      </c>
      <c r="B324" t="s">
        <v>1302</v>
      </c>
      <c r="C324" t="s">
        <v>1303</v>
      </c>
      <c r="D324" t="s">
        <v>200</v>
      </c>
      <c r="E324" t="s">
        <v>451</v>
      </c>
      <c r="F324" t="s">
        <v>13</v>
      </c>
      <c r="G324" t="s">
        <v>13</v>
      </c>
      <c r="H324" t="s">
        <v>13</v>
      </c>
      <c r="K324" s="30"/>
      <c r="L324" s="8">
        <v>42810.042361111111</v>
      </c>
      <c r="M324" s="21">
        <f>LEN(ProjTextTable[[#This Row],[text]])</f>
        <v>3717</v>
      </c>
      <c r="N324" s="21">
        <f>LEN(TRIM(CLEAN(SUBSTITUTE(ProjTextTable[[#This Row],[text]],CHAR(10)," "))))+1 - LEN(SUBSTITUTE(CLEAN(SUBSTITUTE(ProjTextTable[[#This Row],[text]],CHAR(10)," "))," ",""))</f>
        <v>538</v>
      </c>
      <c r="O324" t="s">
        <v>13</v>
      </c>
      <c r="P324" t="s">
        <v>1918</v>
      </c>
    </row>
    <row r="325" spans="1:16" x14ac:dyDescent="0.4">
      <c r="A325">
        <f t="shared" si="5"/>
        <v>46</v>
      </c>
      <c r="B325" t="s">
        <v>1307</v>
      </c>
      <c r="C325" t="s">
        <v>1308</v>
      </c>
      <c r="D325" t="s">
        <v>209</v>
      </c>
      <c r="E325" t="s">
        <v>451</v>
      </c>
      <c r="F325" t="s">
        <v>1789</v>
      </c>
      <c r="G325" t="s">
        <v>1790</v>
      </c>
      <c r="H325" t="s">
        <v>1841</v>
      </c>
      <c r="I325" t="s">
        <v>201</v>
      </c>
      <c r="J325" t="s">
        <v>777</v>
      </c>
      <c r="K325" s="30">
        <v>42871</v>
      </c>
      <c r="L325" s="8">
        <v>42922.825601851851</v>
      </c>
      <c r="M325" s="21">
        <f>LEN(ProjTextTable[[#This Row],[text]])</f>
        <v>4303</v>
      </c>
      <c r="N325" s="21">
        <f>LEN(TRIM(CLEAN(SUBSTITUTE(ProjTextTable[[#This Row],[text]],CHAR(10)," "))))+1 - LEN(SUBSTITUTE(CLEAN(SUBSTITUTE(ProjTextTable[[#This Row],[text]],CHAR(10)," "))," ",""))</f>
        <v>622</v>
      </c>
      <c r="O325" t="s">
        <v>178</v>
      </c>
      <c r="P325" t="s">
        <v>1919</v>
      </c>
    </row>
    <row r="326" spans="1:16" x14ac:dyDescent="0.4">
      <c r="A326">
        <f t="shared" si="5"/>
        <v>46</v>
      </c>
      <c r="B326" t="s">
        <v>1307</v>
      </c>
      <c r="C326" t="s">
        <v>1308</v>
      </c>
      <c r="D326" t="s">
        <v>2</v>
      </c>
      <c r="E326" t="s">
        <v>451</v>
      </c>
      <c r="F326" t="s">
        <v>13</v>
      </c>
      <c r="G326" t="s">
        <v>1470</v>
      </c>
      <c r="H326" t="s">
        <v>13</v>
      </c>
      <c r="I326" t="s">
        <v>13</v>
      </c>
      <c r="K326" s="30"/>
      <c r="L326" s="8">
        <v>42957.618854166663</v>
      </c>
      <c r="M326" s="21">
        <f>LEN(ProjTextTable[[#This Row],[text]])</f>
        <v>5366</v>
      </c>
      <c r="N326" s="21">
        <f>LEN(TRIM(CLEAN(SUBSTITUTE(ProjTextTable[[#This Row],[text]],CHAR(10)," "))))+1 - LEN(SUBSTITUTE(CLEAN(SUBSTITUTE(ProjTextTable[[#This Row],[text]],CHAR(10)," "))," ",""))</f>
        <v>794</v>
      </c>
      <c r="O326" t="s">
        <v>13</v>
      </c>
      <c r="P326" t="s">
        <v>1920</v>
      </c>
    </row>
    <row r="327" spans="1:16" x14ac:dyDescent="0.4">
      <c r="A327">
        <f t="shared" si="5"/>
        <v>46</v>
      </c>
      <c r="B327" t="s">
        <v>1307</v>
      </c>
      <c r="C327" t="s">
        <v>1308</v>
      </c>
      <c r="D327" t="s">
        <v>198</v>
      </c>
      <c r="E327" t="s">
        <v>451</v>
      </c>
      <c r="F327" t="s">
        <v>1831</v>
      </c>
      <c r="G327" t="s">
        <v>1832</v>
      </c>
      <c r="H327" t="s">
        <v>1833</v>
      </c>
      <c r="I327" t="s">
        <v>95</v>
      </c>
      <c r="J327" t="s">
        <v>178</v>
      </c>
      <c r="K327" s="30">
        <v>42872</v>
      </c>
      <c r="L327" s="8">
        <v>42873.517569444448</v>
      </c>
      <c r="M327" s="21">
        <f>LEN(ProjTextTable[[#This Row],[text]])</f>
        <v>2120</v>
      </c>
      <c r="N327" s="21">
        <f>LEN(TRIM(CLEAN(SUBSTITUTE(ProjTextTable[[#This Row],[text]],CHAR(10)," "))))+1 - LEN(SUBSTITUTE(CLEAN(SUBSTITUTE(ProjTextTable[[#This Row],[text]],CHAR(10)," "))," ",""))</f>
        <v>324</v>
      </c>
      <c r="O327" t="s">
        <v>205</v>
      </c>
      <c r="P327" t="s">
        <v>1921</v>
      </c>
    </row>
    <row r="328" spans="1:16" x14ac:dyDescent="0.4">
      <c r="A328">
        <f t="shared" si="5"/>
        <v>46</v>
      </c>
      <c r="B328" t="s">
        <v>1307</v>
      </c>
      <c r="C328" t="s">
        <v>1308</v>
      </c>
      <c r="D328" t="s">
        <v>198</v>
      </c>
      <c r="E328" t="s">
        <v>451</v>
      </c>
      <c r="F328" t="s">
        <v>1847</v>
      </c>
      <c r="G328" t="s">
        <v>1848</v>
      </c>
      <c r="H328" t="s">
        <v>1849</v>
      </c>
      <c r="I328" t="s">
        <v>95</v>
      </c>
      <c r="J328" t="s">
        <v>178</v>
      </c>
      <c r="K328" s="30">
        <v>42872</v>
      </c>
      <c r="L328" s="8">
        <v>42872.534687500003</v>
      </c>
      <c r="M328" s="21">
        <f>LEN(ProjTextTable[[#This Row],[text]])</f>
        <v>3850</v>
      </c>
      <c r="N328" s="21">
        <f>LEN(TRIM(CLEAN(SUBSTITUTE(ProjTextTable[[#This Row],[text]],CHAR(10)," "))))+1 - LEN(SUBSTITUTE(CLEAN(SUBSTITUTE(ProjTextTable[[#This Row],[text]],CHAR(10)," "))," ",""))</f>
        <v>615</v>
      </c>
      <c r="O328" t="s">
        <v>206</v>
      </c>
      <c r="P328" t="s">
        <v>1922</v>
      </c>
    </row>
    <row r="329" spans="1:16" x14ac:dyDescent="0.4">
      <c r="A329">
        <f t="shared" si="5"/>
        <v>46</v>
      </c>
      <c r="B329" t="s">
        <v>1307</v>
      </c>
      <c r="C329" t="s">
        <v>1308</v>
      </c>
      <c r="D329" t="s">
        <v>198</v>
      </c>
      <c r="E329" t="s">
        <v>451</v>
      </c>
      <c r="F329" t="s">
        <v>1802</v>
      </c>
      <c r="G329" t="s">
        <v>1803</v>
      </c>
      <c r="H329" t="s">
        <v>1804</v>
      </c>
      <c r="I329" t="s">
        <v>95</v>
      </c>
      <c r="J329" t="s">
        <v>178</v>
      </c>
      <c r="K329" s="30">
        <v>42872</v>
      </c>
      <c r="L329" s="8">
        <v>42872.515497685185</v>
      </c>
      <c r="M329" s="21">
        <f>LEN(ProjTextTable[[#This Row],[text]])</f>
        <v>6914</v>
      </c>
      <c r="N329" s="21">
        <f>LEN(TRIM(CLEAN(SUBSTITUTE(ProjTextTable[[#This Row],[text]],CHAR(10)," "))))+1 - LEN(SUBSTITUTE(CLEAN(SUBSTITUTE(ProjTextTable[[#This Row],[text]],CHAR(10)," "))," ",""))</f>
        <v>936</v>
      </c>
      <c r="O329" t="s">
        <v>202</v>
      </c>
      <c r="P329" t="s">
        <v>1923</v>
      </c>
    </row>
    <row r="330" spans="1:16" x14ac:dyDescent="0.4">
      <c r="A330">
        <f t="shared" si="5"/>
        <v>46</v>
      </c>
      <c r="B330" t="s">
        <v>1307</v>
      </c>
      <c r="C330" t="s">
        <v>1308</v>
      </c>
      <c r="D330" t="s">
        <v>200</v>
      </c>
      <c r="E330" t="s">
        <v>451</v>
      </c>
      <c r="F330" t="s">
        <v>13</v>
      </c>
      <c r="G330" t="s">
        <v>13</v>
      </c>
      <c r="H330" t="s">
        <v>13</v>
      </c>
      <c r="K330" s="30"/>
      <c r="L330" s="8">
        <v>42810.042361111111</v>
      </c>
      <c r="M330" s="21">
        <f>LEN(ProjTextTable[[#This Row],[text]])</f>
        <v>2854</v>
      </c>
      <c r="N330" s="21">
        <f>LEN(TRIM(CLEAN(SUBSTITUTE(ProjTextTable[[#This Row],[text]],CHAR(10)," "))))+1 - LEN(SUBSTITUTE(CLEAN(SUBSTITUTE(ProjTextTable[[#This Row],[text]],CHAR(10)," "))," ",""))</f>
        <v>406</v>
      </c>
      <c r="O330" t="s">
        <v>13</v>
      </c>
      <c r="P330" t="s">
        <v>1924</v>
      </c>
    </row>
    <row r="331" spans="1:16" x14ac:dyDescent="0.4">
      <c r="A331">
        <f t="shared" si="5"/>
        <v>47</v>
      </c>
      <c r="B331" t="s">
        <v>1313</v>
      </c>
      <c r="C331" t="s">
        <v>1314</v>
      </c>
      <c r="D331" t="s">
        <v>209</v>
      </c>
      <c r="E331" t="s">
        <v>451</v>
      </c>
      <c r="F331" t="s">
        <v>1789</v>
      </c>
      <c r="G331" t="s">
        <v>1790</v>
      </c>
      <c r="H331" t="s">
        <v>1841</v>
      </c>
      <c r="I331" t="s">
        <v>201</v>
      </c>
      <c r="J331" t="s">
        <v>269</v>
      </c>
      <c r="K331" s="30">
        <v>42871</v>
      </c>
      <c r="L331" s="8">
        <v>42922.825601851851</v>
      </c>
      <c r="M331" s="21">
        <f>LEN(ProjTextTable[[#This Row],[text]])</f>
        <v>4249</v>
      </c>
      <c r="N331" s="21">
        <f>LEN(TRIM(CLEAN(SUBSTITUTE(ProjTextTable[[#This Row],[text]],CHAR(10)," "))))+1 - LEN(SUBSTITUTE(CLEAN(SUBSTITUTE(ProjTextTable[[#This Row],[text]],CHAR(10)," "))," ",""))</f>
        <v>642</v>
      </c>
      <c r="O331" t="s">
        <v>178</v>
      </c>
      <c r="P331" t="s">
        <v>1925</v>
      </c>
    </row>
    <row r="332" spans="1:16" x14ac:dyDescent="0.4">
      <c r="A332">
        <f t="shared" si="5"/>
        <v>47</v>
      </c>
      <c r="B332" t="s">
        <v>1313</v>
      </c>
      <c r="C332" t="s">
        <v>1314</v>
      </c>
      <c r="D332" t="s">
        <v>2</v>
      </c>
      <c r="E332" t="s">
        <v>406</v>
      </c>
      <c r="F332" t="s">
        <v>13</v>
      </c>
      <c r="G332" t="s">
        <v>1470</v>
      </c>
      <c r="H332" t="s">
        <v>13</v>
      </c>
      <c r="I332" t="s">
        <v>13</v>
      </c>
      <c r="K332" s="30"/>
      <c r="L332" s="8">
        <v>42920.123148148145</v>
      </c>
      <c r="M332" s="21">
        <f>LEN(ProjTextTable[[#This Row],[text]])</f>
        <v>3128</v>
      </c>
      <c r="N332" s="21">
        <f>LEN(TRIM(CLEAN(SUBSTITUTE(ProjTextTable[[#This Row],[text]],CHAR(10)," "))))+1 - LEN(SUBSTITUTE(CLEAN(SUBSTITUTE(ProjTextTable[[#This Row],[text]],CHAR(10)," "))," ",""))</f>
        <v>446</v>
      </c>
      <c r="O332" t="s">
        <v>13</v>
      </c>
      <c r="P332" t="s">
        <v>1926</v>
      </c>
    </row>
    <row r="333" spans="1:16" x14ac:dyDescent="0.4">
      <c r="A333">
        <f t="shared" si="5"/>
        <v>47</v>
      </c>
      <c r="B333" t="s">
        <v>1313</v>
      </c>
      <c r="C333" t="s">
        <v>1314</v>
      </c>
      <c r="D333" t="s">
        <v>198</v>
      </c>
      <c r="E333" t="s">
        <v>451</v>
      </c>
      <c r="F333" t="s">
        <v>1433</v>
      </c>
      <c r="G333" t="s">
        <v>1434</v>
      </c>
      <c r="H333" t="s">
        <v>1435</v>
      </c>
      <c r="I333" t="s">
        <v>95</v>
      </c>
      <c r="J333" t="s">
        <v>178</v>
      </c>
      <c r="K333" s="30">
        <v>42872</v>
      </c>
      <c r="L333" s="8">
        <v>42872.396249999998</v>
      </c>
      <c r="M333" s="21">
        <f>LEN(ProjTextTable[[#This Row],[text]])</f>
        <v>4989</v>
      </c>
      <c r="N333" s="21">
        <f>LEN(TRIM(CLEAN(SUBSTITUTE(ProjTextTable[[#This Row],[text]],CHAR(10)," "))))+1 - LEN(SUBSTITUTE(CLEAN(SUBSTITUTE(ProjTextTable[[#This Row],[text]],CHAR(10)," "))," ",""))</f>
        <v>794</v>
      </c>
      <c r="O333" t="s">
        <v>206</v>
      </c>
      <c r="P333" t="s">
        <v>1927</v>
      </c>
    </row>
    <row r="334" spans="1:16" x14ac:dyDescent="0.4">
      <c r="A334">
        <f t="shared" si="5"/>
        <v>47</v>
      </c>
      <c r="B334" t="s">
        <v>1313</v>
      </c>
      <c r="C334" t="s">
        <v>1314</v>
      </c>
      <c r="D334" t="s">
        <v>198</v>
      </c>
      <c r="E334" t="s">
        <v>451</v>
      </c>
      <c r="F334" t="s">
        <v>1570</v>
      </c>
      <c r="G334" t="s">
        <v>1571</v>
      </c>
      <c r="H334" t="s">
        <v>1572</v>
      </c>
      <c r="I334" t="s">
        <v>95</v>
      </c>
      <c r="J334" t="s">
        <v>178</v>
      </c>
      <c r="K334" s="30">
        <v>42872</v>
      </c>
      <c r="L334" s="8">
        <v>42870.849456018521</v>
      </c>
      <c r="M334" s="21">
        <f>LEN(ProjTextTable[[#This Row],[text]])</f>
        <v>3705</v>
      </c>
      <c r="N334" s="21">
        <f>LEN(TRIM(CLEAN(SUBSTITUTE(ProjTextTable[[#This Row],[text]],CHAR(10)," "))))+1 - LEN(SUBSTITUTE(CLEAN(SUBSTITUTE(ProjTextTable[[#This Row],[text]],CHAR(10)," "))," ",""))</f>
        <v>582</v>
      </c>
      <c r="O334" t="s">
        <v>202</v>
      </c>
      <c r="P334" t="s">
        <v>1928</v>
      </c>
    </row>
    <row r="335" spans="1:16" x14ac:dyDescent="0.4">
      <c r="A335">
        <f t="shared" si="5"/>
        <v>47</v>
      </c>
      <c r="B335" t="s">
        <v>1313</v>
      </c>
      <c r="C335" t="s">
        <v>1314</v>
      </c>
      <c r="D335" t="s">
        <v>198</v>
      </c>
      <c r="E335" t="s">
        <v>451</v>
      </c>
      <c r="F335" t="s">
        <v>1799</v>
      </c>
      <c r="G335" t="s">
        <v>595</v>
      </c>
      <c r="H335" t="s">
        <v>1800</v>
      </c>
      <c r="I335" t="s">
        <v>95</v>
      </c>
      <c r="J335" t="s">
        <v>178</v>
      </c>
      <c r="K335" s="30">
        <v>42872</v>
      </c>
      <c r="L335" s="8">
        <v>42868.739490740743</v>
      </c>
      <c r="M335" s="21">
        <f>LEN(ProjTextTable[[#This Row],[text]])</f>
        <v>3086</v>
      </c>
      <c r="N335" s="21">
        <f>LEN(TRIM(CLEAN(SUBSTITUTE(ProjTextTable[[#This Row],[text]],CHAR(10)," "))))+1 - LEN(SUBSTITUTE(CLEAN(SUBSTITUTE(ProjTextTable[[#This Row],[text]],CHAR(10)," "))," ",""))</f>
        <v>459</v>
      </c>
      <c r="O335" t="s">
        <v>203</v>
      </c>
      <c r="P335" t="s">
        <v>1929</v>
      </c>
    </row>
    <row r="336" spans="1:16" x14ac:dyDescent="0.4">
      <c r="A336">
        <f t="shared" si="5"/>
        <v>47</v>
      </c>
      <c r="B336" t="s">
        <v>1313</v>
      </c>
      <c r="C336" t="s">
        <v>1314</v>
      </c>
      <c r="D336" t="s">
        <v>200</v>
      </c>
      <c r="E336" t="s">
        <v>406</v>
      </c>
      <c r="F336" t="s">
        <v>13</v>
      </c>
      <c r="G336" t="s">
        <v>13</v>
      </c>
      <c r="H336" t="s">
        <v>13</v>
      </c>
      <c r="K336" s="30"/>
      <c r="L336" s="8">
        <v>42810.042372685188</v>
      </c>
      <c r="M336" s="21">
        <f>LEN(ProjTextTable[[#This Row],[text]])</f>
        <v>4481</v>
      </c>
      <c r="N336" s="21">
        <f>LEN(TRIM(CLEAN(SUBSTITUTE(ProjTextTable[[#This Row],[text]],CHAR(10)," "))))+1 - LEN(SUBSTITUTE(CLEAN(SUBSTITUTE(ProjTextTable[[#This Row],[text]],CHAR(10)," "))," ",""))</f>
        <v>647</v>
      </c>
      <c r="O336" t="s">
        <v>13</v>
      </c>
      <c r="P336" t="s">
        <v>1930</v>
      </c>
    </row>
    <row r="337" spans="1:16" x14ac:dyDescent="0.4">
      <c r="A337">
        <f t="shared" si="5"/>
        <v>48</v>
      </c>
      <c r="B337" t="s">
        <v>1320</v>
      </c>
      <c r="C337" t="s">
        <v>1321</v>
      </c>
      <c r="D337" t="s">
        <v>209</v>
      </c>
      <c r="E337" t="s">
        <v>451</v>
      </c>
      <c r="F337" t="s">
        <v>1789</v>
      </c>
      <c r="G337" t="s">
        <v>1790</v>
      </c>
      <c r="H337" t="s">
        <v>1791</v>
      </c>
      <c r="I337" t="s">
        <v>197</v>
      </c>
      <c r="J337" t="s">
        <v>1618</v>
      </c>
      <c r="K337" s="30">
        <v>42871</v>
      </c>
      <c r="L337" s="8">
        <v>42916.815636574072</v>
      </c>
      <c r="M337" s="21">
        <f>LEN(ProjTextTable[[#This Row],[text]])</f>
        <v>1966</v>
      </c>
      <c r="N337" s="21">
        <f>LEN(TRIM(CLEAN(SUBSTITUTE(ProjTextTable[[#This Row],[text]],CHAR(10)," "))))+1 - LEN(SUBSTITUTE(CLEAN(SUBSTITUTE(ProjTextTable[[#This Row],[text]],CHAR(10)," "))," ",""))</f>
        <v>286</v>
      </c>
      <c r="O337" t="s">
        <v>1792</v>
      </c>
      <c r="P337" t="s">
        <v>1931</v>
      </c>
    </row>
    <row r="338" spans="1:16" x14ac:dyDescent="0.4">
      <c r="A338">
        <f t="shared" si="5"/>
        <v>48</v>
      </c>
      <c r="B338" t="s">
        <v>1320</v>
      </c>
      <c r="C338" t="s">
        <v>1321</v>
      </c>
      <c r="D338" t="s">
        <v>2</v>
      </c>
      <c r="E338" t="s">
        <v>451</v>
      </c>
      <c r="F338" t="s">
        <v>13</v>
      </c>
      <c r="G338" t="s">
        <v>1470</v>
      </c>
      <c r="H338" t="s">
        <v>13</v>
      </c>
      <c r="I338" t="s">
        <v>13</v>
      </c>
      <c r="K338" s="30"/>
      <c r="L338" s="8">
        <v>42951.594155092593</v>
      </c>
      <c r="M338" s="21">
        <f>LEN(ProjTextTable[[#This Row],[text]])</f>
        <v>4592</v>
      </c>
      <c r="N338" s="21">
        <f>LEN(TRIM(CLEAN(SUBSTITUTE(ProjTextTable[[#This Row],[text]],CHAR(10)," "))))+1 - LEN(SUBSTITUTE(CLEAN(SUBSTITUTE(ProjTextTable[[#This Row],[text]],CHAR(10)," "))," ",""))</f>
        <v>679</v>
      </c>
      <c r="O338" t="s">
        <v>13</v>
      </c>
      <c r="P338" t="s">
        <v>1794</v>
      </c>
    </row>
    <row r="339" spans="1:16" x14ac:dyDescent="0.4">
      <c r="A339">
        <f t="shared" si="5"/>
        <v>48</v>
      </c>
      <c r="B339" t="s">
        <v>1320</v>
      </c>
      <c r="C339" t="s">
        <v>1321</v>
      </c>
      <c r="D339" t="s">
        <v>198</v>
      </c>
      <c r="E339" t="s">
        <v>451</v>
      </c>
      <c r="F339" t="s">
        <v>1433</v>
      </c>
      <c r="G339" t="s">
        <v>1434</v>
      </c>
      <c r="H339" t="s">
        <v>1435</v>
      </c>
      <c r="I339" t="s">
        <v>95</v>
      </c>
      <c r="J339" t="s">
        <v>178</v>
      </c>
      <c r="K339" s="30">
        <v>42872</v>
      </c>
      <c r="L339" s="8">
        <v>42872.453333333331</v>
      </c>
      <c r="M339" s="21">
        <f>LEN(ProjTextTable[[#This Row],[text]])</f>
        <v>4908</v>
      </c>
      <c r="N339" s="21">
        <f>LEN(TRIM(CLEAN(SUBSTITUTE(ProjTextTable[[#This Row],[text]],CHAR(10)," "))))+1 - LEN(SUBSTITUTE(CLEAN(SUBSTITUTE(ProjTextTable[[#This Row],[text]],CHAR(10)," "))," ",""))</f>
        <v>808</v>
      </c>
      <c r="O339" t="s">
        <v>203</v>
      </c>
      <c r="P339" t="s">
        <v>1932</v>
      </c>
    </row>
    <row r="340" spans="1:16" x14ac:dyDescent="0.4">
      <c r="A340">
        <f t="shared" si="5"/>
        <v>48</v>
      </c>
      <c r="B340" t="s">
        <v>1320</v>
      </c>
      <c r="C340" t="s">
        <v>1321</v>
      </c>
      <c r="D340" t="s">
        <v>198</v>
      </c>
      <c r="E340" t="s">
        <v>451</v>
      </c>
      <c r="F340" t="s">
        <v>1836</v>
      </c>
      <c r="G340" t="s">
        <v>1837</v>
      </c>
      <c r="H340" t="s">
        <v>1838</v>
      </c>
      <c r="I340" t="s">
        <v>95</v>
      </c>
      <c r="J340" t="s">
        <v>178</v>
      </c>
      <c r="K340" s="30">
        <v>42872</v>
      </c>
      <c r="L340" s="8">
        <v>42869.891319444447</v>
      </c>
      <c r="M340" s="21">
        <f>LEN(ProjTextTable[[#This Row],[text]])</f>
        <v>4113</v>
      </c>
      <c r="N340" s="21">
        <f>LEN(TRIM(CLEAN(SUBSTITUTE(ProjTextTable[[#This Row],[text]],CHAR(10)," "))))+1 - LEN(SUBSTITUTE(CLEAN(SUBSTITUTE(ProjTextTable[[#This Row],[text]],CHAR(10)," "))," ",""))</f>
        <v>632</v>
      </c>
      <c r="O340" t="s">
        <v>205</v>
      </c>
      <c r="P340" t="s">
        <v>1933</v>
      </c>
    </row>
    <row r="341" spans="1:16" x14ac:dyDescent="0.4">
      <c r="A341">
        <f t="shared" si="5"/>
        <v>48</v>
      </c>
      <c r="B341" t="s">
        <v>1320</v>
      </c>
      <c r="C341" t="s">
        <v>1321</v>
      </c>
      <c r="D341" t="s">
        <v>198</v>
      </c>
      <c r="E341" t="s">
        <v>451</v>
      </c>
      <c r="F341" t="s">
        <v>1570</v>
      </c>
      <c r="G341" t="s">
        <v>1571</v>
      </c>
      <c r="H341" t="s">
        <v>1572</v>
      </c>
      <c r="I341" t="s">
        <v>95</v>
      </c>
      <c r="J341" t="s">
        <v>178</v>
      </c>
      <c r="K341" s="30">
        <v>42872</v>
      </c>
      <c r="L341" s="8">
        <v>42870.662453703706</v>
      </c>
      <c r="M341" s="21">
        <f>LEN(ProjTextTable[[#This Row],[text]])</f>
        <v>2221</v>
      </c>
      <c r="N341" s="21">
        <f>LEN(TRIM(CLEAN(SUBSTITUTE(ProjTextTable[[#This Row],[text]],CHAR(10)," "))))+1 - LEN(SUBSTITUTE(CLEAN(SUBSTITUTE(ProjTextTable[[#This Row],[text]],CHAR(10)," "))," ",""))</f>
        <v>349</v>
      </c>
      <c r="O341" t="s">
        <v>205</v>
      </c>
      <c r="P341" t="s">
        <v>1934</v>
      </c>
    </row>
    <row r="342" spans="1:16" x14ac:dyDescent="0.4">
      <c r="A342">
        <f t="shared" si="5"/>
        <v>48</v>
      </c>
      <c r="B342" t="s">
        <v>1320</v>
      </c>
      <c r="C342" t="s">
        <v>1321</v>
      </c>
      <c r="D342" t="s">
        <v>200</v>
      </c>
      <c r="E342" t="s">
        <v>451</v>
      </c>
      <c r="F342" t="s">
        <v>13</v>
      </c>
      <c r="G342" t="s">
        <v>13</v>
      </c>
      <c r="H342" t="s">
        <v>13</v>
      </c>
      <c r="K342" s="30"/>
      <c r="L342" s="8">
        <v>42810.042372685188</v>
      </c>
      <c r="M342" s="21">
        <f>LEN(ProjTextTable[[#This Row],[text]])</f>
        <v>2932</v>
      </c>
      <c r="N342" s="21">
        <f>LEN(TRIM(CLEAN(SUBSTITUTE(ProjTextTable[[#This Row],[text]],CHAR(10)," "))))+1 - LEN(SUBSTITUTE(CLEAN(SUBSTITUTE(ProjTextTable[[#This Row],[text]],CHAR(10)," "))," ",""))</f>
        <v>452</v>
      </c>
      <c r="O342" t="s">
        <v>13</v>
      </c>
      <c r="P342" t="s">
        <v>1935</v>
      </c>
    </row>
    <row r="343" spans="1:16" x14ac:dyDescent="0.4">
      <c r="A343">
        <f t="shared" si="5"/>
        <v>49</v>
      </c>
      <c r="B343" t="s">
        <v>1326</v>
      </c>
      <c r="C343" t="s">
        <v>1327</v>
      </c>
      <c r="D343" t="s">
        <v>209</v>
      </c>
      <c r="E343" t="s">
        <v>451</v>
      </c>
      <c r="F343" t="s">
        <v>1789</v>
      </c>
      <c r="G343" t="s">
        <v>1790</v>
      </c>
      <c r="H343" t="s">
        <v>1807</v>
      </c>
      <c r="I343" t="s">
        <v>204</v>
      </c>
      <c r="J343" t="s">
        <v>714</v>
      </c>
      <c r="K343" s="30">
        <v>42871</v>
      </c>
      <c r="L343" s="8"/>
      <c r="M343" s="21">
        <f>LEN(ProjTextTable[[#This Row],[text]])</f>
        <v>1</v>
      </c>
      <c r="N343" s="21">
        <f>LEN(TRIM(CLEAN(SUBSTITUTE(ProjTextTable[[#This Row],[text]],CHAR(10)," "))))+1 - LEN(SUBSTITUTE(CLEAN(SUBSTITUTE(ProjTextTable[[#This Row],[text]],CHAR(10)," "))," ",""))</f>
        <v>1</v>
      </c>
      <c r="O343" t="s">
        <v>1808</v>
      </c>
      <c r="P343" t="s">
        <v>13</v>
      </c>
    </row>
    <row r="344" spans="1:16" x14ac:dyDescent="0.4">
      <c r="A344">
        <f t="shared" si="5"/>
        <v>49</v>
      </c>
      <c r="B344" t="s">
        <v>1326</v>
      </c>
      <c r="C344" t="s">
        <v>1327</v>
      </c>
      <c r="D344" t="s">
        <v>1467</v>
      </c>
      <c r="E344" t="s">
        <v>406</v>
      </c>
      <c r="F344" t="s">
        <v>1326</v>
      </c>
      <c r="G344" t="s">
        <v>1468</v>
      </c>
      <c r="H344" t="s">
        <v>13</v>
      </c>
      <c r="I344" t="s">
        <v>13</v>
      </c>
      <c r="J344" t="s">
        <v>777</v>
      </c>
      <c r="K344" s="30">
        <v>42955.729166666664</v>
      </c>
      <c r="L344" s="8">
        <v>44781.729166666664</v>
      </c>
      <c r="M344" s="21">
        <f>LEN(ProjTextTable[[#This Row],[text]])</f>
        <v>2107</v>
      </c>
      <c r="N344" s="21">
        <f>LEN(TRIM(CLEAN(SUBSTITUTE(ProjTextTable[[#This Row],[text]],CHAR(10)," "))))+1 - LEN(SUBSTITUTE(CLEAN(SUBSTITUTE(ProjTextTable[[#This Row],[text]],CHAR(10)," "))," ",""))</f>
        <v>332</v>
      </c>
      <c r="O344" t="s">
        <v>13</v>
      </c>
      <c r="P344" t="s">
        <v>1809</v>
      </c>
    </row>
    <row r="345" spans="1:16" x14ac:dyDescent="0.4">
      <c r="A345">
        <f t="shared" si="5"/>
        <v>49</v>
      </c>
      <c r="B345" t="s">
        <v>1326</v>
      </c>
      <c r="C345" t="s">
        <v>1327</v>
      </c>
      <c r="D345" t="s">
        <v>2</v>
      </c>
      <c r="E345" t="s">
        <v>406</v>
      </c>
      <c r="F345" t="s">
        <v>13</v>
      </c>
      <c r="G345" t="s">
        <v>1470</v>
      </c>
      <c r="H345" t="s">
        <v>13</v>
      </c>
      <c r="I345" t="s">
        <v>13</v>
      </c>
      <c r="K345" s="30"/>
      <c r="L345" s="8">
        <v>42914.640648148146</v>
      </c>
      <c r="M345" s="21">
        <f>LEN(ProjTextTable[[#This Row],[text]])</f>
        <v>2065</v>
      </c>
      <c r="N345" s="21">
        <f>LEN(TRIM(CLEAN(SUBSTITUTE(ProjTextTable[[#This Row],[text]],CHAR(10)," "))))+1 - LEN(SUBSTITUTE(CLEAN(SUBSTITUTE(ProjTextTable[[#This Row],[text]],CHAR(10)," "))," ",""))</f>
        <v>304</v>
      </c>
      <c r="O345" t="s">
        <v>13</v>
      </c>
      <c r="P345" t="s">
        <v>1936</v>
      </c>
    </row>
    <row r="346" spans="1:16" x14ac:dyDescent="0.4">
      <c r="A346">
        <f t="shared" si="5"/>
        <v>49</v>
      </c>
      <c r="B346" t="s">
        <v>1326</v>
      </c>
      <c r="C346" t="s">
        <v>1327</v>
      </c>
      <c r="D346" t="s">
        <v>198</v>
      </c>
      <c r="E346" t="s">
        <v>451</v>
      </c>
      <c r="F346" t="s">
        <v>1795</v>
      </c>
      <c r="G346" t="s">
        <v>1796</v>
      </c>
      <c r="H346" t="s">
        <v>1797</v>
      </c>
      <c r="I346" t="s">
        <v>95</v>
      </c>
      <c r="J346" t="s">
        <v>178</v>
      </c>
      <c r="K346" s="30">
        <v>42872</v>
      </c>
      <c r="L346" s="8">
        <v>42866.631793981483</v>
      </c>
      <c r="M346" s="21">
        <f>LEN(ProjTextTable[[#This Row],[text]])</f>
        <v>3749</v>
      </c>
      <c r="N346" s="21">
        <f>LEN(TRIM(CLEAN(SUBSTITUTE(ProjTextTable[[#This Row],[text]],CHAR(10)," "))))+1 - LEN(SUBSTITUTE(CLEAN(SUBSTITUTE(ProjTextTable[[#This Row],[text]],CHAR(10)," "))," ",""))</f>
        <v>571</v>
      </c>
      <c r="O346" t="s">
        <v>205</v>
      </c>
      <c r="P346" t="s">
        <v>1937</v>
      </c>
    </row>
    <row r="347" spans="1:16" x14ac:dyDescent="0.4">
      <c r="A347">
        <f t="shared" si="5"/>
        <v>49</v>
      </c>
      <c r="B347" t="s">
        <v>1326</v>
      </c>
      <c r="C347" t="s">
        <v>1327</v>
      </c>
      <c r="D347" t="s">
        <v>198</v>
      </c>
      <c r="E347" t="s">
        <v>451</v>
      </c>
      <c r="F347" t="s">
        <v>1836</v>
      </c>
      <c r="G347" t="s">
        <v>1837</v>
      </c>
      <c r="H347" t="s">
        <v>1838</v>
      </c>
      <c r="I347" t="s">
        <v>95</v>
      </c>
      <c r="J347" t="s">
        <v>178</v>
      </c>
      <c r="K347" s="30">
        <v>42872</v>
      </c>
      <c r="L347" s="8">
        <v>42872.490208333336</v>
      </c>
      <c r="M347" s="21">
        <f>LEN(ProjTextTable[[#This Row],[text]])</f>
        <v>4004</v>
      </c>
      <c r="N347" s="21">
        <f>LEN(TRIM(CLEAN(SUBSTITUTE(ProjTextTable[[#This Row],[text]],CHAR(10)," "))))+1 - LEN(SUBSTITUTE(CLEAN(SUBSTITUTE(ProjTextTable[[#This Row],[text]],CHAR(10)," "))," ",""))</f>
        <v>618</v>
      </c>
      <c r="O347" t="s">
        <v>205</v>
      </c>
      <c r="P347" t="s">
        <v>1938</v>
      </c>
    </row>
    <row r="348" spans="1:16" x14ac:dyDescent="0.4">
      <c r="A348">
        <f t="shared" si="5"/>
        <v>49</v>
      </c>
      <c r="B348" t="s">
        <v>1326</v>
      </c>
      <c r="C348" t="s">
        <v>1327</v>
      </c>
      <c r="D348" t="s">
        <v>198</v>
      </c>
      <c r="E348" t="s">
        <v>451</v>
      </c>
      <c r="F348" t="s">
        <v>1816</v>
      </c>
      <c r="G348" t="s">
        <v>1817</v>
      </c>
      <c r="H348" t="s">
        <v>1818</v>
      </c>
      <c r="I348" t="s">
        <v>95</v>
      </c>
      <c r="J348" t="s">
        <v>178</v>
      </c>
      <c r="K348" s="30">
        <v>42872</v>
      </c>
      <c r="L348" s="8">
        <v>42863.125150462962</v>
      </c>
      <c r="M348" s="21">
        <f>LEN(ProjTextTable[[#This Row],[text]])</f>
        <v>2522</v>
      </c>
      <c r="N348" s="21">
        <f>LEN(TRIM(CLEAN(SUBSTITUTE(ProjTextTable[[#This Row],[text]],CHAR(10)," "))))+1 - LEN(SUBSTITUTE(CLEAN(SUBSTITUTE(ProjTextTable[[#This Row],[text]],CHAR(10)," "))," ",""))</f>
        <v>385</v>
      </c>
      <c r="O348" t="s">
        <v>205</v>
      </c>
      <c r="P348" t="s">
        <v>1939</v>
      </c>
    </row>
    <row r="349" spans="1:16" x14ac:dyDescent="0.4">
      <c r="A349">
        <f t="shared" si="5"/>
        <v>49</v>
      </c>
      <c r="B349" t="s">
        <v>1326</v>
      </c>
      <c r="C349" t="s">
        <v>1327</v>
      </c>
      <c r="D349" t="s">
        <v>200</v>
      </c>
      <c r="E349" t="s">
        <v>406</v>
      </c>
      <c r="F349" t="s">
        <v>13</v>
      </c>
      <c r="G349" t="s">
        <v>13</v>
      </c>
      <c r="H349" t="s">
        <v>13</v>
      </c>
      <c r="K349" s="30"/>
      <c r="L349" s="8">
        <v>42810.042372685188</v>
      </c>
      <c r="M349" s="21">
        <f>LEN(ProjTextTable[[#This Row],[text]])</f>
        <v>3821</v>
      </c>
      <c r="N349" s="21">
        <f>LEN(TRIM(CLEAN(SUBSTITUTE(ProjTextTable[[#This Row],[text]],CHAR(10)," "))))+1 - LEN(SUBSTITUTE(CLEAN(SUBSTITUTE(ProjTextTable[[#This Row],[text]],CHAR(10)," "))," ",""))</f>
        <v>533</v>
      </c>
      <c r="O349" t="s">
        <v>13</v>
      </c>
      <c r="P349" t="s">
        <v>1940</v>
      </c>
    </row>
    <row r="350" spans="1:16" x14ac:dyDescent="0.4">
      <c r="A350">
        <f t="shared" si="5"/>
        <v>50</v>
      </c>
      <c r="B350" t="s">
        <v>1337</v>
      </c>
      <c r="C350" t="s">
        <v>1338</v>
      </c>
      <c r="D350" t="s">
        <v>209</v>
      </c>
      <c r="E350" t="s">
        <v>451</v>
      </c>
      <c r="F350" t="s">
        <v>1789</v>
      </c>
      <c r="G350" t="s">
        <v>1790</v>
      </c>
      <c r="H350" t="s">
        <v>1807</v>
      </c>
      <c r="I350" t="s">
        <v>204</v>
      </c>
      <c r="J350" t="s">
        <v>714</v>
      </c>
      <c r="K350" s="30">
        <v>42871</v>
      </c>
      <c r="L350" s="8"/>
      <c r="M350" s="21">
        <f>LEN(ProjTextTable[[#This Row],[text]])</f>
        <v>1</v>
      </c>
      <c r="N350" s="21">
        <f>LEN(TRIM(CLEAN(SUBSTITUTE(ProjTextTable[[#This Row],[text]],CHAR(10)," "))))+1 - LEN(SUBSTITUTE(CLEAN(SUBSTITUTE(ProjTextTable[[#This Row],[text]],CHAR(10)," "))," ",""))</f>
        <v>1</v>
      </c>
      <c r="O350" t="s">
        <v>1808</v>
      </c>
      <c r="P350" t="s">
        <v>13</v>
      </c>
    </row>
    <row r="351" spans="1:16" x14ac:dyDescent="0.4">
      <c r="A351">
        <f t="shared" si="5"/>
        <v>50</v>
      </c>
      <c r="B351" t="s">
        <v>1337</v>
      </c>
      <c r="C351" t="s">
        <v>1338</v>
      </c>
      <c r="D351" t="s">
        <v>1467</v>
      </c>
      <c r="E351" t="s">
        <v>406</v>
      </c>
      <c r="F351" t="s">
        <v>1337</v>
      </c>
      <c r="G351" t="s">
        <v>1468</v>
      </c>
      <c r="H351" t="s">
        <v>13</v>
      </c>
      <c r="I351" t="s">
        <v>13</v>
      </c>
      <c r="J351" t="s">
        <v>777</v>
      </c>
      <c r="K351" s="30">
        <v>42955.702777777777</v>
      </c>
      <c r="L351" s="8">
        <v>44781.702777777777</v>
      </c>
      <c r="M351" s="21">
        <f>LEN(ProjTextTable[[#This Row],[text]])</f>
        <v>2107</v>
      </c>
      <c r="N351" s="21">
        <f>LEN(TRIM(CLEAN(SUBSTITUTE(ProjTextTable[[#This Row],[text]],CHAR(10)," "))))+1 - LEN(SUBSTITUTE(CLEAN(SUBSTITUTE(ProjTextTable[[#This Row],[text]],CHAR(10)," "))," ",""))</f>
        <v>332</v>
      </c>
      <c r="O351" t="s">
        <v>13</v>
      </c>
      <c r="P351" t="s">
        <v>1809</v>
      </c>
    </row>
    <row r="352" spans="1:16" x14ac:dyDescent="0.4">
      <c r="A352">
        <f t="shared" si="5"/>
        <v>50</v>
      </c>
      <c r="B352" t="s">
        <v>1337</v>
      </c>
      <c r="C352" t="s">
        <v>1338</v>
      </c>
      <c r="D352" t="s">
        <v>2</v>
      </c>
      <c r="E352" t="s">
        <v>406</v>
      </c>
      <c r="F352" t="s">
        <v>13</v>
      </c>
      <c r="G352" t="s">
        <v>1470</v>
      </c>
      <c r="H352" t="s">
        <v>13</v>
      </c>
      <c r="I352" t="s">
        <v>13</v>
      </c>
      <c r="K352" s="30"/>
      <c r="L352" s="8">
        <v>42954.60597222222</v>
      </c>
      <c r="M352" s="21">
        <f>LEN(ProjTextTable[[#This Row],[text]])</f>
        <v>1949</v>
      </c>
      <c r="N352" s="21">
        <f>LEN(TRIM(CLEAN(SUBSTITUTE(ProjTextTable[[#This Row],[text]],CHAR(10)," "))))+1 - LEN(SUBSTITUTE(CLEAN(SUBSTITUTE(ProjTextTable[[#This Row],[text]],CHAR(10)," "))," ",""))</f>
        <v>287</v>
      </c>
      <c r="O352" t="s">
        <v>13</v>
      </c>
      <c r="P352" t="s">
        <v>1941</v>
      </c>
    </row>
    <row r="353" spans="1:16" x14ac:dyDescent="0.4">
      <c r="A353">
        <f t="shared" si="5"/>
        <v>50</v>
      </c>
      <c r="B353" t="s">
        <v>1337</v>
      </c>
      <c r="C353" t="s">
        <v>1338</v>
      </c>
      <c r="D353" t="s">
        <v>198</v>
      </c>
      <c r="E353" t="s">
        <v>451</v>
      </c>
      <c r="F353" t="s">
        <v>1795</v>
      </c>
      <c r="G353" t="s">
        <v>1796</v>
      </c>
      <c r="H353" t="s">
        <v>1797</v>
      </c>
      <c r="I353" t="s">
        <v>95</v>
      </c>
      <c r="J353" t="s">
        <v>178</v>
      </c>
      <c r="K353" s="30">
        <v>42872</v>
      </c>
      <c r="L353" s="8">
        <v>42866.635370370372</v>
      </c>
      <c r="M353" s="21">
        <f>LEN(ProjTextTable[[#This Row],[text]])</f>
        <v>2564</v>
      </c>
      <c r="N353" s="21">
        <f>LEN(TRIM(CLEAN(SUBSTITUTE(ProjTextTable[[#This Row],[text]],CHAR(10)," "))))+1 - LEN(SUBSTITUTE(CLEAN(SUBSTITUTE(ProjTextTable[[#This Row],[text]],CHAR(10)," "))," ",""))</f>
        <v>388</v>
      </c>
      <c r="O353" t="s">
        <v>199</v>
      </c>
      <c r="P353" t="s">
        <v>1942</v>
      </c>
    </row>
    <row r="354" spans="1:16" x14ac:dyDescent="0.4">
      <c r="A354">
        <f t="shared" si="5"/>
        <v>50</v>
      </c>
      <c r="B354" t="s">
        <v>1337</v>
      </c>
      <c r="C354" t="s">
        <v>1338</v>
      </c>
      <c r="D354" t="s">
        <v>198</v>
      </c>
      <c r="E354" t="s">
        <v>451</v>
      </c>
      <c r="F354" t="s">
        <v>1816</v>
      </c>
      <c r="G354" t="s">
        <v>1817</v>
      </c>
      <c r="H354" t="s">
        <v>1818</v>
      </c>
      <c r="I354" t="s">
        <v>95</v>
      </c>
      <c r="J354" t="s">
        <v>178</v>
      </c>
      <c r="K354" s="30">
        <v>42872</v>
      </c>
      <c r="L354" s="8">
        <v>42864.125509259262</v>
      </c>
      <c r="M354" s="21">
        <f>LEN(ProjTextTable[[#This Row],[text]])</f>
        <v>2727</v>
      </c>
      <c r="N354" s="21">
        <f>LEN(TRIM(CLEAN(SUBSTITUTE(ProjTextTable[[#This Row],[text]],CHAR(10)," "))))+1 - LEN(SUBSTITUTE(CLEAN(SUBSTITUTE(ProjTextTable[[#This Row],[text]],CHAR(10)," "))," ",""))</f>
        <v>421</v>
      </c>
      <c r="O354" t="s">
        <v>221</v>
      </c>
      <c r="P354" t="s">
        <v>1943</v>
      </c>
    </row>
    <row r="355" spans="1:16" x14ac:dyDescent="0.4">
      <c r="A355">
        <f t="shared" si="5"/>
        <v>50</v>
      </c>
      <c r="B355" t="s">
        <v>1337</v>
      </c>
      <c r="C355" t="s">
        <v>1338</v>
      </c>
      <c r="D355" t="s">
        <v>198</v>
      </c>
      <c r="E355" t="s">
        <v>451</v>
      </c>
      <c r="F355" t="s">
        <v>1852</v>
      </c>
      <c r="G355" t="s">
        <v>1086</v>
      </c>
      <c r="H355" t="s">
        <v>1853</v>
      </c>
      <c r="I355" t="s">
        <v>95</v>
      </c>
      <c r="J355" t="s">
        <v>178</v>
      </c>
      <c r="K355" s="30">
        <v>42872</v>
      </c>
      <c r="L355" s="8">
        <v>42867.839629629627</v>
      </c>
      <c r="M355" s="21">
        <f>LEN(ProjTextTable[[#This Row],[text]])</f>
        <v>2759</v>
      </c>
      <c r="N355" s="21">
        <f>LEN(TRIM(CLEAN(SUBSTITUTE(ProjTextTable[[#This Row],[text]],CHAR(10)," "))))+1 - LEN(SUBSTITUTE(CLEAN(SUBSTITUTE(ProjTextTable[[#This Row],[text]],CHAR(10)," "))," ",""))</f>
        <v>422</v>
      </c>
      <c r="O355" t="s">
        <v>221</v>
      </c>
      <c r="P355" t="s">
        <v>1944</v>
      </c>
    </row>
    <row r="356" spans="1:16" x14ac:dyDescent="0.4">
      <c r="A356">
        <f t="shared" si="5"/>
        <v>50</v>
      </c>
      <c r="B356" t="s">
        <v>1337</v>
      </c>
      <c r="C356" t="s">
        <v>1338</v>
      </c>
      <c r="D356" t="s">
        <v>200</v>
      </c>
      <c r="E356" t="s">
        <v>406</v>
      </c>
      <c r="F356" t="s">
        <v>13</v>
      </c>
      <c r="G356" t="s">
        <v>13</v>
      </c>
      <c r="H356" t="s">
        <v>13</v>
      </c>
      <c r="K356" s="30"/>
      <c r="L356" s="8">
        <v>42810.042384259257</v>
      </c>
      <c r="M356" s="21">
        <f>LEN(ProjTextTable[[#This Row],[text]])</f>
        <v>4031</v>
      </c>
      <c r="N356" s="21">
        <f>LEN(TRIM(CLEAN(SUBSTITUTE(ProjTextTable[[#This Row],[text]],CHAR(10)," "))))+1 - LEN(SUBSTITUTE(CLEAN(SUBSTITUTE(ProjTextTable[[#This Row],[text]],CHAR(10)," "))," ",""))</f>
        <v>586</v>
      </c>
      <c r="O356" t="s">
        <v>13</v>
      </c>
      <c r="P356" t="s">
        <v>1945</v>
      </c>
    </row>
    <row r="357" spans="1:16" x14ac:dyDescent="0.4">
      <c r="A357">
        <f t="shared" si="5"/>
        <v>51</v>
      </c>
      <c r="B357" t="s">
        <v>1343</v>
      </c>
      <c r="C357" t="s">
        <v>1344</v>
      </c>
      <c r="D357" t="s">
        <v>209</v>
      </c>
      <c r="E357" t="s">
        <v>451</v>
      </c>
      <c r="F357" t="s">
        <v>1789</v>
      </c>
      <c r="G357" t="s">
        <v>1790</v>
      </c>
      <c r="H357" t="s">
        <v>1946</v>
      </c>
      <c r="I357" t="s">
        <v>95</v>
      </c>
      <c r="J357" t="s">
        <v>95</v>
      </c>
      <c r="K357" s="30">
        <v>42871</v>
      </c>
      <c r="L357" s="8">
        <v>42927.537442129629</v>
      </c>
      <c r="M357" s="21">
        <f>LEN(ProjTextTable[[#This Row],[text]])</f>
        <v>2898</v>
      </c>
      <c r="N357" s="21">
        <f>LEN(TRIM(CLEAN(SUBSTITUTE(ProjTextTable[[#This Row],[text]],CHAR(10)," "))))+1 - LEN(SUBSTITUTE(CLEAN(SUBSTITUTE(ProjTextTable[[#This Row],[text]],CHAR(10)," "))," ",""))</f>
        <v>406</v>
      </c>
      <c r="O357" t="s">
        <v>1947</v>
      </c>
      <c r="P357" t="s">
        <v>1948</v>
      </c>
    </row>
    <row r="358" spans="1:16" x14ac:dyDescent="0.4">
      <c r="A358">
        <f t="shared" si="5"/>
        <v>51</v>
      </c>
      <c r="B358" t="s">
        <v>1343</v>
      </c>
      <c r="C358" t="s">
        <v>1344</v>
      </c>
      <c r="D358" t="s">
        <v>908</v>
      </c>
      <c r="E358" t="s">
        <v>451</v>
      </c>
      <c r="F358" t="s">
        <v>13</v>
      </c>
      <c r="G358" t="s">
        <v>1949</v>
      </c>
      <c r="H358" t="s">
        <v>13</v>
      </c>
      <c r="I358" t="s">
        <v>13</v>
      </c>
      <c r="K358" s="30"/>
      <c r="L358" s="8">
        <v>42932.807893518519</v>
      </c>
      <c r="M358" s="21">
        <f>LEN(ProjTextTable[[#This Row],[text]])</f>
        <v>4010</v>
      </c>
      <c r="N358" s="21">
        <f>LEN(TRIM(CLEAN(SUBSTITUTE(ProjTextTable[[#This Row],[text]],CHAR(10)," "))))+1 - LEN(SUBSTITUTE(CLEAN(SUBSTITUTE(ProjTextTable[[#This Row],[text]],CHAR(10)," "))," ",""))</f>
        <v>549</v>
      </c>
      <c r="O358" t="s">
        <v>13</v>
      </c>
      <c r="P358" t="s">
        <v>1950</v>
      </c>
    </row>
    <row r="359" spans="1:16" x14ac:dyDescent="0.4">
      <c r="A359">
        <f t="shared" si="5"/>
        <v>51</v>
      </c>
      <c r="B359" t="s">
        <v>1343</v>
      </c>
      <c r="C359" t="s">
        <v>1344</v>
      </c>
      <c r="D359" t="s">
        <v>1467</v>
      </c>
      <c r="E359" t="s">
        <v>451</v>
      </c>
      <c r="F359" t="s">
        <v>1343</v>
      </c>
      <c r="G359" t="s">
        <v>1497</v>
      </c>
      <c r="H359" t="s">
        <v>13</v>
      </c>
      <c r="I359" t="s">
        <v>13</v>
      </c>
      <c r="J359" t="s">
        <v>1844</v>
      </c>
      <c r="K359" s="30">
        <v>42928.340277777781</v>
      </c>
      <c r="L359" s="8">
        <v>44754.340277777781</v>
      </c>
      <c r="M359" s="21">
        <f>LEN(ProjTextTable[[#This Row],[text]])</f>
        <v>5664</v>
      </c>
      <c r="N359" s="21">
        <f>LEN(TRIM(CLEAN(SUBSTITUTE(ProjTextTable[[#This Row],[text]],CHAR(10)," "))))+1 - LEN(SUBSTITUTE(CLEAN(SUBSTITUTE(ProjTextTable[[#This Row],[text]],CHAR(10)," "))," ",""))</f>
        <v>837</v>
      </c>
      <c r="O359" t="s">
        <v>13</v>
      </c>
      <c r="P359" t="s">
        <v>1951</v>
      </c>
    </row>
    <row r="360" spans="1:16" x14ac:dyDescent="0.4">
      <c r="A360">
        <f t="shared" si="5"/>
        <v>51</v>
      </c>
      <c r="B360" t="s">
        <v>1343</v>
      </c>
      <c r="C360" t="s">
        <v>1344</v>
      </c>
      <c r="D360" t="s">
        <v>2</v>
      </c>
      <c r="E360" t="s">
        <v>451</v>
      </c>
      <c r="F360" t="s">
        <v>13</v>
      </c>
      <c r="G360" t="s">
        <v>1470</v>
      </c>
      <c r="H360" t="s">
        <v>13</v>
      </c>
      <c r="I360" t="s">
        <v>13</v>
      </c>
      <c r="K360" s="30"/>
      <c r="L360" s="8">
        <v>42929.446134259262</v>
      </c>
      <c r="M360" s="21">
        <f>LEN(ProjTextTable[[#This Row],[text]])</f>
        <v>8723</v>
      </c>
      <c r="N360" s="21">
        <f>LEN(TRIM(CLEAN(SUBSTITUTE(ProjTextTable[[#This Row],[text]],CHAR(10)," "))))+1 - LEN(SUBSTITUTE(CLEAN(SUBSTITUTE(ProjTextTable[[#This Row],[text]],CHAR(10)," "))," ",""))</f>
        <v>1270</v>
      </c>
      <c r="O360" t="s">
        <v>13</v>
      </c>
      <c r="P360" t="s">
        <v>1952</v>
      </c>
    </row>
    <row r="361" spans="1:16" x14ac:dyDescent="0.4">
      <c r="A361">
        <f t="shared" si="5"/>
        <v>51</v>
      </c>
      <c r="B361" t="s">
        <v>1343</v>
      </c>
      <c r="C361" t="s">
        <v>1344</v>
      </c>
      <c r="D361" t="s">
        <v>198</v>
      </c>
      <c r="E361" t="s">
        <v>451</v>
      </c>
      <c r="F361" t="s">
        <v>1831</v>
      </c>
      <c r="G361" t="s">
        <v>1832</v>
      </c>
      <c r="H361" t="s">
        <v>1833</v>
      </c>
      <c r="I361" t="s">
        <v>95</v>
      </c>
      <c r="J361" t="s">
        <v>178</v>
      </c>
      <c r="K361" s="30">
        <v>42872</v>
      </c>
      <c r="L361" s="8">
        <v>42867.509976851848</v>
      </c>
      <c r="M361" s="21">
        <f>LEN(ProjTextTable[[#This Row],[text]])</f>
        <v>3283</v>
      </c>
      <c r="N361" s="21">
        <f>LEN(TRIM(CLEAN(SUBSTITUTE(ProjTextTable[[#This Row],[text]],CHAR(10)," "))))+1 - LEN(SUBSTITUTE(CLEAN(SUBSTITUTE(ProjTextTable[[#This Row],[text]],CHAR(10)," "))," ",""))</f>
        <v>519</v>
      </c>
      <c r="O361" t="s">
        <v>267</v>
      </c>
      <c r="P361" t="s">
        <v>1953</v>
      </c>
    </row>
    <row r="362" spans="1:16" x14ac:dyDescent="0.4">
      <c r="A362">
        <f t="shared" si="5"/>
        <v>51</v>
      </c>
      <c r="B362" t="s">
        <v>1343</v>
      </c>
      <c r="C362" t="s">
        <v>1344</v>
      </c>
      <c r="D362" t="s">
        <v>198</v>
      </c>
      <c r="E362" t="s">
        <v>451</v>
      </c>
      <c r="F362" t="s">
        <v>1795</v>
      </c>
      <c r="G362" t="s">
        <v>1796</v>
      </c>
      <c r="H362" t="s">
        <v>1797</v>
      </c>
      <c r="I362" t="s">
        <v>95</v>
      </c>
      <c r="J362" t="s">
        <v>178</v>
      </c>
      <c r="K362" s="30">
        <v>42872</v>
      </c>
      <c r="L362" s="8">
        <v>42866.638831018521</v>
      </c>
      <c r="M362" s="21">
        <f>LEN(ProjTextTable[[#This Row],[text]])</f>
        <v>3071</v>
      </c>
      <c r="N362" s="21">
        <f>LEN(TRIM(CLEAN(SUBSTITUTE(ProjTextTable[[#This Row],[text]],CHAR(10)," "))))+1 - LEN(SUBSTITUTE(CLEAN(SUBSTITUTE(ProjTextTable[[#This Row],[text]],CHAR(10)," "))," ",""))</f>
        <v>449</v>
      </c>
      <c r="O362" t="s">
        <v>267</v>
      </c>
      <c r="P362" t="s">
        <v>1954</v>
      </c>
    </row>
    <row r="363" spans="1:16" x14ac:dyDescent="0.4">
      <c r="A363">
        <f t="shared" si="5"/>
        <v>51</v>
      </c>
      <c r="B363" t="s">
        <v>1343</v>
      </c>
      <c r="C363" t="s">
        <v>1344</v>
      </c>
      <c r="D363" t="s">
        <v>198</v>
      </c>
      <c r="E363" t="s">
        <v>451</v>
      </c>
      <c r="F363" t="s">
        <v>1570</v>
      </c>
      <c r="G363" t="s">
        <v>1571</v>
      </c>
      <c r="H363" t="s">
        <v>1572</v>
      </c>
      <c r="I363" t="s">
        <v>95</v>
      </c>
      <c r="J363" t="s">
        <v>178</v>
      </c>
      <c r="K363" s="30">
        <v>42872</v>
      </c>
      <c r="L363" s="8">
        <v>42870.641261574077</v>
      </c>
      <c r="M363" s="21">
        <f>LEN(ProjTextTable[[#This Row],[text]])</f>
        <v>3374</v>
      </c>
      <c r="N363" s="21">
        <f>LEN(TRIM(CLEAN(SUBSTITUTE(ProjTextTable[[#This Row],[text]],CHAR(10)," "))))+1 - LEN(SUBSTITUTE(CLEAN(SUBSTITUTE(ProjTextTable[[#This Row],[text]],CHAR(10)," "))," ",""))</f>
        <v>541</v>
      </c>
      <c r="O363" t="s">
        <v>202</v>
      </c>
      <c r="P363" t="s">
        <v>1955</v>
      </c>
    </row>
    <row r="364" spans="1:16" x14ac:dyDescent="0.4">
      <c r="A364">
        <f t="shared" si="5"/>
        <v>51</v>
      </c>
      <c r="B364" t="s">
        <v>1343</v>
      </c>
      <c r="C364" t="s">
        <v>1344</v>
      </c>
      <c r="D364" t="s">
        <v>200</v>
      </c>
      <c r="E364" t="s">
        <v>451</v>
      </c>
      <c r="F364" t="s">
        <v>13</v>
      </c>
      <c r="G364" t="s">
        <v>13</v>
      </c>
      <c r="H364" t="s">
        <v>13</v>
      </c>
      <c r="K364" s="30"/>
      <c r="L364" s="8">
        <v>42810.042384259257</v>
      </c>
      <c r="M364" s="21">
        <f>LEN(ProjTextTable[[#This Row],[text]])</f>
        <v>3424</v>
      </c>
      <c r="N364" s="21">
        <f>LEN(TRIM(CLEAN(SUBSTITUTE(ProjTextTable[[#This Row],[text]],CHAR(10)," "))))+1 - LEN(SUBSTITUTE(CLEAN(SUBSTITUTE(ProjTextTable[[#This Row],[text]],CHAR(10)," "))," ",""))</f>
        <v>482</v>
      </c>
      <c r="O364" t="s">
        <v>13</v>
      </c>
      <c r="P364" t="s">
        <v>1956</v>
      </c>
    </row>
    <row r="365" spans="1:16" x14ac:dyDescent="0.4">
      <c r="A365">
        <f t="shared" si="5"/>
        <v>51</v>
      </c>
      <c r="B365" t="s">
        <v>1343</v>
      </c>
      <c r="C365" t="s">
        <v>1344</v>
      </c>
      <c r="D365" t="s">
        <v>1515</v>
      </c>
      <c r="E365" t="s">
        <v>451</v>
      </c>
      <c r="F365" t="s">
        <v>1343</v>
      </c>
      <c r="G365" t="s">
        <v>1883</v>
      </c>
      <c r="H365" t="s">
        <v>1957</v>
      </c>
      <c r="K365" s="30"/>
      <c r="L365" s="8">
        <v>42927.689155092594</v>
      </c>
      <c r="M365" s="21">
        <f>LEN(ProjTextTable[[#This Row],[text]])</f>
        <v>2257</v>
      </c>
      <c r="N365" s="21">
        <f>LEN(TRIM(CLEAN(SUBSTITUTE(ProjTextTable[[#This Row],[text]],CHAR(10)," "))))+1 - LEN(SUBSTITUTE(CLEAN(SUBSTITUTE(ProjTextTable[[#This Row],[text]],CHAR(10)," "))," ",""))</f>
        <v>336</v>
      </c>
      <c r="O365" t="s">
        <v>13</v>
      </c>
      <c r="P365" t="s">
        <v>1958</v>
      </c>
    </row>
    <row r="366" spans="1:16" x14ac:dyDescent="0.4">
      <c r="A366">
        <f t="shared" si="5"/>
        <v>52</v>
      </c>
      <c r="B366" t="s">
        <v>1350</v>
      </c>
      <c r="C366" t="s">
        <v>1351</v>
      </c>
      <c r="D366" t="s">
        <v>209</v>
      </c>
      <c r="E366" t="s">
        <v>451</v>
      </c>
      <c r="F366" t="s">
        <v>1789</v>
      </c>
      <c r="G366" t="s">
        <v>1790</v>
      </c>
      <c r="H366" t="s">
        <v>1841</v>
      </c>
      <c r="I366" t="s">
        <v>201</v>
      </c>
      <c r="J366" t="s">
        <v>268</v>
      </c>
      <c r="K366" s="30">
        <v>42871</v>
      </c>
      <c r="L366" s="8">
        <v>42922.825613425928</v>
      </c>
      <c r="M366" s="21">
        <f>LEN(ProjTextTable[[#This Row],[text]])</f>
        <v>3739</v>
      </c>
      <c r="N366" s="21">
        <f>LEN(TRIM(CLEAN(SUBSTITUTE(ProjTextTable[[#This Row],[text]],CHAR(10)," "))))+1 - LEN(SUBSTITUTE(CLEAN(SUBSTITUTE(ProjTextTable[[#This Row],[text]],CHAR(10)," "))," ",""))</f>
        <v>562</v>
      </c>
      <c r="O366" t="s">
        <v>178</v>
      </c>
      <c r="P366" t="s">
        <v>1959</v>
      </c>
    </row>
    <row r="367" spans="1:16" x14ac:dyDescent="0.4">
      <c r="A367">
        <f t="shared" si="5"/>
        <v>52</v>
      </c>
      <c r="B367" t="s">
        <v>1350</v>
      </c>
      <c r="C367" t="s">
        <v>1351</v>
      </c>
      <c r="D367" t="s">
        <v>2</v>
      </c>
      <c r="E367" t="s">
        <v>406</v>
      </c>
      <c r="F367" t="s">
        <v>13</v>
      </c>
      <c r="G367" t="s">
        <v>1470</v>
      </c>
      <c r="H367" t="s">
        <v>13</v>
      </c>
      <c r="I367" t="s">
        <v>13</v>
      </c>
      <c r="K367" s="30"/>
      <c r="L367" s="8">
        <v>42920.120162037034</v>
      </c>
      <c r="M367" s="21">
        <f>LEN(ProjTextTable[[#This Row],[text]])</f>
        <v>3659</v>
      </c>
      <c r="N367" s="21">
        <f>LEN(TRIM(CLEAN(SUBSTITUTE(ProjTextTable[[#This Row],[text]],CHAR(10)," "))))+1 - LEN(SUBSTITUTE(CLEAN(SUBSTITUTE(ProjTextTable[[#This Row],[text]],CHAR(10)," "))," ",""))</f>
        <v>536</v>
      </c>
      <c r="O367" t="s">
        <v>13</v>
      </c>
      <c r="P367" t="s">
        <v>1960</v>
      </c>
    </row>
    <row r="368" spans="1:16" x14ac:dyDescent="0.4">
      <c r="A368">
        <f t="shared" si="5"/>
        <v>52</v>
      </c>
      <c r="B368" t="s">
        <v>1350</v>
      </c>
      <c r="C368" t="s">
        <v>1351</v>
      </c>
      <c r="D368" t="s">
        <v>198</v>
      </c>
      <c r="E368" t="s">
        <v>451</v>
      </c>
      <c r="F368" t="s">
        <v>1831</v>
      </c>
      <c r="G368" t="s">
        <v>1832</v>
      </c>
      <c r="H368" t="s">
        <v>1833</v>
      </c>
      <c r="I368" t="s">
        <v>95</v>
      </c>
      <c r="J368" t="s">
        <v>178</v>
      </c>
      <c r="K368" s="30">
        <v>42872</v>
      </c>
      <c r="L368" s="8">
        <v>42873.53802083333</v>
      </c>
      <c r="M368" s="21">
        <f>LEN(ProjTextTable[[#This Row],[text]])</f>
        <v>2368</v>
      </c>
      <c r="N368" s="21">
        <f>LEN(TRIM(CLEAN(SUBSTITUTE(ProjTextTable[[#This Row],[text]],CHAR(10)," "))))+1 - LEN(SUBSTITUTE(CLEAN(SUBSTITUTE(ProjTextTable[[#This Row],[text]],CHAR(10)," "))," ",""))</f>
        <v>377</v>
      </c>
      <c r="O368" t="s">
        <v>199</v>
      </c>
      <c r="P368" t="s">
        <v>1961</v>
      </c>
    </row>
    <row r="369" spans="1:16" x14ac:dyDescent="0.4">
      <c r="A369">
        <f t="shared" si="5"/>
        <v>52</v>
      </c>
      <c r="B369" t="s">
        <v>1350</v>
      </c>
      <c r="C369" t="s">
        <v>1351</v>
      </c>
      <c r="D369" t="s">
        <v>198</v>
      </c>
      <c r="E369" t="s">
        <v>451</v>
      </c>
      <c r="F369" t="s">
        <v>1847</v>
      </c>
      <c r="G369" t="s">
        <v>1848</v>
      </c>
      <c r="H369" t="s">
        <v>1849</v>
      </c>
      <c r="I369" t="s">
        <v>95</v>
      </c>
      <c r="J369" t="s">
        <v>178</v>
      </c>
      <c r="K369" s="30">
        <v>42872</v>
      </c>
      <c r="L369" s="8">
        <v>42871.420428240737</v>
      </c>
      <c r="M369" s="21">
        <f>LEN(ProjTextTable[[#This Row],[text]])</f>
        <v>6021</v>
      </c>
      <c r="N369" s="21">
        <f>LEN(TRIM(CLEAN(SUBSTITUTE(ProjTextTable[[#This Row],[text]],CHAR(10)," "))))+1 - LEN(SUBSTITUTE(CLEAN(SUBSTITUTE(ProjTextTable[[#This Row],[text]],CHAR(10)," "))," ",""))</f>
        <v>977</v>
      </c>
      <c r="O369" t="s">
        <v>202</v>
      </c>
      <c r="P369" t="s">
        <v>1962</v>
      </c>
    </row>
    <row r="370" spans="1:16" x14ac:dyDescent="0.4">
      <c r="A370">
        <f t="shared" si="5"/>
        <v>52</v>
      </c>
      <c r="B370" t="s">
        <v>1350</v>
      </c>
      <c r="C370" t="s">
        <v>1351</v>
      </c>
      <c r="D370" t="s">
        <v>198</v>
      </c>
      <c r="E370" t="s">
        <v>451</v>
      </c>
      <c r="F370" t="s">
        <v>1433</v>
      </c>
      <c r="G370" t="s">
        <v>1434</v>
      </c>
      <c r="H370" t="s">
        <v>1435</v>
      </c>
      <c r="I370" t="s">
        <v>95</v>
      </c>
      <c r="J370" t="s">
        <v>178</v>
      </c>
      <c r="K370" s="30">
        <v>42872</v>
      </c>
      <c r="L370" s="8">
        <v>42872.44803240741</v>
      </c>
      <c r="M370" s="21">
        <f>LEN(ProjTextTable[[#This Row],[text]])</f>
        <v>4705</v>
      </c>
      <c r="N370" s="21">
        <f>LEN(TRIM(CLEAN(SUBSTITUTE(ProjTextTable[[#This Row],[text]],CHAR(10)," "))))+1 - LEN(SUBSTITUTE(CLEAN(SUBSTITUTE(ProjTextTable[[#This Row],[text]],CHAR(10)," "))," ",""))</f>
        <v>722</v>
      </c>
      <c r="O370" t="s">
        <v>206</v>
      </c>
      <c r="P370" t="s">
        <v>1963</v>
      </c>
    </row>
    <row r="371" spans="1:16" x14ac:dyDescent="0.4">
      <c r="A371">
        <f t="shared" si="5"/>
        <v>52</v>
      </c>
      <c r="B371" t="s">
        <v>1350</v>
      </c>
      <c r="C371" t="s">
        <v>1351</v>
      </c>
      <c r="D371" t="s">
        <v>200</v>
      </c>
      <c r="E371" t="s">
        <v>406</v>
      </c>
      <c r="F371" t="s">
        <v>13</v>
      </c>
      <c r="G371" t="s">
        <v>13</v>
      </c>
      <c r="H371" t="s">
        <v>13</v>
      </c>
      <c r="K371" s="30"/>
      <c r="L371" s="8">
        <v>42810.042395833334</v>
      </c>
      <c r="M371" s="21">
        <f>LEN(ProjTextTable[[#This Row],[text]])</f>
        <v>3814</v>
      </c>
      <c r="N371" s="21">
        <f>LEN(TRIM(CLEAN(SUBSTITUTE(ProjTextTable[[#This Row],[text]],CHAR(10)," "))))+1 - LEN(SUBSTITUTE(CLEAN(SUBSTITUTE(ProjTextTable[[#This Row],[text]],CHAR(10)," "))," ",""))</f>
        <v>533</v>
      </c>
      <c r="O371" t="s">
        <v>13</v>
      </c>
      <c r="P371" t="s">
        <v>1964</v>
      </c>
    </row>
    <row r="372" spans="1:16" x14ac:dyDescent="0.4">
      <c r="A372">
        <f t="shared" si="5"/>
        <v>53</v>
      </c>
      <c r="B372" t="s">
        <v>1356</v>
      </c>
      <c r="C372" t="s">
        <v>1357</v>
      </c>
      <c r="D372" t="s">
        <v>209</v>
      </c>
      <c r="E372" t="s">
        <v>451</v>
      </c>
      <c r="F372" t="s">
        <v>1789</v>
      </c>
      <c r="G372" t="s">
        <v>1790</v>
      </c>
      <c r="H372" t="s">
        <v>1791</v>
      </c>
      <c r="I372" t="s">
        <v>197</v>
      </c>
      <c r="J372" t="s">
        <v>1618</v>
      </c>
      <c r="K372" s="30">
        <v>42871</v>
      </c>
      <c r="L372" s="8">
        <v>42916.815636574072</v>
      </c>
      <c r="M372" s="21">
        <f>LEN(ProjTextTable[[#This Row],[text]])</f>
        <v>2791</v>
      </c>
      <c r="N372" s="21">
        <f>LEN(TRIM(CLEAN(SUBSTITUTE(ProjTextTable[[#This Row],[text]],CHAR(10)," "))))+1 - LEN(SUBSTITUTE(CLEAN(SUBSTITUTE(ProjTextTable[[#This Row],[text]],CHAR(10)," "))," ",""))</f>
        <v>411</v>
      </c>
      <c r="O372" t="s">
        <v>1792</v>
      </c>
      <c r="P372" t="s">
        <v>1965</v>
      </c>
    </row>
    <row r="373" spans="1:16" x14ac:dyDescent="0.4">
      <c r="A373">
        <f t="shared" si="5"/>
        <v>53</v>
      </c>
      <c r="B373" t="s">
        <v>1356</v>
      </c>
      <c r="C373" t="s">
        <v>1357</v>
      </c>
      <c r="D373" t="s">
        <v>2</v>
      </c>
      <c r="E373" t="s">
        <v>406</v>
      </c>
      <c r="F373" t="s">
        <v>13</v>
      </c>
      <c r="G373" t="s">
        <v>1470</v>
      </c>
      <c r="H373" t="s">
        <v>13</v>
      </c>
      <c r="I373" t="s">
        <v>13</v>
      </c>
      <c r="K373" s="30"/>
      <c r="L373" s="8">
        <v>42914.639224537037</v>
      </c>
      <c r="M373" s="21">
        <f>LEN(ProjTextTable[[#This Row],[text]])</f>
        <v>1987</v>
      </c>
      <c r="N373" s="21">
        <f>LEN(TRIM(CLEAN(SUBSTITUTE(ProjTextTable[[#This Row],[text]],CHAR(10)," "))))+1 - LEN(SUBSTITUTE(CLEAN(SUBSTITUTE(ProjTextTable[[#This Row],[text]],CHAR(10)," "))," ",""))</f>
        <v>291</v>
      </c>
      <c r="O373" t="s">
        <v>13</v>
      </c>
      <c r="P373" t="s">
        <v>1966</v>
      </c>
    </row>
    <row r="374" spans="1:16" x14ac:dyDescent="0.4">
      <c r="A374">
        <f t="shared" si="5"/>
        <v>53</v>
      </c>
      <c r="B374" t="s">
        <v>1356</v>
      </c>
      <c r="C374" t="s">
        <v>1357</v>
      </c>
      <c r="D374" t="s">
        <v>198</v>
      </c>
      <c r="E374" t="s">
        <v>451</v>
      </c>
      <c r="F374" t="s">
        <v>1472</v>
      </c>
      <c r="G374" t="s">
        <v>1473</v>
      </c>
      <c r="H374" t="s">
        <v>1474</v>
      </c>
      <c r="I374" t="s">
        <v>95</v>
      </c>
      <c r="J374" t="s">
        <v>178</v>
      </c>
      <c r="K374" s="30">
        <v>42872</v>
      </c>
      <c r="L374" s="8">
        <v>42859.566064814811</v>
      </c>
      <c r="M374" s="21">
        <f>LEN(ProjTextTable[[#This Row],[text]])</f>
        <v>4476</v>
      </c>
      <c r="N374" s="21">
        <f>LEN(TRIM(CLEAN(SUBSTITUTE(ProjTextTable[[#This Row],[text]],CHAR(10)," "))))+1 - LEN(SUBSTITUTE(CLEAN(SUBSTITUTE(ProjTextTable[[#This Row],[text]],CHAR(10)," "))," ",""))</f>
        <v>680</v>
      </c>
      <c r="O374" t="s">
        <v>206</v>
      </c>
      <c r="P374" t="s">
        <v>1967</v>
      </c>
    </row>
    <row r="375" spans="1:16" x14ac:dyDescent="0.4">
      <c r="A375">
        <f t="shared" si="5"/>
        <v>53</v>
      </c>
      <c r="B375" t="s">
        <v>1356</v>
      </c>
      <c r="C375" t="s">
        <v>1357</v>
      </c>
      <c r="D375" t="s">
        <v>198</v>
      </c>
      <c r="E375" t="s">
        <v>451</v>
      </c>
      <c r="F375" t="s">
        <v>1820</v>
      </c>
      <c r="G375" t="s">
        <v>1821</v>
      </c>
      <c r="H375" t="s">
        <v>1822</v>
      </c>
      <c r="I375" t="s">
        <v>95</v>
      </c>
      <c r="J375" t="s">
        <v>178</v>
      </c>
      <c r="K375" s="30">
        <v>42872</v>
      </c>
      <c r="L375" s="8">
        <v>42872.493287037039</v>
      </c>
      <c r="M375" s="21">
        <f>LEN(ProjTextTable[[#This Row],[text]])</f>
        <v>8803</v>
      </c>
      <c r="N375" s="21">
        <f>LEN(TRIM(CLEAN(SUBSTITUTE(ProjTextTable[[#This Row],[text]],CHAR(10)," "))))+1 - LEN(SUBSTITUTE(CLEAN(SUBSTITUTE(ProjTextTable[[#This Row],[text]],CHAR(10)," "))," ",""))</f>
        <v>1351</v>
      </c>
      <c r="O375" t="s">
        <v>205</v>
      </c>
      <c r="P375" t="s">
        <v>1968</v>
      </c>
    </row>
    <row r="376" spans="1:16" x14ac:dyDescent="0.4">
      <c r="A376">
        <f t="shared" si="5"/>
        <v>53</v>
      </c>
      <c r="B376" t="s">
        <v>1356</v>
      </c>
      <c r="C376" t="s">
        <v>1357</v>
      </c>
      <c r="D376" t="s">
        <v>198</v>
      </c>
      <c r="E376" t="s">
        <v>451</v>
      </c>
      <c r="F376" t="s">
        <v>1852</v>
      </c>
      <c r="G376" t="s">
        <v>1086</v>
      </c>
      <c r="H376" t="s">
        <v>1853</v>
      </c>
      <c r="I376" t="s">
        <v>95</v>
      </c>
      <c r="J376" t="s">
        <v>178</v>
      </c>
      <c r="K376" s="30">
        <v>42872</v>
      </c>
      <c r="L376" s="8">
        <v>42868.501064814816</v>
      </c>
      <c r="M376" s="21">
        <f>LEN(ProjTextTable[[#This Row],[text]])</f>
        <v>3222</v>
      </c>
      <c r="N376" s="21">
        <f>LEN(TRIM(CLEAN(SUBSTITUTE(ProjTextTable[[#This Row],[text]],CHAR(10)," "))))+1 - LEN(SUBSTITUTE(CLEAN(SUBSTITUTE(ProjTextTable[[#This Row],[text]],CHAR(10)," "))," ",""))</f>
        <v>479</v>
      </c>
      <c r="O376" t="s">
        <v>199</v>
      </c>
      <c r="P376" t="s">
        <v>1969</v>
      </c>
    </row>
    <row r="377" spans="1:16" x14ac:dyDescent="0.4">
      <c r="A377">
        <f t="shared" si="5"/>
        <v>53</v>
      </c>
      <c r="B377" t="s">
        <v>1356</v>
      </c>
      <c r="C377" t="s">
        <v>1357</v>
      </c>
      <c r="D377" t="s">
        <v>200</v>
      </c>
      <c r="E377" t="s">
        <v>406</v>
      </c>
      <c r="F377" t="s">
        <v>13</v>
      </c>
      <c r="G377" t="s">
        <v>13</v>
      </c>
      <c r="H377" t="s">
        <v>13</v>
      </c>
      <c r="K377" s="30"/>
      <c r="L377" s="8">
        <v>42810.042395833334</v>
      </c>
      <c r="M377" s="21">
        <f>LEN(ProjTextTable[[#This Row],[text]])</f>
        <v>3399</v>
      </c>
      <c r="N377" s="21">
        <f>LEN(TRIM(CLEAN(SUBSTITUTE(ProjTextTable[[#This Row],[text]],CHAR(10)," "))))+1 - LEN(SUBSTITUTE(CLEAN(SUBSTITUTE(ProjTextTable[[#This Row],[text]],CHAR(10)," "))," ",""))</f>
        <v>474</v>
      </c>
      <c r="O377" t="s">
        <v>13</v>
      </c>
      <c r="P377" t="s">
        <v>1970</v>
      </c>
    </row>
    <row r="378" spans="1:16" x14ac:dyDescent="0.4">
      <c r="A378">
        <f t="shared" si="5"/>
        <v>54</v>
      </c>
      <c r="B378" t="s">
        <v>1360</v>
      </c>
      <c r="C378" t="s">
        <v>1361</v>
      </c>
      <c r="D378" t="s">
        <v>209</v>
      </c>
      <c r="E378" t="s">
        <v>451</v>
      </c>
      <c r="F378" t="s">
        <v>1789</v>
      </c>
      <c r="G378" t="s">
        <v>1790</v>
      </c>
      <c r="H378" t="s">
        <v>1791</v>
      </c>
      <c r="I378" t="s">
        <v>197</v>
      </c>
      <c r="J378" t="s">
        <v>1618</v>
      </c>
      <c r="K378" s="30">
        <v>42871</v>
      </c>
      <c r="L378" s="8">
        <v>42916.815648148149</v>
      </c>
      <c r="M378" s="21">
        <f>LEN(ProjTextTable[[#This Row],[text]])</f>
        <v>2918</v>
      </c>
      <c r="N378" s="21">
        <f>LEN(TRIM(CLEAN(SUBSTITUTE(ProjTextTable[[#This Row],[text]],CHAR(10)," "))))+1 - LEN(SUBSTITUTE(CLEAN(SUBSTITUTE(ProjTextTable[[#This Row],[text]],CHAR(10)," "))," ",""))</f>
        <v>394</v>
      </c>
      <c r="O378" t="s">
        <v>1792</v>
      </c>
      <c r="P378" t="s">
        <v>1971</v>
      </c>
    </row>
    <row r="379" spans="1:16" x14ac:dyDescent="0.4">
      <c r="A379">
        <f t="shared" si="5"/>
        <v>54</v>
      </c>
      <c r="B379" t="s">
        <v>1360</v>
      </c>
      <c r="C379" t="s">
        <v>1361</v>
      </c>
      <c r="D379" t="s">
        <v>1467</v>
      </c>
      <c r="E379" t="s">
        <v>406</v>
      </c>
      <c r="F379" t="s">
        <v>1360</v>
      </c>
      <c r="G379" t="s">
        <v>1468</v>
      </c>
      <c r="H379" t="s">
        <v>13</v>
      </c>
      <c r="I379" t="s">
        <v>13</v>
      </c>
      <c r="J379" t="s">
        <v>777</v>
      </c>
      <c r="K379" s="30">
        <v>42955.712500000001</v>
      </c>
      <c r="L379" s="8">
        <v>44781.712500000001</v>
      </c>
      <c r="M379" s="21">
        <f>LEN(ProjTextTable[[#This Row],[text]])</f>
        <v>2107</v>
      </c>
      <c r="N379" s="21">
        <f>LEN(TRIM(CLEAN(SUBSTITUTE(ProjTextTable[[#This Row],[text]],CHAR(10)," "))))+1 - LEN(SUBSTITUTE(CLEAN(SUBSTITUTE(ProjTextTable[[#This Row],[text]],CHAR(10)," "))," ",""))</f>
        <v>332</v>
      </c>
      <c r="O379" t="s">
        <v>13</v>
      </c>
      <c r="P379" t="s">
        <v>1809</v>
      </c>
    </row>
    <row r="380" spans="1:16" x14ac:dyDescent="0.4">
      <c r="A380">
        <f t="shared" si="5"/>
        <v>54</v>
      </c>
      <c r="B380" t="s">
        <v>1360</v>
      </c>
      <c r="C380" t="s">
        <v>1361</v>
      </c>
      <c r="D380" t="s">
        <v>2</v>
      </c>
      <c r="E380" t="s">
        <v>406</v>
      </c>
      <c r="F380" t="s">
        <v>13</v>
      </c>
      <c r="G380" t="s">
        <v>1470</v>
      </c>
      <c r="H380" t="s">
        <v>13</v>
      </c>
      <c r="I380" t="s">
        <v>13</v>
      </c>
      <c r="K380" s="30"/>
      <c r="L380" s="8">
        <v>42914.639282407406</v>
      </c>
      <c r="M380" s="21">
        <f>LEN(ProjTextTable[[#This Row],[text]])</f>
        <v>1955</v>
      </c>
      <c r="N380" s="21">
        <f>LEN(TRIM(CLEAN(SUBSTITUTE(ProjTextTable[[#This Row],[text]],CHAR(10)," "))))+1 - LEN(SUBSTITUTE(CLEAN(SUBSTITUTE(ProjTextTable[[#This Row],[text]],CHAR(10)," "))," ",""))</f>
        <v>291</v>
      </c>
      <c r="O380" t="s">
        <v>13</v>
      </c>
      <c r="P380" t="s">
        <v>1972</v>
      </c>
    </row>
    <row r="381" spans="1:16" x14ac:dyDescent="0.4">
      <c r="A381">
        <f t="shared" si="5"/>
        <v>54</v>
      </c>
      <c r="B381" t="s">
        <v>1360</v>
      </c>
      <c r="C381" t="s">
        <v>1361</v>
      </c>
      <c r="D381" t="s">
        <v>198</v>
      </c>
      <c r="E381" t="s">
        <v>451</v>
      </c>
      <c r="F381" t="s">
        <v>1433</v>
      </c>
      <c r="G381" t="s">
        <v>1434</v>
      </c>
      <c r="H381" t="s">
        <v>1435</v>
      </c>
      <c r="I381" t="s">
        <v>95</v>
      </c>
      <c r="J381" t="s">
        <v>178</v>
      </c>
      <c r="K381" s="30">
        <v>42872</v>
      </c>
      <c r="L381" s="8">
        <v>42872.141539351855</v>
      </c>
      <c r="M381" s="21">
        <f>LEN(ProjTextTable[[#This Row],[text]])</f>
        <v>4432</v>
      </c>
      <c r="N381" s="21">
        <f>LEN(TRIM(CLEAN(SUBSTITUTE(ProjTextTable[[#This Row],[text]],CHAR(10)," "))))+1 - LEN(SUBSTITUTE(CLEAN(SUBSTITUTE(ProjTextTable[[#This Row],[text]],CHAR(10)," "))," ",""))</f>
        <v>698</v>
      </c>
      <c r="O381" t="s">
        <v>203</v>
      </c>
      <c r="P381" t="s">
        <v>1973</v>
      </c>
    </row>
    <row r="382" spans="1:16" x14ac:dyDescent="0.4">
      <c r="A382">
        <f t="shared" si="5"/>
        <v>54</v>
      </c>
      <c r="B382" t="s">
        <v>1360</v>
      </c>
      <c r="C382" t="s">
        <v>1361</v>
      </c>
      <c r="D382" t="s">
        <v>198</v>
      </c>
      <c r="E382" t="s">
        <v>451</v>
      </c>
      <c r="F382" t="s">
        <v>1820</v>
      </c>
      <c r="G382" t="s">
        <v>1821</v>
      </c>
      <c r="H382" t="s">
        <v>1822</v>
      </c>
      <c r="I382" t="s">
        <v>95</v>
      </c>
      <c r="J382" t="s">
        <v>178</v>
      </c>
      <c r="K382" s="30">
        <v>42872</v>
      </c>
      <c r="L382" s="8">
        <v>42871.878483796296</v>
      </c>
      <c r="M382" s="21">
        <f>LEN(ProjTextTable[[#This Row],[text]])</f>
        <v>7096</v>
      </c>
      <c r="N382" s="21">
        <f>LEN(TRIM(CLEAN(SUBSTITUTE(ProjTextTable[[#This Row],[text]],CHAR(10)," "))))+1 - LEN(SUBSTITUTE(CLEAN(SUBSTITUTE(ProjTextTable[[#This Row],[text]],CHAR(10)," "))," ",""))</f>
        <v>1098</v>
      </c>
      <c r="O382" t="s">
        <v>199</v>
      </c>
      <c r="P382" t="s">
        <v>1974</v>
      </c>
    </row>
    <row r="383" spans="1:16" x14ac:dyDescent="0.4">
      <c r="A383">
        <f t="shared" si="5"/>
        <v>54</v>
      </c>
      <c r="B383" t="s">
        <v>1360</v>
      </c>
      <c r="C383" t="s">
        <v>1361</v>
      </c>
      <c r="D383" t="s">
        <v>198</v>
      </c>
      <c r="E383" t="s">
        <v>451</v>
      </c>
      <c r="F383" t="s">
        <v>1802</v>
      </c>
      <c r="G383" t="s">
        <v>1803</v>
      </c>
      <c r="H383" t="s">
        <v>1804</v>
      </c>
      <c r="I383" t="s">
        <v>95</v>
      </c>
      <c r="J383" t="s">
        <v>178</v>
      </c>
      <c r="K383" s="30">
        <v>42872</v>
      </c>
      <c r="L383" s="8">
        <v>42872.521180555559</v>
      </c>
      <c r="M383" s="21">
        <f>LEN(ProjTextTable[[#This Row],[text]])</f>
        <v>7048</v>
      </c>
      <c r="N383" s="21">
        <f>LEN(TRIM(CLEAN(SUBSTITUTE(ProjTextTable[[#This Row],[text]],CHAR(10)," "))))+1 - LEN(SUBSTITUTE(CLEAN(SUBSTITUTE(ProjTextTable[[#This Row],[text]],CHAR(10)," "))," ",""))</f>
        <v>947</v>
      </c>
      <c r="O383" t="s">
        <v>199</v>
      </c>
      <c r="P383" t="s">
        <v>1975</v>
      </c>
    </row>
    <row r="384" spans="1:16" x14ac:dyDescent="0.4">
      <c r="A384">
        <f t="shared" si="5"/>
        <v>54</v>
      </c>
      <c r="B384" t="s">
        <v>1360</v>
      </c>
      <c r="C384" t="s">
        <v>1361</v>
      </c>
      <c r="D384" t="s">
        <v>200</v>
      </c>
      <c r="E384" t="s">
        <v>406</v>
      </c>
      <c r="F384" t="s">
        <v>13</v>
      </c>
      <c r="G384" t="s">
        <v>13</v>
      </c>
      <c r="H384" t="s">
        <v>13</v>
      </c>
      <c r="K384" s="30"/>
      <c r="L384" s="8">
        <v>42810.042395833334</v>
      </c>
      <c r="M384" s="21">
        <f>LEN(ProjTextTable[[#This Row],[text]])</f>
        <v>4752</v>
      </c>
      <c r="N384" s="21">
        <f>LEN(TRIM(CLEAN(SUBSTITUTE(ProjTextTable[[#This Row],[text]],CHAR(10)," "))))+1 - LEN(SUBSTITUTE(CLEAN(SUBSTITUTE(ProjTextTable[[#This Row],[text]],CHAR(10)," "))," ",""))</f>
        <v>677</v>
      </c>
      <c r="O384" t="s">
        <v>13</v>
      </c>
      <c r="P384" t="s">
        <v>1976</v>
      </c>
    </row>
    <row r="385" spans="1:16" x14ac:dyDescent="0.4">
      <c r="A385">
        <f t="shared" si="5"/>
        <v>55</v>
      </c>
      <c r="B385" t="s">
        <v>1367</v>
      </c>
      <c r="C385" t="s">
        <v>1368</v>
      </c>
      <c r="D385" t="s">
        <v>209</v>
      </c>
      <c r="E385" t="s">
        <v>451</v>
      </c>
      <c r="F385" t="s">
        <v>1789</v>
      </c>
      <c r="G385" t="s">
        <v>1790</v>
      </c>
      <c r="H385" t="s">
        <v>1791</v>
      </c>
      <c r="I385" t="s">
        <v>197</v>
      </c>
      <c r="J385" t="s">
        <v>1618</v>
      </c>
      <c r="K385" s="30">
        <v>42871</v>
      </c>
      <c r="L385" s="8">
        <v>42916.815648148149</v>
      </c>
      <c r="M385" s="21">
        <f>LEN(ProjTextTable[[#This Row],[text]])</f>
        <v>3267</v>
      </c>
      <c r="N385" s="21">
        <f>LEN(TRIM(CLEAN(SUBSTITUTE(ProjTextTable[[#This Row],[text]],CHAR(10)," "))))+1 - LEN(SUBSTITUTE(CLEAN(SUBSTITUTE(ProjTextTable[[#This Row],[text]],CHAR(10)," "))," ",""))</f>
        <v>461</v>
      </c>
      <c r="O385" t="s">
        <v>1792</v>
      </c>
      <c r="P385" t="s">
        <v>1977</v>
      </c>
    </row>
    <row r="386" spans="1:16" x14ac:dyDescent="0.4">
      <c r="A386">
        <f t="shared" ref="A386:A449" si="6">A385+(B386&lt;&gt;B385)</f>
        <v>55</v>
      </c>
      <c r="B386" t="s">
        <v>1367</v>
      </c>
      <c r="C386" t="s">
        <v>1368</v>
      </c>
      <c r="D386" t="s">
        <v>2</v>
      </c>
      <c r="E386" t="s">
        <v>451</v>
      </c>
      <c r="F386" t="s">
        <v>13</v>
      </c>
      <c r="G386" t="s">
        <v>1470</v>
      </c>
      <c r="H386" t="s">
        <v>13</v>
      </c>
      <c r="I386" t="s">
        <v>13</v>
      </c>
      <c r="K386" s="30"/>
      <c r="L386" s="8">
        <v>42951.541817129626</v>
      </c>
      <c r="M386" s="21">
        <f>LEN(ProjTextTable[[#This Row],[text]])</f>
        <v>4592</v>
      </c>
      <c r="N386" s="21">
        <f>LEN(TRIM(CLEAN(SUBSTITUTE(ProjTextTable[[#This Row],[text]],CHAR(10)," "))))+1 - LEN(SUBSTITUTE(CLEAN(SUBSTITUTE(ProjTextTable[[#This Row],[text]],CHAR(10)," "))," ",""))</f>
        <v>679</v>
      </c>
      <c r="O386" t="s">
        <v>13</v>
      </c>
      <c r="P386" t="s">
        <v>1794</v>
      </c>
    </row>
    <row r="387" spans="1:16" x14ac:dyDescent="0.4">
      <c r="A387">
        <f t="shared" si="6"/>
        <v>55</v>
      </c>
      <c r="B387" t="s">
        <v>1367</v>
      </c>
      <c r="C387" t="s">
        <v>1368</v>
      </c>
      <c r="D387" t="s">
        <v>198</v>
      </c>
      <c r="E387" t="s">
        <v>451</v>
      </c>
      <c r="F387" t="s">
        <v>1795</v>
      </c>
      <c r="G387" t="s">
        <v>1796</v>
      </c>
      <c r="H387" t="s">
        <v>1797</v>
      </c>
      <c r="I387" t="s">
        <v>95</v>
      </c>
      <c r="J387" t="s">
        <v>178</v>
      </c>
      <c r="K387" s="30">
        <v>42872</v>
      </c>
      <c r="L387" s="8">
        <v>42868.614849537036</v>
      </c>
      <c r="M387" s="21">
        <f>LEN(ProjTextTable[[#This Row],[text]])</f>
        <v>2438</v>
      </c>
      <c r="N387" s="21">
        <f>LEN(TRIM(CLEAN(SUBSTITUTE(ProjTextTable[[#This Row],[text]],CHAR(10)," "))))+1 - LEN(SUBSTITUTE(CLEAN(SUBSTITUTE(ProjTextTable[[#This Row],[text]],CHAR(10)," "))," ",""))</f>
        <v>337</v>
      </c>
      <c r="O387" t="s">
        <v>199</v>
      </c>
      <c r="P387" t="s">
        <v>1978</v>
      </c>
    </row>
    <row r="388" spans="1:16" x14ac:dyDescent="0.4">
      <c r="A388">
        <f t="shared" si="6"/>
        <v>55</v>
      </c>
      <c r="B388" t="s">
        <v>1367</v>
      </c>
      <c r="C388" t="s">
        <v>1368</v>
      </c>
      <c r="D388" t="s">
        <v>198</v>
      </c>
      <c r="E388" t="s">
        <v>451</v>
      </c>
      <c r="F388" t="s">
        <v>1472</v>
      </c>
      <c r="G388" t="s">
        <v>1473</v>
      </c>
      <c r="H388" t="s">
        <v>1474</v>
      </c>
      <c r="I388" t="s">
        <v>95</v>
      </c>
      <c r="J388" t="s">
        <v>178</v>
      </c>
      <c r="K388" s="30">
        <v>42872</v>
      </c>
      <c r="L388" s="8">
        <v>42859.702696759261</v>
      </c>
      <c r="M388" s="21">
        <f>LEN(ProjTextTable[[#This Row],[text]])</f>
        <v>4395</v>
      </c>
      <c r="N388" s="21">
        <f>LEN(TRIM(CLEAN(SUBSTITUTE(ProjTextTable[[#This Row],[text]],CHAR(10)," "))))+1 - LEN(SUBSTITUTE(CLEAN(SUBSTITUTE(ProjTextTable[[#This Row],[text]],CHAR(10)," "))," ",""))</f>
        <v>658</v>
      </c>
      <c r="O388" t="s">
        <v>199</v>
      </c>
      <c r="P388" t="s">
        <v>1979</v>
      </c>
    </row>
    <row r="389" spans="1:16" x14ac:dyDescent="0.4">
      <c r="A389">
        <f t="shared" si="6"/>
        <v>55</v>
      </c>
      <c r="B389" t="s">
        <v>1367</v>
      </c>
      <c r="C389" t="s">
        <v>1368</v>
      </c>
      <c r="D389" t="s">
        <v>198</v>
      </c>
      <c r="E389" t="s">
        <v>451</v>
      </c>
      <c r="F389" t="s">
        <v>1570</v>
      </c>
      <c r="G389" t="s">
        <v>1571</v>
      </c>
      <c r="H389" t="s">
        <v>1572</v>
      </c>
      <c r="I389" t="s">
        <v>95</v>
      </c>
      <c r="J389" t="s">
        <v>178</v>
      </c>
      <c r="K389" s="30">
        <v>42872</v>
      </c>
      <c r="L389" s="8">
        <v>42870.580428240741</v>
      </c>
      <c r="M389" s="21">
        <f>LEN(ProjTextTable[[#This Row],[text]])</f>
        <v>2927</v>
      </c>
      <c r="N389" s="21">
        <f>LEN(TRIM(CLEAN(SUBSTITUTE(ProjTextTable[[#This Row],[text]],CHAR(10)," "))))+1 - LEN(SUBSTITUTE(CLEAN(SUBSTITUTE(ProjTextTable[[#This Row],[text]],CHAR(10)," "))," ",""))</f>
        <v>452</v>
      </c>
      <c r="O389" t="s">
        <v>221</v>
      </c>
      <c r="P389" t="s">
        <v>1980</v>
      </c>
    </row>
    <row r="390" spans="1:16" x14ac:dyDescent="0.4">
      <c r="A390">
        <f t="shared" si="6"/>
        <v>55</v>
      </c>
      <c r="B390" t="s">
        <v>1367</v>
      </c>
      <c r="C390" t="s">
        <v>1368</v>
      </c>
      <c r="D390" t="s">
        <v>198</v>
      </c>
      <c r="E390" t="s">
        <v>451</v>
      </c>
      <c r="F390" t="s">
        <v>1799</v>
      </c>
      <c r="G390" t="s">
        <v>595</v>
      </c>
      <c r="H390" t="s">
        <v>1800</v>
      </c>
      <c r="I390" t="s">
        <v>95</v>
      </c>
      <c r="J390" t="s">
        <v>178</v>
      </c>
      <c r="K390" s="30">
        <v>42872</v>
      </c>
      <c r="L390" s="8">
        <v>42871.273634259262</v>
      </c>
      <c r="M390" s="21">
        <f>LEN(ProjTextTable[[#This Row],[text]])</f>
        <v>2859</v>
      </c>
      <c r="N390" s="21">
        <f>LEN(TRIM(CLEAN(SUBSTITUTE(ProjTextTable[[#This Row],[text]],CHAR(10)," "))))+1 - LEN(SUBSTITUTE(CLEAN(SUBSTITUTE(ProjTextTable[[#This Row],[text]],CHAR(10)," "))," ",""))</f>
        <v>408</v>
      </c>
      <c r="O390" t="s">
        <v>199</v>
      </c>
      <c r="P390" t="s">
        <v>1981</v>
      </c>
    </row>
    <row r="391" spans="1:16" x14ac:dyDescent="0.4">
      <c r="A391">
        <f t="shared" si="6"/>
        <v>55</v>
      </c>
      <c r="B391" t="s">
        <v>1367</v>
      </c>
      <c r="C391" t="s">
        <v>1368</v>
      </c>
      <c r="D391" t="s">
        <v>198</v>
      </c>
      <c r="E391" t="s">
        <v>451</v>
      </c>
      <c r="F391" t="s">
        <v>1820</v>
      </c>
      <c r="G391" t="s">
        <v>1821</v>
      </c>
      <c r="H391" t="s">
        <v>1822</v>
      </c>
      <c r="I391" t="s">
        <v>95</v>
      </c>
      <c r="J391" t="s">
        <v>178</v>
      </c>
      <c r="K391" s="30">
        <v>42872</v>
      </c>
      <c r="L391" s="8">
        <v>42871.899039351854</v>
      </c>
      <c r="M391" s="21">
        <f>LEN(ProjTextTable[[#This Row],[text]])</f>
        <v>6983</v>
      </c>
      <c r="N391" s="21">
        <f>LEN(TRIM(CLEAN(SUBSTITUTE(ProjTextTable[[#This Row],[text]],CHAR(10)," "))))+1 - LEN(SUBSTITUTE(CLEAN(SUBSTITUTE(ProjTextTable[[#This Row],[text]],CHAR(10)," "))," ",""))</f>
        <v>1082</v>
      </c>
      <c r="O391" t="s">
        <v>205</v>
      </c>
      <c r="P391" t="s">
        <v>1982</v>
      </c>
    </row>
    <row r="392" spans="1:16" x14ac:dyDescent="0.4">
      <c r="A392">
        <f t="shared" si="6"/>
        <v>55</v>
      </c>
      <c r="B392" t="s">
        <v>1367</v>
      </c>
      <c r="C392" t="s">
        <v>1368</v>
      </c>
      <c r="D392" t="s">
        <v>200</v>
      </c>
      <c r="E392" t="s">
        <v>451</v>
      </c>
      <c r="F392" t="s">
        <v>13</v>
      </c>
      <c r="G392" t="s">
        <v>13</v>
      </c>
      <c r="H392" t="s">
        <v>13</v>
      </c>
      <c r="K392" s="30"/>
      <c r="L392" s="8">
        <v>42810.042395833334</v>
      </c>
      <c r="M392" s="21">
        <f>LEN(ProjTextTable[[#This Row],[text]])</f>
        <v>3189</v>
      </c>
      <c r="N392" s="21">
        <f>LEN(TRIM(CLEAN(SUBSTITUTE(ProjTextTable[[#This Row],[text]],CHAR(10)," "))))+1 - LEN(SUBSTITUTE(CLEAN(SUBSTITUTE(ProjTextTable[[#This Row],[text]],CHAR(10)," "))," ",""))</f>
        <v>450</v>
      </c>
      <c r="O392" t="s">
        <v>13</v>
      </c>
      <c r="P392" t="s">
        <v>1983</v>
      </c>
    </row>
    <row r="393" spans="1:16" x14ac:dyDescent="0.4">
      <c r="A393">
        <f t="shared" si="6"/>
        <v>56</v>
      </c>
      <c r="B393" t="s">
        <v>1373</v>
      </c>
      <c r="C393" t="s">
        <v>1374</v>
      </c>
      <c r="D393" t="s">
        <v>209</v>
      </c>
      <c r="E393" t="s">
        <v>451</v>
      </c>
      <c r="F393" t="s">
        <v>1789</v>
      </c>
      <c r="G393" t="s">
        <v>1790</v>
      </c>
      <c r="H393" t="s">
        <v>1946</v>
      </c>
      <c r="I393" t="s">
        <v>95</v>
      </c>
      <c r="J393" t="s">
        <v>201</v>
      </c>
      <c r="K393" s="30">
        <v>42871</v>
      </c>
      <c r="L393" s="8">
        <v>42928.673472222225</v>
      </c>
      <c r="M393" s="21">
        <f>LEN(ProjTextTable[[#This Row],[text]])</f>
        <v>3531</v>
      </c>
      <c r="N393" s="21">
        <f>LEN(TRIM(CLEAN(SUBSTITUTE(ProjTextTable[[#This Row],[text]],CHAR(10)," "))))+1 - LEN(SUBSTITUTE(CLEAN(SUBSTITUTE(ProjTextTable[[#This Row],[text]],CHAR(10)," "))," ",""))</f>
        <v>507</v>
      </c>
      <c r="O393" t="s">
        <v>1947</v>
      </c>
      <c r="P393" t="s">
        <v>1984</v>
      </c>
    </row>
    <row r="394" spans="1:16" x14ac:dyDescent="0.4">
      <c r="A394">
        <f t="shared" si="6"/>
        <v>56</v>
      </c>
      <c r="B394" t="s">
        <v>1373</v>
      </c>
      <c r="C394" t="s">
        <v>1374</v>
      </c>
      <c r="D394" t="s">
        <v>908</v>
      </c>
      <c r="E394" t="s">
        <v>1241</v>
      </c>
      <c r="F394" t="s">
        <v>13</v>
      </c>
      <c r="G394" t="s">
        <v>1985</v>
      </c>
      <c r="H394" t="s">
        <v>13</v>
      </c>
      <c r="I394" t="s">
        <v>13</v>
      </c>
      <c r="K394" s="30"/>
      <c r="L394" s="8">
        <v>42930.561365740738</v>
      </c>
      <c r="M394" s="21">
        <f>LEN(ProjTextTable[[#This Row],[text]])</f>
        <v>3247</v>
      </c>
      <c r="N394" s="21">
        <f>LEN(TRIM(CLEAN(SUBSTITUTE(ProjTextTable[[#This Row],[text]],CHAR(10)," "))))+1 - LEN(SUBSTITUTE(CLEAN(SUBSTITUTE(ProjTextTable[[#This Row],[text]],CHAR(10)," "))," ",""))</f>
        <v>431</v>
      </c>
      <c r="O394" t="s">
        <v>13</v>
      </c>
      <c r="P394" t="s">
        <v>1986</v>
      </c>
    </row>
    <row r="395" spans="1:16" x14ac:dyDescent="0.4">
      <c r="A395">
        <f t="shared" si="6"/>
        <v>56</v>
      </c>
      <c r="B395" t="s">
        <v>1373</v>
      </c>
      <c r="C395" t="s">
        <v>1374</v>
      </c>
      <c r="D395" t="s">
        <v>1467</v>
      </c>
      <c r="E395" t="s">
        <v>1241</v>
      </c>
      <c r="F395" t="s">
        <v>1373</v>
      </c>
      <c r="G395" t="s">
        <v>1883</v>
      </c>
      <c r="H395" t="s">
        <v>13</v>
      </c>
      <c r="I395" t="s">
        <v>13</v>
      </c>
      <c r="J395" t="s">
        <v>1844</v>
      </c>
      <c r="K395" s="30">
        <v>42929.34097222222</v>
      </c>
      <c r="L395" s="8">
        <v>44755.34097222222</v>
      </c>
      <c r="M395" s="21">
        <f>LEN(ProjTextTable[[#This Row],[text]])</f>
        <v>6694</v>
      </c>
      <c r="N395" s="21">
        <f>LEN(TRIM(CLEAN(SUBSTITUTE(ProjTextTable[[#This Row],[text]],CHAR(10)," "))))+1 - LEN(SUBSTITUTE(CLEAN(SUBSTITUTE(ProjTextTable[[#This Row],[text]],CHAR(10)," "))," ",""))</f>
        <v>963</v>
      </c>
      <c r="O395" t="s">
        <v>13</v>
      </c>
      <c r="P395" t="s">
        <v>1987</v>
      </c>
    </row>
    <row r="396" spans="1:16" x14ac:dyDescent="0.4">
      <c r="A396">
        <f t="shared" si="6"/>
        <v>56</v>
      </c>
      <c r="B396" t="s">
        <v>1373</v>
      </c>
      <c r="C396" t="s">
        <v>1374</v>
      </c>
      <c r="D396" t="s">
        <v>198</v>
      </c>
      <c r="E396" t="s">
        <v>451</v>
      </c>
      <c r="F396" t="s">
        <v>1570</v>
      </c>
      <c r="G396" t="s">
        <v>1571</v>
      </c>
      <c r="H396" t="s">
        <v>1572</v>
      </c>
      <c r="I396" t="s">
        <v>95</v>
      </c>
      <c r="J396" t="s">
        <v>178</v>
      </c>
      <c r="K396" s="30">
        <v>42872</v>
      </c>
      <c r="L396" s="8">
        <v>42870.514988425923</v>
      </c>
      <c r="M396" s="21">
        <f>LEN(ProjTextTable[[#This Row],[text]])</f>
        <v>5364</v>
      </c>
      <c r="N396" s="21">
        <f>LEN(TRIM(CLEAN(SUBSTITUTE(ProjTextTable[[#This Row],[text]],CHAR(10)," "))))+1 - LEN(SUBSTITUTE(CLEAN(SUBSTITUTE(ProjTextTable[[#This Row],[text]],CHAR(10)," "))," ",""))</f>
        <v>817</v>
      </c>
      <c r="O396" t="s">
        <v>202</v>
      </c>
      <c r="P396" t="s">
        <v>1988</v>
      </c>
    </row>
    <row r="397" spans="1:16" x14ac:dyDescent="0.4">
      <c r="A397">
        <f t="shared" si="6"/>
        <v>56</v>
      </c>
      <c r="B397" t="s">
        <v>1373</v>
      </c>
      <c r="C397" t="s">
        <v>1374</v>
      </c>
      <c r="D397" t="s">
        <v>198</v>
      </c>
      <c r="E397" t="s">
        <v>451</v>
      </c>
      <c r="F397" t="s">
        <v>1799</v>
      </c>
      <c r="G397" t="s">
        <v>595</v>
      </c>
      <c r="H397" t="s">
        <v>1800</v>
      </c>
      <c r="I397" t="s">
        <v>95</v>
      </c>
      <c r="J397" t="s">
        <v>178</v>
      </c>
      <c r="K397" s="30">
        <v>42872</v>
      </c>
      <c r="L397" s="8">
        <v>42872.385972222219</v>
      </c>
      <c r="M397" s="21">
        <f>LEN(ProjTextTable[[#This Row],[text]])</f>
        <v>2849</v>
      </c>
      <c r="N397" s="21">
        <f>LEN(TRIM(CLEAN(SUBSTITUTE(ProjTextTable[[#This Row],[text]],CHAR(10)," "))))+1 - LEN(SUBSTITUTE(CLEAN(SUBSTITUTE(ProjTextTable[[#This Row],[text]],CHAR(10)," "))," ",""))</f>
        <v>424</v>
      </c>
      <c r="O397" t="s">
        <v>199</v>
      </c>
      <c r="P397" t="s">
        <v>1989</v>
      </c>
    </row>
    <row r="398" spans="1:16" x14ac:dyDescent="0.4">
      <c r="A398">
        <f t="shared" si="6"/>
        <v>56</v>
      </c>
      <c r="B398" t="s">
        <v>1373</v>
      </c>
      <c r="C398" t="s">
        <v>1374</v>
      </c>
      <c r="D398" t="s">
        <v>198</v>
      </c>
      <c r="E398" t="s">
        <v>451</v>
      </c>
      <c r="F398" t="s">
        <v>1802</v>
      </c>
      <c r="G398" t="s">
        <v>1803</v>
      </c>
      <c r="H398" t="s">
        <v>1804</v>
      </c>
      <c r="I398" t="s">
        <v>95</v>
      </c>
      <c r="J398" t="s">
        <v>178</v>
      </c>
      <c r="K398" s="30">
        <v>42872</v>
      </c>
      <c r="L398" s="8">
        <v>42872.532777777778</v>
      </c>
      <c r="M398" s="21">
        <f>LEN(ProjTextTable[[#This Row],[text]])</f>
        <v>4378</v>
      </c>
      <c r="N398" s="21">
        <f>LEN(TRIM(CLEAN(SUBSTITUTE(ProjTextTable[[#This Row],[text]],CHAR(10)," "))))+1 - LEN(SUBSTITUTE(CLEAN(SUBSTITUTE(ProjTextTable[[#This Row],[text]],CHAR(10)," "))," ",""))</f>
        <v>612</v>
      </c>
      <c r="O398" t="s">
        <v>202</v>
      </c>
      <c r="P398" t="s">
        <v>1990</v>
      </c>
    </row>
    <row r="399" spans="1:16" x14ac:dyDescent="0.4">
      <c r="A399">
        <f t="shared" si="6"/>
        <v>56</v>
      </c>
      <c r="B399" t="s">
        <v>1373</v>
      </c>
      <c r="C399" t="s">
        <v>1374</v>
      </c>
      <c r="D399" t="s">
        <v>200</v>
      </c>
      <c r="E399" t="s">
        <v>1241</v>
      </c>
      <c r="F399" t="s">
        <v>13</v>
      </c>
      <c r="G399" t="s">
        <v>13</v>
      </c>
      <c r="H399" t="s">
        <v>13</v>
      </c>
      <c r="K399" s="30"/>
      <c r="L399" s="8">
        <v>42810.042407407411</v>
      </c>
      <c r="M399" s="21">
        <f>LEN(ProjTextTable[[#This Row],[text]])</f>
        <v>3835</v>
      </c>
      <c r="N399" s="21">
        <f>LEN(TRIM(CLEAN(SUBSTITUTE(ProjTextTable[[#This Row],[text]],CHAR(10)," "))))+1 - LEN(SUBSTITUTE(CLEAN(SUBSTITUTE(ProjTextTable[[#This Row],[text]],CHAR(10)," "))," ",""))</f>
        <v>526</v>
      </c>
      <c r="O399" t="s">
        <v>13</v>
      </c>
      <c r="P399" t="s">
        <v>1991</v>
      </c>
    </row>
    <row r="400" spans="1:16" x14ac:dyDescent="0.4">
      <c r="A400">
        <f t="shared" si="6"/>
        <v>56</v>
      </c>
      <c r="B400" t="s">
        <v>1373</v>
      </c>
      <c r="C400" t="s">
        <v>1374</v>
      </c>
      <c r="D400" t="s">
        <v>1515</v>
      </c>
      <c r="E400" t="s">
        <v>1241</v>
      </c>
      <c r="F400" t="s">
        <v>1373</v>
      </c>
      <c r="G400" t="s">
        <v>1883</v>
      </c>
      <c r="H400" t="s">
        <v>1957</v>
      </c>
      <c r="K400" s="30"/>
      <c r="L400" s="8">
        <v>42927.688738425924</v>
      </c>
      <c r="M400" s="21">
        <f>LEN(ProjTextTable[[#This Row],[text]])</f>
        <v>2257</v>
      </c>
      <c r="N400" s="21">
        <f>LEN(TRIM(CLEAN(SUBSTITUTE(ProjTextTable[[#This Row],[text]],CHAR(10)," "))))+1 - LEN(SUBSTITUTE(CLEAN(SUBSTITUTE(ProjTextTable[[#This Row],[text]],CHAR(10)," "))," ",""))</f>
        <v>336</v>
      </c>
      <c r="O400" t="s">
        <v>13</v>
      </c>
      <c r="P400" t="s">
        <v>1958</v>
      </c>
    </row>
    <row r="401" spans="1:16" x14ac:dyDescent="0.4">
      <c r="A401">
        <f t="shared" si="6"/>
        <v>57</v>
      </c>
      <c r="B401" t="s">
        <v>1378</v>
      </c>
      <c r="C401" t="s">
        <v>1379</v>
      </c>
      <c r="D401" t="s">
        <v>209</v>
      </c>
      <c r="E401" t="s">
        <v>451</v>
      </c>
      <c r="F401" t="s">
        <v>1789</v>
      </c>
      <c r="G401" t="s">
        <v>1790</v>
      </c>
      <c r="H401" t="s">
        <v>1841</v>
      </c>
      <c r="I401" t="s">
        <v>201</v>
      </c>
      <c r="J401" t="s">
        <v>284</v>
      </c>
      <c r="K401" s="30">
        <v>42871</v>
      </c>
      <c r="L401" s="8">
        <v>42922.825613425928</v>
      </c>
      <c r="M401" s="21">
        <f>LEN(ProjTextTable[[#This Row],[text]])</f>
        <v>3188</v>
      </c>
      <c r="N401" s="21">
        <f>LEN(TRIM(CLEAN(SUBSTITUTE(ProjTextTable[[#This Row],[text]],CHAR(10)," "))))+1 - LEN(SUBSTITUTE(CLEAN(SUBSTITUTE(ProjTextTable[[#This Row],[text]],CHAR(10)," "))," ",""))</f>
        <v>463</v>
      </c>
      <c r="O401" t="s">
        <v>178</v>
      </c>
      <c r="P401" t="s">
        <v>1992</v>
      </c>
    </row>
    <row r="402" spans="1:16" x14ac:dyDescent="0.4">
      <c r="A402">
        <f t="shared" si="6"/>
        <v>57</v>
      </c>
      <c r="B402" t="s">
        <v>1378</v>
      </c>
      <c r="C402" t="s">
        <v>1379</v>
      </c>
      <c r="D402" t="s">
        <v>2</v>
      </c>
      <c r="E402" t="s">
        <v>406</v>
      </c>
      <c r="F402" t="s">
        <v>13</v>
      </c>
      <c r="G402" t="s">
        <v>1470</v>
      </c>
      <c r="H402" t="s">
        <v>13</v>
      </c>
      <c r="I402" t="s">
        <v>13</v>
      </c>
      <c r="K402" s="30"/>
      <c r="L402" s="8">
        <v>42920.135023148148</v>
      </c>
      <c r="M402" s="21">
        <f>LEN(ProjTextTable[[#This Row],[text]])</f>
        <v>3439</v>
      </c>
      <c r="N402" s="21">
        <f>LEN(TRIM(CLEAN(SUBSTITUTE(ProjTextTable[[#This Row],[text]],CHAR(10)," "))))+1 - LEN(SUBSTITUTE(CLEAN(SUBSTITUTE(ProjTextTable[[#This Row],[text]],CHAR(10)," "))," ",""))</f>
        <v>505</v>
      </c>
      <c r="O402" t="s">
        <v>13</v>
      </c>
      <c r="P402" t="s">
        <v>1993</v>
      </c>
    </row>
    <row r="403" spans="1:16" x14ac:dyDescent="0.4">
      <c r="A403">
        <f t="shared" si="6"/>
        <v>57</v>
      </c>
      <c r="B403" t="s">
        <v>1378</v>
      </c>
      <c r="C403" t="s">
        <v>1379</v>
      </c>
      <c r="D403" t="s">
        <v>198</v>
      </c>
      <c r="E403" t="s">
        <v>451</v>
      </c>
      <c r="F403" t="s">
        <v>1570</v>
      </c>
      <c r="G403" t="s">
        <v>1571</v>
      </c>
      <c r="H403" t="s">
        <v>1572</v>
      </c>
      <c r="I403" t="s">
        <v>95</v>
      </c>
      <c r="J403" t="s">
        <v>178</v>
      </c>
      <c r="K403" s="30">
        <v>42872</v>
      </c>
      <c r="L403" s="8">
        <v>42870.476319444446</v>
      </c>
      <c r="M403" s="21">
        <f>LEN(ProjTextTable[[#This Row],[text]])</f>
        <v>3634</v>
      </c>
      <c r="N403" s="21">
        <f>LEN(TRIM(CLEAN(SUBSTITUTE(ProjTextTable[[#This Row],[text]],CHAR(10)," "))))+1 - LEN(SUBSTITUTE(CLEAN(SUBSTITUTE(ProjTextTable[[#This Row],[text]],CHAR(10)," "))," ",""))</f>
        <v>562</v>
      </c>
      <c r="O403" t="s">
        <v>206</v>
      </c>
      <c r="P403" t="s">
        <v>1994</v>
      </c>
    </row>
    <row r="404" spans="1:16" x14ac:dyDescent="0.4">
      <c r="A404">
        <f t="shared" si="6"/>
        <v>57</v>
      </c>
      <c r="B404" t="s">
        <v>1378</v>
      </c>
      <c r="C404" t="s">
        <v>1379</v>
      </c>
      <c r="D404" t="s">
        <v>198</v>
      </c>
      <c r="E404" t="s">
        <v>451</v>
      </c>
      <c r="F404" t="s">
        <v>1799</v>
      </c>
      <c r="G404" t="s">
        <v>595</v>
      </c>
      <c r="H404" t="s">
        <v>1800</v>
      </c>
      <c r="I404" t="s">
        <v>95</v>
      </c>
      <c r="J404" t="s">
        <v>178</v>
      </c>
      <c r="K404" s="30">
        <v>42872</v>
      </c>
      <c r="L404" s="8">
        <v>42870.82335648148</v>
      </c>
      <c r="M404" s="21">
        <f>LEN(ProjTextTable[[#This Row],[text]])</f>
        <v>3826</v>
      </c>
      <c r="N404" s="21">
        <f>LEN(TRIM(CLEAN(SUBSTITUTE(ProjTextTable[[#This Row],[text]],CHAR(10)," "))))+1 - LEN(SUBSTITUTE(CLEAN(SUBSTITUTE(ProjTextTable[[#This Row],[text]],CHAR(10)," "))," ",""))</f>
        <v>583</v>
      </c>
      <c r="O404" t="s">
        <v>206</v>
      </c>
      <c r="P404" t="s">
        <v>1995</v>
      </c>
    </row>
    <row r="405" spans="1:16" x14ac:dyDescent="0.4">
      <c r="A405">
        <f t="shared" si="6"/>
        <v>57</v>
      </c>
      <c r="B405" t="s">
        <v>1378</v>
      </c>
      <c r="C405" t="s">
        <v>1379</v>
      </c>
      <c r="D405" t="s">
        <v>198</v>
      </c>
      <c r="E405" t="s">
        <v>451</v>
      </c>
      <c r="F405" t="s">
        <v>1852</v>
      </c>
      <c r="G405" t="s">
        <v>1086</v>
      </c>
      <c r="H405" t="s">
        <v>1853</v>
      </c>
      <c r="I405" t="s">
        <v>95</v>
      </c>
      <c r="J405" t="s">
        <v>178</v>
      </c>
      <c r="K405" s="30">
        <v>42872</v>
      </c>
      <c r="L405" s="8">
        <v>42868.950277777774</v>
      </c>
      <c r="M405" s="21">
        <f>LEN(ProjTextTable[[#This Row],[text]])</f>
        <v>3422</v>
      </c>
      <c r="N405" s="21">
        <f>LEN(TRIM(CLEAN(SUBSTITUTE(ProjTextTable[[#This Row],[text]],CHAR(10)," "))))+1 - LEN(SUBSTITUTE(CLEAN(SUBSTITUTE(ProjTextTable[[#This Row],[text]],CHAR(10)," "))," ",""))</f>
        <v>530</v>
      </c>
      <c r="O405" t="s">
        <v>206</v>
      </c>
      <c r="P405" t="s">
        <v>1996</v>
      </c>
    </row>
    <row r="406" spans="1:16" x14ac:dyDescent="0.4">
      <c r="A406">
        <f t="shared" si="6"/>
        <v>57</v>
      </c>
      <c r="B406" t="s">
        <v>1378</v>
      </c>
      <c r="C406" t="s">
        <v>1379</v>
      </c>
      <c r="D406" t="s">
        <v>200</v>
      </c>
      <c r="E406" t="s">
        <v>406</v>
      </c>
      <c r="F406" t="s">
        <v>13</v>
      </c>
      <c r="G406" t="s">
        <v>13</v>
      </c>
      <c r="H406" t="s">
        <v>13</v>
      </c>
      <c r="K406" s="30"/>
      <c r="L406" s="8">
        <v>42810.042407407411</v>
      </c>
      <c r="M406" s="21">
        <f>LEN(ProjTextTable[[#This Row],[text]])</f>
        <v>3721</v>
      </c>
      <c r="N406" s="21">
        <f>LEN(TRIM(CLEAN(SUBSTITUTE(ProjTextTable[[#This Row],[text]],CHAR(10)," "))))+1 - LEN(SUBSTITUTE(CLEAN(SUBSTITUTE(ProjTextTable[[#This Row],[text]],CHAR(10)," "))," ",""))</f>
        <v>523</v>
      </c>
      <c r="O406" t="s">
        <v>13</v>
      </c>
      <c r="P406" t="s">
        <v>1997</v>
      </c>
    </row>
    <row r="407" spans="1:16" x14ac:dyDescent="0.4">
      <c r="A407">
        <f t="shared" si="6"/>
        <v>58</v>
      </c>
      <c r="B407" t="s">
        <v>1384</v>
      </c>
      <c r="C407" t="s">
        <v>1385</v>
      </c>
      <c r="D407" t="s">
        <v>209</v>
      </c>
      <c r="E407" t="s">
        <v>451</v>
      </c>
      <c r="F407" t="s">
        <v>1789</v>
      </c>
      <c r="G407" t="s">
        <v>1790</v>
      </c>
      <c r="H407" t="s">
        <v>1791</v>
      </c>
      <c r="I407" t="s">
        <v>197</v>
      </c>
      <c r="J407" t="s">
        <v>1618</v>
      </c>
      <c r="K407" s="30">
        <v>42871</v>
      </c>
      <c r="L407" s="8">
        <v>42916.815648148149</v>
      </c>
      <c r="M407" s="21">
        <f>LEN(ProjTextTable[[#This Row],[text]])</f>
        <v>2836</v>
      </c>
      <c r="N407" s="21">
        <f>LEN(TRIM(CLEAN(SUBSTITUTE(ProjTextTable[[#This Row],[text]],CHAR(10)," "))))+1 - LEN(SUBSTITUTE(CLEAN(SUBSTITUTE(ProjTextTable[[#This Row],[text]],CHAR(10)," "))," ",""))</f>
        <v>409</v>
      </c>
      <c r="O407" t="s">
        <v>1792</v>
      </c>
      <c r="P407" t="s">
        <v>1998</v>
      </c>
    </row>
    <row r="408" spans="1:16" x14ac:dyDescent="0.4">
      <c r="A408">
        <f t="shared" si="6"/>
        <v>58</v>
      </c>
      <c r="B408" t="s">
        <v>1384</v>
      </c>
      <c r="C408" t="s">
        <v>1385</v>
      </c>
      <c r="D408" t="s">
        <v>2</v>
      </c>
      <c r="E408" t="s">
        <v>451</v>
      </c>
      <c r="F408" t="s">
        <v>13</v>
      </c>
      <c r="G408" t="s">
        <v>1470</v>
      </c>
      <c r="H408" t="s">
        <v>13</v>
      </c>
      <c r="I408" t="s">
        <v>13</v>
      </c>
      <c r="K408" s="30"/>
      <c r="L408" s="8">
        <v>42951.589386574073</v>
      </c>
      <c r="M408" s="21">
        <f>LEN(ProjTextTable[[#This Row],[text]])</f>
        <v>4592</v>
      </c>
      <c r="N408" s="21">
        <f>LEN(TRIM(CLEAN(SUBSTITUTE(ProjTextTable[[#This Row],[text]],CHAR(10)," "))))+1 - LEN(SUBSTITUTE(CLEAN(SUBSTITUTE(ProjTextTable[[#This Row],[text]],CHAR(10)," "))," ",""))</f>
        <v>679</v>
      </c>
      <c r="O408" t="s">
        <v>13</v>
      </c>
      <c r="P408" t="s">
        <v>1794</v>
      </c>
    </row>
    <row r="409" spans="1:16" x14ac:dyDescent="0.4">
      <c r="A409">
        <f t="shared" si="6"/>
        <v>58</v>
      </c>
      <c r="B409" t="s">
        <v>1384</v>
      </c>
      <c r="C409" t="s">
        <v>1385</v>
      </c>
      <c r="D409" t="s">
        <v>198</v>
      </c>
      <c r="E409" t="s">
        <v>451</v>
      </c>
      <c r="F409" t="s">
        <v>1831</v>
      </c>
      <c r="G409" t="s">
        <v>1832</v>
      </c>
      <c r="H409" t="s">
        <v>1833</v>
      </c>
      <c r="I409" t="s">
        <v>95</v>
      </c>
      <c r="J409" t="s">
        <v>178</v>
      </c>
      <c r="K409" s="30">
        <v>42872</v>
      </c>
      <c r="L409" s="8">
        <v>42873.528680555559</v>
      </c>
      <c r="M409" s="21">
        <f>LEN(ProjTextTable[[#This Row],[text]])</f>
        <v>2258</v>
      </c>
      <c r="N409" s="21">
        <f>LEN(TRIM(CLEAN(SUBSTITUTE(ProjTextTable[[#This Row],[text]],CHAR(10)," "))))+1 - LEN(SUBSTITUTE(CLEAN(SUBSTITUTE(ProjTextTable[[#This Row],[text]],CHAR(10)," "))," ",""))</f>
        <v>359</v>
      </c>
      <c r="O409" t="s">
        <v>205</v>
      </c>
      <c r="P409" t="s">
        <v>1999</v>
      </c>
    </row>
    <row r="410" spans="1:16" x14ac:dyDescent="0.4">
      <c r="A410">
        <f t="shared" si="6"/>
        <v>58</v>
      </c>
      <c r="B410" t="s">
        <v>1384</v>
      </c>
      <c r="C410" t="s">
        <v>1385</v>
      </c>
      <c r="D410" t="s">
        <v>198</v>
      </c>
      <c r="E410" t="s">
        <v>451</v>
      </c>
      <c r="F410" t="s">
        <v>1795</v>
      </c>
      <c r="G410" t="s">
        <v>1796</v>
      </c>
      <c r="H410" t="s">
        <v>1797</v>
      </c>
      <c r="I410" t="s">
        <v>95</v>
      </c>
      <c r="J410" t="s">
        <v>178</v>
      </c>
      <c r="K410" s="30">
        <v>42872</v>
      </c>
      <c r="L410" s="8">
        <v>42868.611331018517</v>
      </c>
      <c r="M410" s="21">
        <f>LEN(ProjTextTable[[#This Row],[text]])</f>
        <v>4500</v>
      </c>
      <c r="N410" s="21">
        <f>LEN(TRIM(CLEAN(SUBSTITUTE(ProjTextTable[[#This Row],[text]],CHAR(10)," "))))+1 - LEN(SUBSTITUTE(CLEAN(SUBSTITUTE(ProjTextTable[[#This Row],[text]],CHAR(10)," "))," ",""))</f>
        <v>636</v>
      </c>
      <c r="O410" t="s">
        <v>199</v>
      </c>
      <c r="P410" t="s">
        <v>2000</v>
      </c>
    </row>
    <row r="411" spans="1:16" x14ac:dyDescent="0.4">
      <c r="A411">
        <f t="shared" si="6"/>
        <v>58</v>
      </c>
      <c r="B411" t="s">
        <v>1384</v>
      </c>
      <c r="C411" t="s">
        <v>1385</v>
      </c>
      <c r="D411" t="s">
        <v>198</v>
      </c>
      <c r="E411" t="s">
        <v>451</v>
      </c>
      <c r="F411" t="s">
        <v>1852</v>
      </c>
      <c r="G411" t="s">
        <v>1086</v>
      </c>
      <c r="H411" t="s">
        <v>1853</v>
      </c>
      <c r="I411" t="s">
        <v>95</v>
      </c>
      <c r="J411" t="s">
        <v>178</v>
      </c>
      <c r="K411" s="30">
        <v>42872</v>
      </c>
      <c r="L411" s="8">
        <v>42868.951423611114</v>
      </c>
      <c r="M411" s="21">
        <f>LEN(ProjTextTable[[#This Row],[text]])</f>
        <v>3851</v>
      </c>
      <c r="N411" s="21">
        <f>LEN(TRIM(CLEAN(SUBSTITUTE(ProjTextTable[[#This Row],[text]],CHAR(10)," "))))+1 - LEN(SUBSTITUTE(CLEAN(SUBSTITUTE(ProjTextTable[[#This Row],[text]],CHAR(10)," "))," ",""))</f>
        <v>579</v>
      </c>
      <c r="O411" t="s">
        <v>206</v>
      </c>
      <c r="P411" t="s">
        <v>2001</v>
      </c>
    </row>
    <row r="412" spans="1:16" x14ac:dyDescent="0.4">
      <c r="A412">
        <f t="shared" si="6"/>
        <v>59</v>
      </c>
      <c r="B412" t="s">
        <v>1389</v>
      </c>
      <c r="C412" t="s">
        <v>1390</v>
      </c>
      <c r="D412" t="s">
        <v>209</v>
      </c>
      <c r="E412" t="s">
        <v>451</v>
      </c>
      <c r="F412" t="s">
        <v>1789</v>
      </c>
      <c r="G412" t="s">
        <v>1790</v>
      </c>
      <c r="H412" t="s">
        <v>1791</v>
      </c>
      <c r="I412" t="s">
        <v>197</v>
      </c>
      <c r="J412" t="s">
        <v>1618</v>
      </c>
      <c r="K412" s="30">
        <v>42871</v>
      </c>
      <c r="L412" s="8">
        <v>42916.815648148149</v>
      </c>
      <c r="M412" s="21">
        <f>LEN(ProjTextTable[[#This Row],[text]])</f>
        <v>3654</v>
      </c>
      <c r="N412" s="21">
        <f>LEN(TRIM(CLEAN(SUBSTITUTE(ProjTextTable[[#This Row],[text]],CHAR(10)," "))))+1 - LEN(SUBSTITUTE(CLEAN(SUBSTITUTE(ProjTextTable[[#This Row],[text]],CHAR(10)," "))," ",""))</f>
        <v>512</v>
      </c>
      <c r="O412" t="s">
        <v>1792</v>
      </c>
      <c r="P412" t="s">
        <v>2002</v>
      </c>
    </row>
    <row r="413" spans="1:16" x14ac:dyDescent="0.4">
      <c r="A413">
        <f t="shared" si="6"/>
        <v>59</v>
      </c>
      <c r="B413" t="s">
        <v>1389</v>
      </c>
      <c r="C413" t="s">
        <v>1390</v>
      </c>
      <c r="D413" t="s">
        <v>2</v>
      </c>
      <c r="E413" t="s">
        <v>451</v>
      </c>
      <c r="F413" t="s">
        <v>13</v>
      </c>
      <c r="G413" t="s">
        <v>1470</v>
      </c>
      <c r="H413" t="s">
        <v>13</v>
      </c>
      <c r="I413" t="s">
        <v>13</v>
      </c>
      <c r="K413" s="30"/>
      <c r="L413" s="8">
        <v>42951.484560185185</v>
      </c>
      <c r="M413" s="21">
        <f>LEN(ProjTextTable[[#This Row],[text]])</f>
        <v>4592</v>
      </c>
      <c r="N413" s="21">
        <f>LEN(TRIM(CLEAN(SUBSTITUTE(ProjTextTable[[#This Row],[text]],CHAR(10)," "))))+1 - LEN(SUBSTITUTE(CLEAN(SUBSTITUTE(ProjTextTable[[#This Row],[text]],CHAR(10)," "))," ",""))</f>
        <v>679</v>
      </c>
      <c r="O413" t="s">
        <v>13</v>
      </c>
      <c r="P413" t="s">
        <v>1794</v>
      </c>
    </row>
    <row r="414" spans="1:16" x14ac:dyDescent="0.4">
      <c r="A414">
        <f t="shared" si="6"/>
        <v>59</v>
      </c>
      <c r="B414" t="s">
        <v>1389</v>
      </c>
      <c r="C414" t="s">
        <v>1390</v>
      </c>
      <c r="D414" t="s">
        <v>198</v>
      </c>
      <c r="E414" t="s">
        <v>451</v>
      </c>
      <c r="F414" t="s">
        <v>1433</v>
      </c>
      <c r="G414" t="s">
        <v>1434</v>
      </c>
      <c r="H414" t="s">
        <v>1435</v>
      </c>
      <c r="I414" t="s">
        <v>95</v>
      </c>
      <c r="J414" t="s">
        <v>178</v>
      </c>
      <c r="K414" s="30">
        <v>42872</v>
      </c>
      <c r="L414" s="8">
        <v>42872.147013888891</v>
      </c>
      <c r="M414" s="21">
        <f>LEN(ProjTextTable[[#This Row],[text]])</f>
        <v>5043</v>
      </c>
      <c r="N414" s="21">
        <f>LEN(TRIM(CLEAN(SUBSTITUTE(ProjTextTable[[#This Row],[text]],CHAR(10)," "))))+1 - LEN(SUBSTITUTE(CLEAN(SUBSTITUTE(ProjTextTable[[#This Row],[text]],CHAR(10)," "))," ",""))</f>
        <v>819</v>
      </c>
      <c r="O414" t="s">
        <v>203</v>
      </c>
      <c r="P414" t="s">
        <v>2003</v>
      </c>
    </row>
    <row r="415" spans="1:16" x14ac:dyDescent="0.4">
      <c r="A415">
        <f t="shared" si="6"/>
        <v>59</v>
      </c>
      <c r="B415" t="s">
        <v>1389</v>
      </c>
      <c r="C415" t="s">
        <v>1390</v>
      </c>
      <c r="D415" t="s">
        <v>198</v>
      </c>
      <c r="E415" t="s">
        <v>451</v>
      </c>
      <c r="F415" t="s">
        <v>1836</v>
      </c>
      <c r="G415" t="s">
        <v>1837</v>
      </c>
      <c r="H415" t="s">
        <v>1838</v>
      </c>
      <c r="I415" t="s">
        <v>95</v>
      </c>
      <c r="J415" t="s">
        <v>178</v>
      </c>
      <c r="K415" s="30">
        <v>42872</v>
      </c>
      <c r="L415" s="8">
        <v>42872.491770833331</v>
      </c>
      <c r="M415" s="21">
        <f>LEN(ProjTextTable[[#This Row],[text]])</f>
        <v>3670</v>
      </c>
      <c r="N415" s="21">
        <f>LEN(TRIM(CLEAN(SUBSTITUTE(ProjTextTable[[#This Row],[text]],CHAR(10)," "))))+1 - LEN(SUBSTITUTE(CLEAN(SUBSTITUTE(ProjTextTable[[#This Row],[text]],CHAR(10)," "))," ",""))</f>
        <v>582</v>
      </c>
      <c r="O415" t="s">
        <v>215</v>
      </c>
      <c r="P415" t="s">
        <v>2004</v>
      </c>
    </row>
    <row r="416" spans="1:16" x14ac:dyDescent="0.4">
      <c r="A416">
        <f t="shared" si="6"/>
        <v>59</v>
      </c>
      <c r="B416" t="s">
        <v>1389</v>
      </c>
      <c r="C416" t="s">
        <v>1390</v>
      </c>
      <c r="D416" t="s">
        <v>198</v>
      </c>
      <c r="E416" t="s">
        <v>451</v>
      </c>
      <c r="F416" t="s">
        <v>1816</v>
      </c>
      <c r="G416" t="s">
        <v>1817</v>
      </c>
      <c r="H416" t="s">
        <v>1818</v>
      </c>
      <c r="I416" t="s">
        <v>95</v>
      </c>
      <c r="J416" t="s">
        <v>178</v>
      </c>
      <c r="K416" s="30">
        <v>42872</v>
      </c>
      <c r="L416" s="8">
        <v>42863.930208333331</v>
      </c>
      <c r="M416" s="21">
        <f>LEN(ProjTextTable[[#This Row],[text]])</f>
        <v>3521</v>
      </c>
      <c r="N416" s="21">
        <f>LEN(TRIM(CLEAN(SUBSTITUTE(ProjTextTable[[#This Row],[text]],CHAR(10)," "))))+1 - LEN(SUBSTITUTE(CLEAN(SUBSTITUTE(ProjTextTable[[#This Row],[text]],CHAR(10)," "))," ",""))</f>
        <v>555</v>
      </c>
      <c r="O416" t="s">
        <v>203</v>
      </c>
      <c r="P416" t="s">
        <v>2005</v>
      </c>
    </row>
    <row r="417" spans="1:16" x14ac:dyDescent="0.4">
      <c r="A417">
        <f t="shared" si="6"/>
        <v>60</v>
      </c>
      <c r="B417" t="s">
        <v>354</v>
      </c>
      <c r="C417" t="s">
        <v>407</v>
      </c>
      <c r="D417" t="s">
        <v>209</v>
      </c>
      <c r="E417" t="s">
        <v>451</v>
      </c>
      <c r="F417" t="s">
        <v>616</v>
      </c>
      <c r="G417" t="s">
        <v>713</v>
      </c>
      <c r="H417" t="s">
        <v>617</v>
      </c>
      <c r="I417" t="s">
        <v>204</v>
      </c>
      <c r="J417" t="s">
        <v>714</v>
      </c>
      <c r="K417" s="30">
        <v>43031</v>
      </c>
      <c r="L417" s="8"/>
      <c r="M417" s="21">
        <f>LEN(ProjTextTable[[#This Row],[text]])</f>
        <v>3392</v>
      </c>
      <c r="N417" s="21">
        <f>LEN(TRIM(CLEAN(SUBSTITUTE(ProjTextTable[[#This Row],[text]],CHAR(10)," "))))+1 - LEN(SUBSTITUTE(CLEAN(SUBSTITUTE(ProjTextTable[[#This Row],[text]],CHAR(10)," "))," ",""))</f>
        <v>513</v>
      </c>
      <c r="O417" t="s">
        <v>491</v>
      </c>
      <c r="P417" t="s">
        <v>715</v>
      </c>
    </row>
    <row r="418" spans="1:16" x14ac:dyDescent="0.4">
      <c r="A418">
        <f t="shared" si="6"/>
        <v>60</v>
      </c>
      <c r="B418" t="s">
        <v>354</v>
      </c>
      <c r="C418" t="s">
        <v>407</v>
      </c>
      <c r="D418" t="s">
        <v>198</v>
      </c>
      <c r="E418" t="s">
        <v>451</v>
      </c>
      <c r="F418" t="s">
        <v>716</v>
      </c>
      <c r="G418" t="s">
        <v>717</v>
      </c>
      <c r="H418" t="s">
        <v>718</v>
      </c>
      <c r="I418" t="s">
        <v>215</v>
      </c>
      <c r="J418" t="s">
        <v>178</v>
      </c>
      <c r="K418" s="30">
        <v>43032</v>
      </c>
      <c r="L418" s="8">
        <v>43031.583935185183</v>
      </c>
      <c r="M418" s="21">
        <f>LEN(ProjTextTable[[#This Row],[text]])</f>
        <v>3353</v>
      </c>
      <c r="N418" s="21">
        <f>LEN(TRIM(CLEAN(SUBSTITUTE(ProjTextTable[[#This Row],[text]],CHAR(10)," "))))+1 - LEN(SUBSTITUTE(CLEAN(SUBSTITUTE(ProjTextTable[[#This Row],[text]],CHAR(10)," "))," ",""))</f>
        <v>545</v>
      </c>
      <c r="O418" t="s">
        <v>221</v>
      </c>
      <c r="P418" t="s">
        <v>719</v>
      </c>
    </row>
    <row r="419" spans="1:16" x14ac:dyDescent="0.4">
      <c r="A419">
        <f t="shared" si="6"/>
        <v>60</v>
      </c>
      <c r="B419" t="s">
        <v>354</v>
      </c>
      <c r="C419" t="s">
        <v>407</v>
      </c>
      <c r="D419" t="s">
        <v>198</v>
      </c>
      <c r="E419" t="s">
        <v>451</v>
      </c>
      <c r="F419" t="s">
        <v>720</v>
      </c>
      <c r="G419" t="s">
        <v>721</v>
      </c>
      <c r="H419" t="s">
        <v>722</v>
      </c>
      <c r="I419" t="s">
        <v>215</v>
      </c>
      <c r="J419" t="s">
        <v>178</v>
      </c>
      <c r="K419" s="30">
        <v>43032</v>
      </c>
      <c r="L419" s="8">
        <v>43031.52008101852</v>
      </c>
      <c r="M419" s="21">
        <f>LEN(ProjTextTable[[#This Row],[text]])</f>
        <v>1749</v>
      </c>
      <c r="N419" s="21">
        <f>LEN(TRIM(CLEAN(SUBSTITUTE(ProjTextTable[[#This Row],[text]],CHAR(10)," "))))+1 - LEN(SUBSTITUTE(CLEAN(SUBSTITUTE(ProjTextTable[[#This Row],[text]],CHAR(10)," "))," ",""))</f>
        <v>271</v>
      </c>
      <c r="O419" t="s">
        <v>205</v>
      </c>
      <c r="P419" t="s">
        <v>723</v>
      </c>
    </row>
    <row r="420" spans="1:16" x14ac:dyDescent="0.4">
      <c r="A420">
        <f t="shared" si="6"/>
        <v>60</v>
      </c>
      <c r="B420" t="s">
        <v>354</v>
      </c>
      <c r="C420" t="s">
        <v>407</v>
      </c>
      <c r="D420" t="s">
        <v>198</v>
      </c>
      <c r="E420" t="s">
        <v>451</v>
      </c>
      <c r="F420" t="s">
        <v>724</v>
      </c>
      <c r="G420" t="s">
        <v>725</v>
      </c>
      <c r="H420" t="s">
        <v>726</v>
      </c>
      <c r="I420" t="s">
        <v>215</v>
      </c>
      <c r="J420" t="s">
        <v>178</v>
      </c>
      <c r="K420" s="30">
        <v>43032</v>
      </c>
      <c r="L420" s="8">
        <v>43026.508344907408</v>
      </c>
      <c r="M420" s="21">
        <f>LEN(ProjTextTable[[#This Row],[text]])</f>
        <v>3446</v>
      </c>
      <c r="N420" s="21">
        <f>LEN(TRIM(CLEAN(SUBSTITUTE(ProjTextTable[[#This Row],[text]],CHAR(10)," "))))+1 - LEN(SUBSTITUTE(CLEAN(SUBSTITUTE(ProjTextTable[[#This Row],[text]],CHAR(10)," "))," ",""))</f>
        <v>531</v>
      </c>
      <c r="O420" t="s">
        <v>203</v>
      </c>
      <c r="P420" t="s">
        <v>727</v>
      </c>
    </row>
    <row r="421" spans="1:16" x14ac:dyDescent="0.4">
      <c r="A421">
        <f t="shared" si="6"/>
        <v>60</v>
      </c>
      <c r="B421" t="s">
        <v>354</v>
      </c>
      <c r="C421" t="s">
        <v>407</v>
      </c>
      <c r="D421" t="s">
        <v>198</v>
      </c>
      <c r="E421" t="s">
        <v>406</v>
      </c>
      <c r="F421" t="s">
        <v>728</v>
      </c>
      <c r="G421" t="s">
        <v>729</v>
      </c>
      <c r="H421" t="s">
        <v>730</v>
      </c>
      <c r="I421" t="s">
        <v>215</v>
      </c>
      <c r="J421" t="s">
        <v>178</v>
      </c>
      <c r="K421" s="30">
        <v>43032</v>
      </c>
      <c r="L421" s="8">
        <v>43018.840243055558</v>
      </c>
      <c r="M421" s="21">
        <f>LEN(ProjTextTable[[#This Row],[text]])</f>
        <v>2975</v>
      </c>
      <c r="N421" s="21">
        <f>LEN(TRIM(CLEAN(SUBSTITUTE(ProjTextTable[[#This Row],[text]],CHAR(10)," "))))+1 - LEN(SUBSTITUTE(CLEAN(SUBSTITUTE(ProjTextTable[[#This Row],[text]],CHAR(10)," "))," ",""))</f>
        <v>476</v>
      </c>
      <c r="O421" t="s">
        <v>205</v>
      </c>
      <c r="P421" t="s">
        <v>731</v>
      </c>
    </row>
    <row r="422" spans="1:16" x14ac:dyDescent="0.4">
      <c r="A422">
        <f t="shared" si="6"/>
        <v>60</v>
      </c>
      <c r="B422" t="s">
        <v>354</v>
      </c>
      <c r="C422" t="s">
        <v>407</v>
      </c>
      <c r="D422" t="s">
        <v>200</v>
      </c>
      <c r="E422" t="s">
        <v>406</v>
      </c>
      <c r="F422" t="s">
        <v>13</v>
      </c>
      <c r="G422" t="s">
        <v>13</v>
      </c>
      <c r="H422" t="s">
        <v>13</v>
      </c>
      <c r="K422" s="30"/>
      <c r="L422" s="8">
        <v>42931.442777777775</v>
      </c>
      <c r="M422" s="21">
        <f>LEN(ProjTextTable[[#This Row],[text]])</f>
        <v>3950</v>
      </c>
      <c r="N422" s="21">
        <f>LEN(TRIM(CLEAN(SUBSTITUTE(ProjTextTable[[#This Row],[text]],CHAR(10)," "))))+1 - LEN(SUBSTITUTE(CLEAN(SUBSTITUTE(ProjTextTable[[#This Row],[text]],CHAR(10)," "))," ",""))</f>
        <v>602</v>
      </c>
      <c r="O422" t="s">
        <v>13</v>
      </c>
      <c r="P422" t="s">
        <v>732</v>
      </c>
    </row>
    <row r="423" spans="1:16" x14ac:dyDescent="0.4">
      <c r="A423">
        <f t="shared" si="6"/>
        <v>61</v>
      </c>
      <c r="B423" t="s">
        <v>355</v>
      </c>
      <c r="C423" t="s">
        <v>414</v>
      </c>
      <c r="D423" t="s">
        <v>209</v>
      </c>
      <c r="E423" t="s">
        <v>451</v>
      </c>
      <c r="F423" t="s">
        <v>616</v>
      </c>
      <c r="G423" t="s">
        <v>713</v>
      </c>
      <c r="H423" t="s">
        <v>264</v>
      </c>
      <c r="I423" t="s">
        <v>197</v>
      </c>
      <c r="J423" t="s">
        <v>733</v>
      </c>
      <c r="K423" s="30">
        <v>43031</v>
      </c>
      <c r="L423" s="8"/>
      <c r="M423" s="21">
        <f>LEN(ProjTextTable[[#This Row],[text]])</f>
        <v>4739</v>
      </c>
      <c r="N423" s="21">
        <f>LEN(TRIM(CLEAN(SUBSTITUTE(ProjTextTable[[#This Row],[text]],CHAR(10)," "))))+1 - LEN(SUBSTITUTE(CLEAN(SUBSTITUTE(ProjTextTable[[#This Row],[text]],CHAR(10)," "))," ",""))</f>
        <v>677</v>
      </c>
      <c r="O423" t="s">
        <v>263</v>
      </c>
      <c r="P423" t="s">
        <v>734</v>
      </c>
    </row>
    <row r="424" spans="1:16" x14ac:dyDescent="0.4">
      <c r="A424">
        <f t="shared" si="6"/>
        <v>61</v>
      </c>
      <c r="B424" t="s">
        <v>355</v>
      </c>
      <c r="C424" t="s">
        <v>414</v>
      </c>
      <c r="D424" t="s">
        <v>198</v>
      </c>
      <c r="E424" t="s">
        <v>451</v>
      </c>
      <c r="F424" t="s">
        <v>735</v>
      </c>
      <c r="G424" t="s">
        <v>736</v>
      </c>
      <c r="H424" t="s">
        <v>737</v>
      </c>
      <c r="I424" t="s">
        <v>215</v>
      </c>
      <c r="J424" t="s">
        <v>178</v>
      </c>
      <c r="K424" s="30">
        <v>43032</v>
      </c>
      <c r="L424" s="8">
        <v>43029.002870370372</v>
      </c>
      <c r="M424" s="21">
        <f>LEN(ProjTextTable[[#This Row],[text]])</f>
        <v>3294</v>
      </c>
      <c r="N424" s="21">
        <f>LEN(TRIM(CLEAN(SUBSTITUTE(ProjTextTable[[#This Row],[text]],CHAR(10)," "))))+1 - LEN(SUBSTITUTE(CLEAN(SUBSTITUTE(ProjTextTable[[#This Row],[text]],CHAR(10)," "))," ",""))</f>
        <v>495</v>
      </c>
      <c r="O424" t="s">
        <v>199</v>
      </c>
      <c r="P424" t="s">
        <v>738</v>
      </c>
    </row>
    <row r="425" spans="1:16" x14ac:dyDescent="0.4">
      <c r="A425">
        <f t="shared" si="6"/>
        <v>61</v>
      </c>
      <c r="B425" t="s">
        <v>355</v>
      </c>
      <c r="C425" t="s">
        <v>414</v>
      </c>
      <c r="D425" t="s">
        <v>198</v>
      </c>
      <c r="E425" t="s">
        <v>406</v>
      </c>
      <c r="F425" t="s">
        <v>739</v>
      </c>
      <c r="G425" t="s">
        <v>740</v>
      </c>
      <c r="H425" t="s">
        <v>741</v>
      </c>
      <c r="I425" t="s">
        <v>215</v>
      </c>
      <c r="J425" t="s">
        <v>178</v>
      </c>
      <c r="K425" s="30">
        <v>43032</v>
      </c>
      <c r="L425" s="8">
        <v>43030.179826388892</v>
      </c>
      <c r="M425" s="21">
        <f>LEN(ProjTextTable[[#This Row],[text]])</f>
        <v>2298</v>
      </c>
      <c r="N425" s="21">
        <f>LEN(TRIM(CLEAN(SUBSTITUTE(ProjTextTable[[#This Row],[text]],CHAR(10)," "))))+1 - LEN(SUBSTITUTE(CLEAN(SUBSTITUTE(ProjTextTable[[#This Row],[text]],CHAR(10)," "))," ",""))</f>
        <v>339</v>
      </c>
      <c r="O425" t="s">
        <v>203</v>
      </c>
      <c r="P425" t="s">
        <v>742</v>
      </c>
    </row>
    <row r="426" spans="1:16" x14ac:dyDescent="0.4">
      <c r="A426">
        <f t="shared" si="6"/>
        <v>61</v>
      </c>
      <c r="B426" t="s">
        <v>355</v>
      </c>
      <c r="C426" t="s">
        <v>414</v>
      </c>
      <c r="D426" t="s">
        <v>198</v>
      </c>
      <c r="E426" t="s">
        <v>451</v>
      </c>
      <c r="F426" t="s">
        <v>743</v>
      </c>
      <c r="G426" t="s">
        <v>744</v>
      </c>
      <c r="H426" t="s">
        <v>745</v>
      </c>
      <c r="I426" t="s">
        <v>215</v>
      </c>
      <c r="J426" t="s">
        <v>178</v>
      </c>
      <c r="K426" s="30">
        <v>43032</v>
      </c>
      <c r="L426" s="8">
        <v>43028.861863425926</v>
      </c>
      <c r="M426" s="21">
        <f>LEN(ProjTextTable[[#This Row],[text]])</f>
        <v>2774</v>
      </c>
      <c r="N426" s="21">
        <f>LEN(TRIM(CLEAN(SUBSTITUTE(ProjTextTable[[#This Row],[text]],CHAR(10)," "))))+1 - LEN(SUBSTITUTE(CLEAN(SUBSTITUTE(ProjTextTable[[#This Row],[text]],CHAR(10)," "))," ",""))</f>
        <v>392</v>
      </c>
      <c r="O426" t="s">
        <v>267</v>
      </c>
      <c r="P426" t="s">
        <v>746</v>
      </c>
    </row>
    <row r="427" spans="1:16" x14ac:dyDescent="0.4">
      <c r="A427">
        <f t="shared" si="6"/>
        <v>61</v>
      </c>
      <c r="B427" t="s">
        <v>355</v>
      </c>
      <c r="C427" t="s">
        <v>414</v>
      </c>
      <c r="D427" t="s">
        <v>198</v>
      </c>
      <c r="E427" t="s">
        <v>451</v>
      </c>
      <c r="F427" t="s">
        <v>747</v>
      </c>
      <c r="G427" t="s">
        <v>748</v>
      </c>
      <c r="H427" t="s">
        <v>749</v>
      </c>
      <c r="I427" t="s">
        <v>215</v>
      </c>
      <c r="J427" t="s">
        <v>178</v>
      </c>
      <c r="K427" s="30">
        <v>43032</v>
      </c>
      <c r="L427" s="8">
        <v>43029.985185185185</v>
      </c>
      <c r="M427" s="21">
        <f>LEN(ProjTextTable[[#This Row],[text]])</f>
        <v>3648</v>
      </c>
      <c r="N427" s="21">
        <f>LEN(TRIM(CLEAN(SUBSTITUTE(ProjTextTable[[#This Row],[text]],CHAR(10)," "))))+1 - LEN(SUBSTITUTE(CLEAN(SUBSTITUTE(ProjTextTable[[#This Row],[text]],CHAR(10)," "))," ",""))</f>
        <v>547</v>
      </c>
      <c r="O427" t="s">
        <v>207</v>
      </c>
      <c r="P427" t="s">
        <v>750</v>
      </c>
    </row>
    <row r="428" spans="1:16" x14ac:dyDescent="0.4">
      <c r="A428">
        <f t="shared" si="6"/>
        <v>61</v>
      </c>
      <c r="B428" t="s">
        <v>355</v>
      </c>
      <c r="C428" t="s">
        <v>414</v>
      </c>
      <c r="D428" t="s">
        <v>200</v>
      </c>
      <c r="E428" t="s">
        <v>406</v>
      </c>
      <c r="F428" t="s">
        <v>13</v>
      </c>
      <c r="G428" t="s">
        <v>13</v>
      </c>
      <c r="H428" t="s">
        <v>13</v>
      </c>
      <c r="K428" s="30"/>
      <c r="L428" s="8">
        <v>42934.042766203704</v>
      </c>
      <c r="M428" s="21">
        <f>LEN(ProjTextTable[[#This Row],[text]])</f>
        <v>3482</v>
      </c>
      <c r="N428" s="21">
        <f>LEN(TRIM(CLEAN(SUBSTITUTE(ProjTextTable[[#This Row],[text]],CHAR(10)," "))))+1 - LEN(SUBSTITUTE(CLEAN(SUBSTITUTE(ProjTextTable[[#This Row],[text]],CHAR(10)," "))," ",""))</f>
        <v>489</v>
      </c>
      <c r="O428" t="s">
        <v>13</v>
      </c>
      <c r="P428" t="s">
        <v>751</v>
      </c>
    </row>
    <row r="429" spans="1:16" x14ac:dyDescent="0.4">
      <c r="A429">
        <f t="shared" si="6"/>
        <v>62</v>
      </c>
      <c r="B429" t="s">
        <v>356</v>
      </c>
      <c r="C429" t="s">
        <v>423</v>
      </c>
      <c r="D429" t="s">
        <v>209</v>
      </c>
      <c r="E429" t="s">
        <v>451</v>
      </c>
      <c r="F429" t="s">
        <v>616</v>
      </c>
      <c r="G429" t="s">
        <v>713</v>
      </c>
      <c r="H429" t="s">
        <v>264</v>
      </c>
      <c r="I429" t="s">
        <v>197</v>
      </c>
      <c r="J429" t="s">
        <v>733</v>
      </c>
      <c r="K429" s="30">
        <v>43031</v>
      </c>
      <c r="L429" s="8"/>
      <c r="M429" s="21">
        <f>LEN(ProjTextTable[[#This Row],[text]])</f>
        <v>4890</v>
      </c>
      <c r="N429" s="21">
        <f>LEN(TRIM(CLEAN(SUBSTITUTE(ProjTextTable[[#This Row],[text]],CHAR(10)," "))))+1 - LEN(SUBSTITUTE(CLEAN(SUBSTITUTE(ProjTextTable[[#This Row],[text]],CHAR(10)," "))," ",""))</f>
        <v>733</v>
      </c>
      <c r="O429" t="s">
        <v>263</v>
      </c>
      <c r="P429" t="s">
        <v>752</v>
      </c>
    </row>
    <row r="430" spans="1:16" x14ac:dyDescent="0.4">
      <c r="A430">
        <f t="shared" si="6"/>
        <v>62</v>
      </c>
      <c r="B430" t="s">
        <v>356</v>
      </c>
      <c r="C430" t="s">
        <v>423</v>
      </c>
      <c r="D430" t="s">
        <v>198</v>
      </c>
      <c r="E430" t="s">
        <v>451</v>
      </c>
      <c r="F430" t="s">
        <v>720</v>
      </c>
      <c r="G430" t="s">
        <v>721</v>
      </c>
      <c r="H430" t="s">
        <v>722</v>
      </c>
      <c r="I430" t="s">
        <v>215</v>
      </c>
      <c r="J430" t="s">
        <v>178</v>
      </c>
      <c r="K430" s="30">
        <v>43032</v>
      </c>
      <c r="L430" s="8">
        <v>43032.397743055553</v>
      </c>
      <c r="M430" s="21">
        <f>LEN(ProjTextTable[[#This Row],[text]])</f>
        <v>3674</v>
      </c>
      <c r="N430" s="21">
        <f>LEN(TRIM(CLEAN(SUBSTITUTE(ProjTextTable[[#This Row],[text]],CHAR(10)," "))))+1 - LEN(SUBSTITUTE(CLEAN(SUBSTITUTE(ProjTextTable[[#This Row],[text]],CHAR(10)," "))," ",""))</f>
        <v>555</v>
      </c>
      <c r="O430" t="s">
        <v>199</v>
      </c>
      <c r="P430" t="s">
        <v>753</v>
      </c>
    </row>
    <row r="431" spans="1:16" x14ac:dyDescent="0.4">
      <c r="A431">
        <f t="shared" si="6"/>
        <v>62</v>
      </c>
      <c r="B431" t="s">
        <v>356</v>
      </c>
      <c r="C431" t="s">
        <v>423</v>
      </c>
      <c r="D431" t="s">
        <v>198</v>
      </c>
      <c r="E431" t="s">
        <v>451</v>
      </c>
      <c r="F431" t="s">
        <v>724</v>
      </c>
      <c r="G431" t="s">
        <v>725</v>
      </c>
      <c r="H431" t="s">
        <v>726</v>
      </c>
      <c r="I431" t="s">
        <v>215</v>
      </c>
      <c r="J431" t="s">
        <v>178</v>
      </c>
      <c r="K431" s="30">
        <v>43032</v>
      </c>
      <c r="L431" s="8">
        <v>43026.400833333333</v>
      </c>
      <c r="M431" s="21">
        <f>LEN(ProjTextTable[[#This Row],[text]])</f>
        <v>2867</v>
      </c>
      <c r="N431" s="21">
        <f>LEN(TRIM(CLEAN(SUBSTITUTE(ProjTextTable[[#This Row],[text]],CHAR(10)," "))))+1 - LEN(SUBSTITUTE(CLEAN(SUBSTITUTE(ProjTextTable[[#This Row],[text]],CHAR(10)," "))," ",""))</f>
        <v>428</v>
      </c>
      <c r="O431" t="s">
        <v>202</v>
      </c>
      <c r="P431" t="s">
        <v>754</v>
      </c>
    </row>
    <row r="432" spans="1:16" x14ac:dyDescent="0.4">
      <c r="A432">
        <f t="shared" si="6"/>
        <v>62</v>
      </c>
      <c r="B432" t="s">
        <v>356</v>
      </c>
      <c r="C432" t="s">
        <v>423</v>
      </c>
      <c r="D432" t="s">
        <v>198</v>
      </c>
      <c r="E432" t="s">
        <v>451</v>
      </c>
      <c r="F432" t="s">
        <v>755</v>
      </c>
      <c r="G432" t="s">
        <v>756</v>
      </c>
      <c r="H432" t="s">
        <v>757</v>
      </c>
      <c r="I432" t="s">
        <v>215</v>
      </c>
      <c r="J432" t="s">
        <v>178</v>
      </c>
      <c r="K432" s="30">
        <v>43032</v>
      </c>
      <c r="L432" s="8">
        <v>43032.510775462964</v>
      </c>
      <c r="M432" s="21">
        <f>LEN(ProjTextTable[[#This Row],[text]])</f>
        <v>6678</v>
      </c>
      <c r="N432" s="21">
        <f>LEN(TRIM(CLEAN(SUBSTITUTE(ProjTextTable[[#This Row],[text]],CHAR(10)," "))))+1 - LEN(SUBSTITUTE(CLEAN(SUBSTITUTE(ProjTextTable[[#This Row],[text]],CHAR(10)," "))," ",""))</f>
        <v>1128</v>
      </c>
      <c r="O432" t="s">
        <v>203</v>
      </c>
      <c r="P432" t="s">
        <v>758</v>
      </c>
    </row>
    <row r="433" spans="1:16" x14ac:dyDescent="0.4">
      <c r="A433">
        <f t="shared" si="6"/>
        <v>62</v>
      </c>
      <c r="B433" t="s">
        <v>356</v>
      </c>
      <c r="C433" t="s">
        <v>423</v>
      </c>
      <c r="D433" t="s">
        <v>198</v>
      </c>
      <c r="E433" t="s">
        <v>451</v>
      </c>
      <c r="F433" t="s">
        <v>747</v>
      </c>
      <c r="G433" t="s">
        <v>748</v>
      </c>
      <c r="H433" t="s">
        <v>749</v>
      </c>
      <c r="I433" t="s">
        <v>215</v>
      </c>
      <c r="J433" t="s">
        <v>178</v>
      </c>
      <c r="K433" s="30">
        <v>43032</v>
      </c>
      <c r="L433" s="8">
        <v>43030.016840277778</v>
      </c>
      <c r="M433" s="21">
        <f>LEN(ProjTextTable[[#This Row],[text]])</f>
        <v>2387</v>
      </c>
      <c r="N433" s="21">
        <f>LEN(TRIM(CLEAN(SUBSTITUTE(ProjTextTable[[#This Row],[text]],CHAR(10)," "))))+1 - LEN(SUBSTITUTE(CLEAN(SUBSTITUTE(ProjTextTable[[#This Row],[text]],CHAR(10)," "))," ",""))</f>
        <v>347</v>
      </c>
      <c r="O433" t="s">
        <v>267</v>
      </c>
      <c r="P433" t="s">
        <v>759</v>
      </c>
    </row>
    <row r="434" spans="1:16" x14ac:dyDescent="0.4">
      <c r="A434">
        <f t="shared" si="6"/>
        <v>62</v>
      </c>
      <c r="B434" t="s">
        <v>356</v>
      </c>
      <c r="C434" t="s">
        <v>423</v>
      </c>
      <c r="D434" t="s">
        <v>198</v>
      </c>
      <c r="E434" t="s">
        <v>451</v>
      </c>
      <c r="F434" t="s">
        <v>760</v>
      </c>
      <c r="G434" t="s">
        <v>761</v>
      </c>
      <c r="H434" t="s">
        <v>762</v>
      </c>
      <c r="I434" t="s">
        <v>215</v>
      </c>
      <c r="J434" t="s">
        <v>178</v>
      </c>
      <c r="K434" s="30">
        <v>43032</v>
      </c>
      <c r="L434" s="8">
        <v>43028.956053240741</v>
      </c>
      <c r="M434" s="21">
        <f>LEN(ProjTextTable[[#This Row],[text]])</f>
        <v>1695</v>
      </c>
      <c r="N434" s="21">
        <f>LEN(TRIM(CLEAN(SUBSTITUTE(ProjTextTable[[#This Row],[text]],CHAR(10)," "))))+1 - LEN(SUBSTITUTE(CLEAN(SUBSTITUTE(ProjTextTable[[#This Row],[text]],CHAR(10)," "))," ",""))</f>
        <v>264</v>
      </c>
      <c r="O434" t="s">
        <v>199</v>
      </c>
      <c r="P434" t="s">
        <v>763</v>
      </c>
    </row>
    <row r="435" spans="1:16" x14ac:dyDescent="0.4">
      <c r="A435">
        <f t="shared" si="6"/>
        <v>62</v>
      </c>
      <c r="B435" t="s">
        <v>356</v>
      </c>
      <c r="C435" t="s">
        <v>423</v>
      </c>
      <c r="D435" t="s">
        <v>200</v>
      </c>
      <c r="E435" t="s">
        <v>422</v>
      </c>
      <c r="F435" t="s">
        <v>13</v>
      </c>
      <c r="G435" t="s">
        <v>13</v>
      </c>
      <c r="H435" t="s">
        <v>13</v>
      </c>
      <c r="K435" s="30"/>
      <c r="L435" s="8">
        <v>42934.04283564815</v>
      </c>
      <c r="M435" s="21">
        <f>LEN(ProjTextTable[[#This Row],[text]])</f>
        <v>3485</v>
      </c>
      <c r="N435" s="21">
        <f>LEN(TRIM(CLEAN(SUBSTITUTE(ProjTextTable[[#This Row],[text]],CHAR(10)," "))))+1 - LEN(SUBSTITUTE(CLEAN(SUBSTITUTE(ProjTextTable[[#This Row],[text]],CHAR(10)," "))," ",""))</f>
        <v>473</v>
      </c>
      <c r="O435" t="s">
        <v>13</v>
      </c>
      <c r="P435" t="s">
        <v>764</v>
      </c>
    </row>
    <row r="436" spans="1:16" x14ac:dyDescent="0.4">
      <c r="A436">
        <f t="shared" si="6"/>
        <v>63</v>
      </c>
      <c r="B436" t="s">
        <v>357</v>
      </c>
      <c r="C436" t="s">
        <v>429</v>
      </c>
      <c r="D436" t="s">
        <v>209</v>
      </c>
      <c r="E436" t="s">
        <v>451</v>
      </c>
      <c r="F436" t="s">
        <v>616</v>
      </c>
      <c r="G436" t="s">
        <v>713</v>
      </c>
      <c r="H436" t="s">
        <v>212</v>
      </c>
      <c r="I436" t="s">
        <v>201</v>
      </c>
      <c r="J436" t="s">
        <v>197</v>
      </c>
      <c r="K436" s="30">
        <v>43031</v>
      </c>
      <c r="L436" s="8"/>
      <c r="M436" s="21">
        <f>LEN(ProjTextTable[[#This Row],[text]])</f>
        <v>4547</v>
      </c>
      <c r="N436" s="21">
        <f>LEN(TRIM(CLEAN(SUBSTITUTE(ProjTextTable[[#This Row],[text]],CHAR(10)," "))))+1 - LEN(SUBSTITUTE(CLEAN(SUBSTITUTE(ProjTextTable[[#This Row],[text]],CHAR(10)," "))," ",""))</f>
        <v>673</v>
      </c>
      <c r="O436" t="s">
        <v>213</v>
      </c>
      <c r="P436" t="s">
        <v>765</v>
      </c>
    </row>
    <row r="437" spans="1:16" x14ac:dyDescent="0.4">
      <c r="A437">
        <f t="shared" si="6"/>
        <v>63</v>
      </c>
      <c r="B437" t="s">
        <v>357</v>
      </c>
      <c r="C437" t="s">
        <v>429</v>
      </c>
      <c r="D437" t="s">
        <v>198</v>
      </c>
      <c r="E437" t="s">
        <v>451</v>
      </c>
      <c r="F437" t="s">
        <v>716</v>
      </c>
      <c r="G437" t="s">
        <v>717</v>
      </c>
      <c r="H437" t="s">
        <v>718</v>
      </c>
      <c r="I437" t="s">
        <v>215</v>
      </c>
      <c r="J437" t="s">
        <v>178</v>
      </c>
      <c r="K437" s="30">
        <v>43032</v>
      </c>
      <c r="L437" s="8">
        <v>43031.584305555552</v>
      </c>
      <c r="M437" s="21">
        <f>LEN(ProjTextTable[[#This Row],[text]])</f>
        <v>2413</v>
      </c>
      <c r="N437" s="21">
        <f>LEN(TRIM(CLEAN(SUBSTITUTE(ProjTextTable[[#This Row],[text]],CHAR(10)," "))))+1 - LEN(SUBSTITUTE(CLEAN(SUBSTITUTE(ProjTextTable[[#This Row],[text]],CHAR(10)," "))," ",""))</f>
        <v>378</v>
      </c>
      <c r="O437" t="s">
        <v>202</v>
      </c>
      <c r="P437" t="s">
        <v>766</v>
      </c>
    </row>
    <row r="438" spans="1:16" x14ac:dyDescent="0.4">
      <c r="A438">
        <f t="shared" si="6"/>
        <v>63</v>
      </c>
      <c r="B438" t="s">
        <v>357</v>
      </c>
      <c r="C438" t="s">
        <v>429</v>
      </c>
      <c r="D438" t="s">
        <v>198</v>
      </c>
      <c r="E438" t="s">
        <v>451</v>
      </c>
      <c r="F438" t="s">
        <v>720</v>
      </c>
      <c r="G438" t="s">
        <v>721</v>
      </c>
      <c r="H438" t="s">
        <v>722</v>
      </c>
      <c r="I438" t="s">
        <v>215</v>
      </c>
      <c r="J438" t="s">
        <v>178</v>
      </c>
      <c r="K438" s="30">
        <v>43032</v>
      </c>
      <c r="L438" s="8">
        <v>43031.433321759258</v>
      </c>
      <c r="M438" s="21">
        <f>LEN(ProjTextTable[[#This Row],[text]])</f>
        <v>2325</v>
      </c>
      <c r="N438" s="21">
        <f>LEN(TRIM(CLEAN(SUBSTITUTE(ProjTextTable[[#This Row],[text]],CHAR(10)," "))))+1 - LEN(SUBSTITUTE(CLEAN(SUBSTITUTE(ProjTextTable[[#This Row],[text]],CHAR(10)," "))," ",""))</f>
        <v>359</v>
      </c>
      <c r="O438" t="s">
        <v>206</v>
      </c>
      <c r="P438" t="s">
        <v>767</v>
      </c>
    </row>
    <row r="439" spans="1:16" x14ac:dyDescent="0.4">
      <c r="A439">
        <f t="shared" si="6"/>
        <v>63</v>
      </c>
      <c r="B439" t="s">
        <v>357</v>
      </c>
      <c r="C439" t="s">
        <v>429</v>
      </c>
      <c r="D439" t="s">
        <v>198</v>
      </c>
      <c r="E439" t="s">
        <v>406</v>
      </c>
      <c r="F439" t="s">
        <v>728</v>
      </c>
      <c r="G439" t="s">
        <v>729</v>
      </c>
      <c r="H439" t="s">
        <v>730</v>
      </c>
      <c r="I439" t="s">
        <v>215</v>
      </c>
      <c r="J439" t="s">
        <v>178</v>
      </c>
      <c r="K439" s="30">
        <v>43032</v>
      </c>
      <c r="L439" s="8">
        <v>43018.886724537035</v>
      </c>
      <c r="M439" s="21">
        <f>LEN(ProjTextTable[[#This Row],[text]])</f>
        <v>1961</v>
      </c>
      <c r="N439" s="21">
        <f>LEN(TRIM(CLEAN(SUBSTITUTE(ProjTextTable[[#This Row],[text]],CHAR(10)," "))))+1 - LEN(SUBSTITUTE(CLEAN(SUBSTITUTE(ProjTextTable[[#This Row],[text]],CHAR(10)," "))," ",""))</f>
        <v>296</v>
      </c>
      <c r="O439" t="s">
        <v>203</v>
      </c>
      <c r="P439" t="s">
        <v>768</v>
      </c>
    </row>
    <row r="440" spans="1:16" x14ac:dyDescent="0.4">
      <c r="A440">
        <f t="shared" si="6"/>
        <v>63</v>
      </c>
      <c r="B440" t="s">
        <v>357</v>
      </c>
      <c r="C440" t="s">
        <v>429</v>
      </c>
      <c r="D440" t="s">
        <v>198</v>
      </c>
      <c r="E440" t="s">
        <v>451</v>
      </c>
      <c r="F440" t="s">
        <v>760</v>
      </c>
      <c r="G440" t="s">
        <v>761</v>
      </c>
      <c r="H440" t="s">
        <v>762</v>
      </c>
      <c r="I440" t="s">
        <v>215</v>
      </c>
      <c r="J440" t="s">
        <v>178</v>
      </c>
      <c r="K440" s="30">
        <v>43032</v>
      </c>
      <c r="L440" s="8">
        <v>43029.019606481481</v>
      </c>
      <c r="M440" s="21">
        <f>LEN(ProjTextTable[[#This Row],[text]])</f>
        <v>1910</v>
      </c>
      <c r="N440" s="21">
        <f>LEN(TRIM(CLEAN(SUBSTITUTE(ProjTextTable[[#This Row],[text]],CHAR(10)," "))))+1 - LEN(SUBSTITUTE(CLEAN(SUBSTITUTE(ProjTextTable[[#This Row],[text]],CHAR(10)," "))," ",""))</f>
        <v>279</v>
      </c>
      <c r="O440" t="s">
        <v>203</v>
      </c>
      <c r="P440" t="s">
        <v>769</v>
      </c>
    </row>
    <row r="441" spans="1:16" x14ac:dyDescent="0.4">
      <c r="A441">
        <f t="shared" si="6"/>
        <v>63</v>
      </c>
      <c r="B441" t="s">
        <v>357</v>
      </c>
      <c r="C441" t="s">
        <v>429</v>
      </c>
      <c r="D441" t="s">
        <v>200</v>
      </c>
      <c r="E441" t="s">
        <v>406</v>
      </c>
      <c r="F441" t="s">
        <v>13</v>
      </c>
      <c r="G441" t="s">
        <v>13</v>
      </c>
      <c r="H441" t="s">
        <v>13</v>
      </c>
      <c r="K441" s="30"/>
      <c r="L441" s="8">
        <v>42934.043171296296</v>
      </c>
      <c r="M441" s="21">
        <f>LEN(ProjTextTable[[#This Row],[text]])</f>
        <v>4358</v>
      </c>
      <c r="N441" s="21">
        <f>LEN(TRIM(CLEAN(SUBSTITUTE(ProjTextTable[[#This Row],[text]],CHAR(10)," "))))+1 - LEN(SUBSTITUTE(CLEAN(SUBSTITUTE(ProjTextTable[[#This Row],[text]],CHAR(10)," "))," ",""))</f>
        <v>666</v>
      </c>
      <c r="O441" t="s">
        <v>13</v>
      </c>
      <c r="P441" t="s">
        <v>770</v>
      </c>
    </row>
    <row r="442" spans="1:16" x14ac:dyDescent="0.4">
      <c r="A442">
        <f t="shared" si="6"/>
        <v>64</v>
      </c>
      <c r="B442" t="s">
        <v>358</v>
      </c>
      <c r="C442" t="s">
        <v>434</v>
      </c>
      <c r="D442" t="s">
        <v>209</v>
      </c>
      <c r="E442" t="s">
        <v>451</v>
      </c>
      <c r="F442" t="s">
        <v>616</v>
      </c>
      <c r="G442" t="s">
        <v>713</v>
      </c>
      <c r="H442" t="s">
        <v>259</v>
      </c>
      <c r="I442" t="s">
        <v>95</v>
      </c>
      <c r="J442" t="s">
        <v>95</v>
      </c>
      <c r="K442" s="30">
        <v>43031</v>
      </c>
      <c r="L442" s="8"/>
      <c r="M442" s="21">
        <f>LEN(ProjTextTable[[#This Row],[text]])</f>
        <v>3611</v>
      </c>
      <c r="N442" s="21">
        <f>LEN(TRIM(CLEAN(SUBSTITUTE(ProjTextTable[[#This Row],[text]],CHAR(10)," "))))+1 - LEN(SUBSTITUTE(CLEAN(SUBSTITUTE(ProjTextTable[[#This Row],[text]],CHAR(10)," "))," ",""))</f>
        <v>527</v>
      </c>
      <c r="O442" t="s">
        <v>257</v>
      </c>
      <c r="P442" t="s">
        <v>771</v>
      </c>
    </row>
    <row r="443" spans="1:16" x14ac:dyDescent="0.4">
      <c r="A443">
        <f t="shared" si="6"/>
        <v>64</v>
      </c>
      <c r="B443" t="s">
        <v>358</v>
      </c>
      <c r="C443" t="s">
        <v>434</v>
      </c>
      <c r="D443" t="s">
        <v>198</v>
      </c>
      <c r="E443" t="s">
        <v>451</v>
      </c>
      <c r="F443" t="s">
        <v>743</v>
      </c>
      <c r="G443" t="s">
        <v>744</v>
      </c>
      <c r="H443" t="s">
        <v>745</v>
      </c>
      <c r="I443" t="s">
        <v>215</v>
      </c>
      <c r="J443" t="s">
        <v>178</v>
      </c>
      <c r="K443" s="30">
        <v>43032</v>
      </c>
      <c r="L443" s="8">
        <v>43028.861875000002</v>
      </c>
      <c r="M443" s="21">
        <f>LEN(ProjTextTable[[#This Row],[text]])</f>
        <v>2647</v>
      </c>
      <c r="N443" s="21">
        <f>LEN(TRIM(CLEAN(SUBSTITUTE(ProjTextTable[[#This Row],[text]],CHAR(10)," "))))+1 - LEN(SUBSTITUTE(CLEAN(SUBSTITUTE(ProjTextTable[[#This Row],[text]],CHAR(10)," "))," ",""))</f>
        <v>399</v>
      </c>
      <c r="O443" t="s">
        <v>267</v>
      </c>
      <c r="P443" t="s">
        <v>772</v>
      </c>
    </row>
    <row r="444" spans="1:16" x14ac:dyDescent="0.4">
      <c r="A444">
        <f t="shared" si="6"/>
        <v>64</v>
      </c>
      <c r="B444" t="s">
        <v>358</v>
      </c>
      <c r="C444" t="s">
        <v>434</v>
      </c>
      <c r="D444" t="s">
        <v>198</v>
      </c>
      <c r="E444" t="s">
        <v>451</v>
      </c>
      <c r="F444" t="s">
        <v>720</v>
      </c>
      <c r="G444" t="s">
        <v>721</v>
      </c>
      <c r="H444" t="s">
        <v>722</v>
      </c>
      <c r="I444" t="s">
        <v>215</v>
      </c>
      <c r="J444" t="s">
        <v>178</v>
      </c>
      <c r="K444" s="30">
        <v>43032</v>
      </c>
      <c r="L444" s="8">
        <v>43031.376006944447</v>
      </c>
      <c r="M444" s="21">
        <f>LEN(ProjTextTable[[#This Row],[text]])</f>
        <v>2191</v>
      </c>
      <c r="N444" s="21">
        <f>LEN(TRIM(CLEAN(SUBSTITUTE(ProjTextTable[[#This Row],[text]],CHAR(10)," "))))+1 - LEN(SUBSTITUTE(CLEAN(SUBSTITUTE(ProjTextTable[[#This Row],[text]],CHAR(10)," "))," ",""))</f>
        <v>350</v>
      </c>
      <c r="O444" t="s">
        <v>267</v>
      </c>
      <c r="P444" t="s">
        <v>773</v>
      </c>
    </row>
    <row r="445" spans="1:16" x14ac:dyDescent="0.4">
      <c r="A445">
        <f t="shared" si="6"/>
        <v>64</v>
      </c>
      <c r="B445" t="s">
        <v>358</v>
      </c>
      <c r="C445" t="s">
        <v>434</v>
      </c>
      <c r="D445" t="s">
        <v>198</v>
      </c>
      <c r="E445" t="s">
        <v>451</v>
      </c>
      <c r="F445" t="s">
        <v>724</v>
      </c>
      <c r="G445" t="s">
        <v>725</v>
      </c>
      <c r="H445" t="s">
        <v>726</v>
      </c>
      <c r="I445" t="s">
        <v>215</v>
      </c>
      <c r="J445" t="s">
        <v>178</v>
      </c>
      <c r="K445" s="30">
        <v>43032</v>
      </c>
      <c r="L445" s="8">
        <v>43030.878263888888</v>
      </c>
      <c r="M445" s="21">
        <f>LEN(ProjTextTable[[#This Row],[text]])</f>
        <v>1995</v>
      </c>
      <c r="N445" s="21">
        <f>LEN(TRIM(CLEAN(SUBSTITUTE(ProjTextTable[[#This Row],[text]],CHAR(10)," "))))+1 - LEN(SUBSTITUTE(CLEAN(SUBSTITUTE(ProjTextTable[[#This Row],[text]],CHAR(10)," "))," ",""))</f>
        <v>300</v>
      </c>
      <c r="O445" t="s">
        <v>202</v>
      </c>
      <c r="P445" t="s">
        <v>774</v>
      </c>
    </row>
    <row r="446" spans="1:16" x14ac:dyDescent="0.4">
      <c r="A446">
        <f t="shared" si="6"/>
        <v>64</v>
      </c>
      <c r="B446" t="s">
        <v>358</v>
      </c>
      <c r="C446" t="s">
        <v>434</v>
      </c>
      <c r="D446" t="s">
        <v>198</v>
      </c>
      <c r="E446" t="s">
        <v>406</v>
      </c>
      <c r="F446" t="s">
        <v>728</v>
      </c>
      <c r="G446" t="s">
        <v>729</v>
      </c>
      <c r="H446" t="s">
        <v>730</v>
      </c>
      <c r="I446" t="s">
        <v>215</v>
      </c>
      <c r="J446" t="s">
        <v>178</v>
      </c>
      <c r="K446" s="30">
        <v>43032</v>
      </c>
      <c r="L446" s="8">
        <v>43023.931284722225</v>
      </c>
      <c r="M446" s="21">
        <f>LEN(ProjTextTable[[#This Row],[text]])</f>
        <v>2561</v>
      </c>
      <c r="N446" s="21">
        <f>LEN(TRIM(CLEAN(SUBSTITUTE(ProjTextTable[[#This Row],[text]],CHAR(10)," "))))+1 - LEN(SUBSTITUTE(CLEAN(SUBSTITUTE(ProjTextTable[[#This Row],[text]],CHAR(10)," "))," ",""))</f>
        <v>401</v>
      </c>
      <c r="O446" t="s">
        <v>206</v>
      </c>
      <c r="P446" t="s">
        <v>775</v>
      </c>
    </row>
    <row r="447" spans="1:16" x14ac:dyDescent="0.4">
      <c r="A447">
        <f t="shared" si="6"/>
        <v>64</v>
      </c>
      <c r="B447" t="s">
        <v>358</v>
      </c>
      <c r="C447" t="s">
        <v>434</v>
      </c>
      <c r="D447" t="s">
        <v>200</v>
      </c>
      <c r="E447" t="s">
        <v>406</v>
      </c>
      <c r="F447" t="s">
        <v>13</v>
      </c>
      <c r="G447" t="s">
        <v>13</v>
      </c>
      <c r="H447" t="s">
        <v>13</v>
      </c>
      <c r="K447" s="30"/>
      <c r="L447" s="8">
        <v>42934.043275462966</v>
      </c>
      <c r="M447" s="21">
        <f>LEN(ProjTextTable[[#This Row],[text]])</f>
        <v>3506</v>
      </c>
      <c r="N447" s="21">
        <f>LEN(TRIM(CLEAN(SUBSTITUTE(ProjTextTable[[#This Row],[text]],CHAR(10)," "))))+1 - LEN(SUBSTITUTE(CLEAN(SUBSTITUTE(ProjTextTable[[#This Row],[text]],CHAR(10)," "))," ",""))</f>
        <v>480</v>
      </c>
      <c r="O447" t="s">
        <v>13</v>
      </c>
      <c r="P447" t="s">
        <v>776</v>
      </c>
    </row>
    <row r="448" spans="1:16" x14ac:dyDescent="0.4">
      <c r="A448">
        <f t="shared" si="6"/>
        <v>65</v>
      </c>
      <c r="B448" t="s">
        <v>359</v>
      </c>
      <c r="C448" t="s">
        <v>439</v>
      </c>
      <c r="D448" t="s">
        <v>209</v>
      </c>
      <c r="E448" t="s">
        <v>451</v>
      </c>
      <c r="F448" t="s">
        <v>616</v>
      </c>
      <c r="G448" t="s">
        <v>713</v>
      </c>
      <c r="H448" t="s">
        <v>212</v>
      </c>
      <c r="I448" t="s">
        <v>201</v>
      </c>
      <c r="J448" t="s">
        <v>777</v>
      </c>
      <c r="K448" s="30">
        <v>43031</v>
      </c>
      <c r="L448" s="8"/>
      <c r="M448" s="21">
        <f>LEN(ProjTextTable[[#This Row],[text]])</f>
        <v>3363</v>
      </c>
      <c r="N448" s="21">
        <f>LEN(TRIM(CLEAN(SUBSTITUTE(ProjTextTable[[#This Row],[text]],CHAR(10)," "))))+1 - LEN(SUBSTITUTE(CLEAN(SUBSTITUTE(ProjTextTable[[#This Row],[text]],CHAR(10)," "))," ",""))</f>
        <v>509</v>
      </c>
      <c r="O448" t="s">
        <v>213</v>
      </c>
      <c r="P448" t="s">
        <v>778</v>
      </c>
    </row>
    <row r="449" spans="1:16" x14ac:dyDescent="0.4">
      <c r="A449">
        <f t="shared" si="6"/>
        <v>65</v>
      </c>
      <c r="B449" t="s">
        <v>359</v>
      </c>
      <c r="C449" t="s">
        <v>439</v>
      </c>
      <c r="D449" t="s">
        <v>198</v>
      </c>
      <c r="E449" t="s">
        <v>451</v>
      </c>
      <c r="F449" t="s">
        <v>779</v>
      </c>
      <c r="G449" t="s">
        <v>780</v>
      </c>
      <c r="H449" t="s">
        <v>781</v>
      </c>
      <c r="I449" t="s">
        <v>215</v>
      </c>
      <c r="J449" t="s">
        <v>178</v>
      </c>
      <c r="K449" s="30">
        <v>43032</v>
      </c>
      <c r="L449" s="8">
        <v>43030.868946759256</v>
      </c>
      <c r="M449" s="21">
        <f>LEN(ProjTextTable[[#This Row],[text]])</f>
        <v>3913</v>
      </c>
      <c r="N449" s="21">
        <f>LEN(TRIM(CLEAN(SUBSTITUTE(ProjTextTable[[#This Row],[text]],CHAR(10)," "))))+1 - LEN(SUBSTITUTE(CLEAN(SUBSTITUTE(ProjTextTable[[#This Row],[text]],CHAR(10)," "))," ",""))</f>
        <v>608</v>
      </c>
      <c r="O449" t="s">
        <v>203</v>
      </c>
      <c r="P449" t="s">
        <v>782</v>
      </c>
    </row>
    <row r="450" spans="1:16" x14ac:dyDescent="0.4">
      <c r="A450">
        <f t="shared" ref="A450:A513" si="7">A449+(B450&lt;&gt;B449)</f>
        <v>65</v>
      </c>
      <c r="B450" t="s">
        <v>359</v>
      </c>
      <c r="C450" t="s">
        <v>439</v>
      </c>
      <c r="D450" t="s">
        <v>198</v>
      </c>
      <c r="E450" t="s">
        <v>451</v>
      </c>
      <c r="F450" t="s">
        <v>783</v>
      </c>
      <c r="G450" t="s">
        <v>784</v>
      </c>
      <c r="H450" t="s">
        <v>785</v>
      </c>
      <c r="I450" t="s">
        <v>215</v>
      </c>
      <c r="J450" t="s">
        <v>178</v>
      </c>
      <c r="K450" s="30">
        <v>43032</v>
      </c>
      <c r="L450" s="8">
        <v>43027.621539351851</v>
      </c>
      <c r="M450" s="21">
        <f>LEN(ProjTextTable[[#This Row],[text]])</f>
        <v>2023</v>
      </c>
      <c r="N450" s="21">
        <f>LEN(TRIM(CLEAN(SUBSTITUTE(ProjTextTable[[#This Row],[text]],CHAR(10)," "))))+1 - LEN(SUBSTITUTE(CLEAN(SUBSTITUTE(ProjTextTable[[#This Row],[text]],CHAR(10)," "))," ",""))</f>
        <v>292</v>
      </c>
      <c r="O450" t="s">
        <v>203</v>
      </c>
      <c r="P450" t="s">
        <v>786</v>
      </c>
    </row>
    <row r="451" spans="1:16" x14ac:dyDescent="0.4">
      <c r="A451">
        <f t="shared" si="7"/>
        <v>65</v>
      </c>
      <c r="B451" t="s">
        <v>359</v>
      </c>
      <c r="C451" t="s">
        <v>439</v>
      </c>
      <c r="D451" t="s">
        <v>198</v>
      </c>
      <c r="E451" t="s">
        <v>451</v>
      </c>
      <c r="F451" t="s">
        <v>755</v>
      </c>
      <c r="G451" t="s">
        <v>756</v>
      </c>
      <c r="H451" t="s">
        <v>757</v>
      </c>
      <c r="I451" t="s">
        <v>215</v>
      </c>
      <c r="J451" t="s">
        <v>178</v>
      </c>
      <c r="K451" s="30">
        <v>43032</v>
      </c>
      <c r="L451" s="8">
        <v>43032.51840277778</v>
      </c>
      <c r="M451" s="21">
        <f>LEN(ProjTextTable[[#This Row],[text]])</f>
        <v>6091</v>
      </c>
      <c r="N451" s="21">
        <f>LEN(TRIM(CLEAN(SUBSTITUTE(ProjTextTable[[#This Row],[text]],CHAR(10)," "))))+1 - LEN(SUBSTITUTE(CLEAN(SUBSTITUTE(ProjTextTable[[#This Row],[text]],CHAR(10)," "))," ",""))</f>
        <v>1005</v>
      </c>
      <c r="O451" t="s">
        <v>203</v>
      </c>
      <c r="P451" t="s">
        <v>787</v>
      </c>
    </row>
    <row r="452" spans="1:16" x14ac:dyDescent="0.4">
      <c r="A452">
        <f t="shared" si="7"/>
        <v>65</v>
      </c>
      <c r="B452" t="s">
        <v>359</v>
      </c>
      <c r="C452" t="s">
        <v>439</v>
      </c>
      <c r="D452" t="s">
        <v>198</v>
      </c>
      <c r="E452" t="s">
        <v>451</v>
      </c>
      <c r="F452" t="s">
        <v>788</v>
      </c>
      <c r="G452" t="s">
        <v>789</v>
      </c>
      <c r="H452" t="s">
        <v>790</v>
      </c>
      <c r="I452" t="s">
        <v>215</v>
      </c>
      <c r="J452" t="s">
        <v>178</v>
      </c>
      <c r="K452" s="30">
        <v>43032</v>
      </c>
      <c r="L452" s="8">
        <v>43026.70616898148</v>
      </c>
      <c r="M452" s="21">
        <f>LEN(ProjTextTable[[#This Row],[text]])</f>
        <v>2375</v>
      </c>
      <c r="N452" s="21">
        <f>LEN(TRIM(CLEAN(SUBSTITUTE(ProjTextTable[[#This Row],[text]],CHAR(10)," "))))+1 - LEN(SUBSTITUTE(CLEAN(SUBSTITUTE(ProjTextTable[[#This Row],[text]],CHAR(10)," "))," ",""))</f>
        <v>373</v>
      </c>
      <c r="O452" t="s">
        <v>199</v>
      </c>
      <c r="P452" t="s">
        <v>791</v>
      </c>
    </row>
    <row r="453" spans="1:16" x14ac:dyDescent="0.4">
      <c r="A453">
        <f t="shared" si="7"/>
        <v>65</v>
      </c>
      <c r="B453" t="s">
        <v>359</v>
      </c>
      <c r="C453" t="s">
        <v>439</v>
      </c>
      <c r="D453" t="s">
        <v>200</v>
      </c>
      <c r="E453" t="s">
        <v>422</v>
      </c>
      <c r="F453" t="s">
        <v>13</v>
      </c>
      <c r="G453" t="s">
        <v>13</v>
      </c>
      <c r="H453" t="s">
        <v>13</v>
      </c>
      <c r="K453" s="30"/>
      <c r="L453" s="8">
        <v>42935.042743055557</v>
      </c>
      <c r="M453" s="21">
        <f>LEN(ProjTextTable[[#This Row],[text]])</f>
        <v>4068</v>
      </c>
      <c r="N453" s="21">
        <f>LEN(TRIM(CLEAN(SUBSTITUTE(ProjTextTable[[#This Row],[text]],CHAR(10)," "))))+1 - LEN(SUBSTITUTE(CLEAN(SUBSTITUTE(ProjTextTable[[#This Row],[text]],CHAR(10)," "))," ",""))</f>
        <v>585</v>
      </c>
      <c r="O453" t="s">
        <v>13</v>
      </c>
      <c r="P453" t="s">
        <v>792</v>
      </c>
    </row>
    <row r="454" spans="1:16" x14ac:dyDescent="0.4">
      <c r="A454">
        <f t="shared" si="7"/>
        <v>66</v>
      </c>
      <c r="B454" t="s">
        <v>360</v>
      </c>
      <c r="C454" t="s">
        <v>445</v>
      </c>
      <c r="D454" t="s">
        <v>209</v>
      </c>
      <c r="E454" t="s">
        <v>451</v>
      </c>
      <c r="F454" t="s">
        <v>616</v>
      </c>
      <c r="G454" t="s">
        <v>713</v>
      </c>
      <c r="H454" t="s">
        <v>212</v>
      </c>
      <c r="I454" t="s">
        <v>201</v>
      </c>
      <c r="J454" t="s">
        <v>268</v>
      </c>
      <c r="K454" s="30">
        <v>43031</v>
      </c>
      <c r="L454" s="8"/>
      <c r="M454" s="21">
        <f>LEN(ProjTextTable[[#This Row],[text]])</f>
        <v>4027</v>
      </c>
      <c r="N454" s="21">
        <f>LEN(TRIM(CLEAN(SUBSTITUTE(ProjTextTable[[#This Row],[text]],CHAR(10)," "))))+1 - LEN(SUBSTITUTE(CLEAN(SUBSTITUTE(ProjTextTable[[#This Row],[text]],CHAR(10)," "))," ",""))</f>
        <v>611</v>
      </c>
      <c r="O454" t="s">
        <v>213</v>
      </c>
      <c r="P454" t="s">
        <v>793</v>
      </c>
    </row>
    <row r="455" spans="1:16" x14ac:dyDescent="0.4">
      <c r="A455">
        <f t="shared" si="7"/>
        <v>66</v>
      </c>
      <c r="B455" t="s">
        <v>360</v>
      </c>
      <c r="C455" t="s">
        <v>445</v>
      </c>
      <c r="D455" t="s">
        <v>198</v>
      </c>
      <c r="E455" t="s">
        <v>451</v>
      </c>
      <c r="F455" t="s">
        <v>743</v>
      </c>
      <c r="G455" t="s">
        <v>744</v>
      </c>
      <c r="H455" t="s">
        <v>745</v>
      </c>
      <c r="I455" t="s">
        <v>215</v>
      </c>
      <c r="J455" t="s">
        <v>178</v>
      </c>
      <c r="K455" s="30">
        <v>43032</v>
      </c>
      <c r="L455" s="8">
        <v>43028.861875000002</v>
      </c>
      <c r="M455" s="21">
        <f>LEN(ProjTextTable[[#This Row],[text]])</f>
        <v>2572</v>
      </c>
      <c r="N455" s="21">
        <f>LEN(TRIM(CLEAN(SUBSTITUTE(ProjTextTable[[#This Row],[text]],CHAR(10)," "))))+1 - LEN(SUBSTITUTE(CLEAN(SUBSTITUTE(ProjTextTable[[#This Row],[text]],CHAR(10)," "))," ",""))</f>
        <v>393</v>
      </c>
      <c r="O455" t="s">
        <v>203</v>
      </c>
      <c r="P455" t="s">
        <v>794</v>
      </c>
    </row>
    <row r="456" spans="1:16" x14ac:dyDescent="0.4">
      <c r="A456">
        <f t="shared" si="7"/>
        <v>66</v>
      </c>
      <c r="B456" t="s">
        <v>360</v>
      </c>
      <c r="C456" t="s">
        <v>445</v>
      </c>
      <c r="D456" t="s">
        <v>198</v>
      </c>
      <c r="E456" t="s">
        <v>422</v>
      </c>
      <c r="F456" t="s">
        <v>728</v>
      </c>
      <c r="G456" t="s">
        <v>729</v>
      </c>
      <c r="H456" t="s">
        <v>730</v>
      </c>
      <c r="I456" t="s">
        <v>215</v>
      </c>
      <c r="J456" t="s">
        <v>178</v>
      </c>
      <c r="K456" s="30">
        <v>43032</v>
      </c>
      <c r="L456" s="8">
        <v>43017.899826388886</v>
      </c>
      <c r="M456" s="21">
        <f>LEN(ProjTextTable[[#This Row],[text]])</f>
        <v>3376</v>
      </c>
      <c r="N456" s="21">
        <f>LEN(TRIM(CLEAN(SUBSTITUTE(ProjTextTable[[#This Row],[text]],CHAR(10)," "))))+1 - LEN(SUBSTITUTE(CLEAN(SUBSTITUTE(ProjTextTable[[#This Row],[text]],CHAR(10)," "))," ",""))</f>
        <v>539</v>
      </c>
      <c r="O456" t="s">
        <v>203</v>
      </c>
      <c r="P456" t="s">
        <v>795</v>
      </c>
    </row>
    <row r="457" spans="1:16" x14ac:dyDescent="0.4">
      <c r="A457">
        <f t="shared" si="7"/>
        <v>66</v>
      </c>
      <c r="B457" t="s">
        <v>360</v>
      </c>
      <c r="C457" t="s">
        <v>445</v>
      </c>
      <c r="D457" t="s">
        <v>198</v>
      </c>
      <c r="E457" t="s">
        <v>451</v>
      </c>
      <c r="F457" t="s">
        <v>755</v>
      </c>
      <c r="G457" t="s">
        <v>756</v>
      </c>
      <c r="H457" t="s">
        <v>757</v>
      </c>
      <c r="I457" t="s">
        <v>215</v>
      </c>
      <c r="J457" t="s">
        <v>178</v>
      </c>
      <c r="K457" s="30">
        <v>43032</v>
      </c>
      <c r="L457" s="8">
        <v>43032.515555555554</v>
      </c>
      <c r="M457" s="21">
        <f>LEN(ProjTextTable[[#This Row],[text]])</f>
        <v>5884</v>
      </c>
      <c r="N457" s="21">
        <f>LEN(TRIM(CLEAN(SUBSTITUTE(ProjTextTable[[#This Row],[text]],CHAR(10)," "))))+1 - LEN(SUBSTITUTE(CLEAN(SUBSTITUTE(ProjTextTable[[#This Row],[text]],CHAR(10)," "))," ",""))</f>
        <v>993</v>
      </c>
      <c r="O457" t="s">
        <v>203</v>
      </c>
      <c r="P457" t="s">
        <v>796</v>
      </c>
    </row>
    <row r="458" spans="1:16" x14ac:dyDescent="0.4">
      <c r="A458">
        <f t="shared" si="7"/>
        <v>66</v>
      </c>
      <c r="B458" t="s">
        <v>360</v>
      </c>
      <c r="C458" t="s">
        <v>445</v>
      </c>
      <c r="D458" t="s">
        <v>198</v>
      </c>
      <c r="E458" t="s">
        <v>451</v>
      </c>
      <c r="F458" t="s">
        <v>797</v>
      </c>
      <c r="G458" t="s">
        <v>798</v>
      </c>
      <c r="H458" t="s">
        <v>799</v>
      </c>
      <c r="I458" t="s">
        <v>215</v>
      </c>
      <c r="J458" t="s">
        <v>178</v>
      </c>
      <c r="K458" s="30">
        <v>43032</v>
      </c>
      <c r="L458" s="8">
        <v>43030.115324074075</v>
      </c>
      <c r="M458" s="21">
        <f>LEN(ProjTextTable[[#This Row],[text]])</f>
        <v>2904</v>
      </c>
      <c r="N458" s="21">
        <f>LEN(TRIM(CLEAN(SUBSTITUTE(ProjTextTable[[#This Row],[text]],CHAR(10)," "))))+1 - LEN(SUBSTITUTE(CLEAN(SUBSTITUTE(ProjTextTable[[#This Row],[text]],CHAR(10)," "))," ",""))</f>
        <v>453</v>
      </c>
      <c r="O458" t="s">
        <v>267</v>
      </c>
      <c r="P458" t="s">
        <v>800</v>
      </c>
    </row>
    <row r="459" spans="1:16" x14ac:dyDescent="0.4">
      <c r="A459">
        <f t="shared" si="7"/>
        <v>67</v>
      </c>
      <c r="B459" t="s">
        <v>361</v>
      </c>
      <c r="C459" t="s">
        <v>452</v>
      </c>
      <c r="D459" t="s">
        <v>209</v>
      </c>
      <c r="E459" t="s">
        <v>451</v>
      </c>
      <c r="F459" t="s">
        <v>616</v>
      </c>
      <c r="G459" t="s">
        <v>713</v>
      </c>
      <c r="H459" t="s">
        <v>212</v>
      </c>
      <c r="I459" t="s">
        <v>201</v>
      </c>
      <c r="J459" t="s">
        <v>269</v>
      </c>
      <c r="K459" s="30">
        <v>43031</v>
      </c>
      <c r="L459" s="8"/>
      <c r="M459" s="21">
        <f>LEN(ProjTextTable[[#This Row],[text]])</f>
        <v>3492</v>
      </c>
      <c r="N459" s="21">
        <f>LEN(TRIM(CLEAN(SUBSTITUTE(ProjTextTable[[#This Row],[text]],CHAR(10)," "))))+1 - LEN(SUBSTITUTE(CLEAN(SUBSTITUTE(ProjTextTable[[#This Row],[text]],CHAR(10)," "))," ",""))</f>
        <v>501</v>
      </c>
      <c r="O459" t="s">
        <v>213</v>
      </c>
      <c r="P459" t="s">
        <v>801</v>
      </c>
    </row>
    <row r="460" spans="1:16" x14ac:dyDescent="0.4">
      <c r="A460">
        <f t="shared" si="7"/>
        <v>67</v>
      </c>
      <c r="B460" t="s">
        <v>361</v>
      </c>
      <c r="C460" t="s">
        <v>452</v>
      </c>
      <c r="D460" t="s">
        <v>198</v>
      </c>
      <c r="E460" t="s">
        <v>451</v>
      </c>
      <c r="F460" t="s">
        <v>797</v>
      </c>
      <c r="G460" t="s">
        <v>798</v>
      </c>
      <c r="H460" t="s">
        <v>799</v>
      </c>
      <c r="I460" t="s">
        <v>215</v>
      </c>
      <c r="J460" t="s">
        <v>178</v>
      </c>
      <c r="K460" s="30">
        <v>43032</v>
      </c>
      <c r="L460" s="8">
        <v>43030.723078703704</v>
      </c>
      <c r="M460" s="21">
        <f>LEN(ProjTextTable[[#This Row],[text]])</f>
        <v>2678</v>
      </c>
      <c r="N460" s="21">
        <f>LEN(TRIM(CLEAN(SUBSTITUTE(ProjTextTable[[#This Row],[text]],CHAR(10)," "))))+1 - LEN(SUBSTITUTE(CLEAN(SUBSTITUTE(ProjTextTable[[#This Row],[text]],CHAR(10)," "))," ",""))</f>
        <v>407</v>
      </c>
      <c r="O460" t="s">
        <v>203</v>
      </c>
      <c r="P460" t="s">
        <v>802</v>
      </c>
    </row>
    <row r="461" spans="1:16" x14ac:dyDescent="0.4">
      <c r="A461">
        <f t="shared" si="7"/>
        <v>67</v>
      </c>
      <c r="B461" t="s">
        <v>361</v>
      </c>
      <c r="C461" t="s">
        <v>452</v>
      </c>
      <c r="D461" t="s">
        <v>198</v>
      </c>
      <c r="E461" t="s">
        <v>451</v>
      </c>
      <c r="F461" t="s">
        <v>747</v>
      </c>
      <c r="G461" t="s">
        <v>748</v>
      </c>
      <c r="H461" t="s">
        <v>749</v>
      </c>
      <c r="I461" t="s">
        <v>215</v>
      </c>
      <c r="J461" t="s">
        <v>178</v>
      </c>
      <c r="K461" s="30">
        <v>43032</v>
      </c>
      <c r="L461" s="8">
        <v>43030.031655092593</v>
      </c>
      <c r="M461" s="21">
        <f>LEN(ProjTextTable[[#This Row],[text]])</f>
        <v>2970</v>
      </c>
      <c r="N461" s="21">
        <f>LEN(TRIM(CLEAN(SUBSTITUTE(ProjTextTable[[#This Row],[text]],CHAR(10)," "))))+1 - LEN(SUBSTITUTE(CLEAN(SUBSTITUTE(ProjTextTable[[#This Row],[text]],CHAR(10)," "))," ",""))</f>
        <v>441</v>
      </c>
      <c r="O461" t="s">
        <v>203</v>
      </c>
      <c r="P461" t="s">
        <v>803</v>
      </c>
    </row>
    <row r="462" spans="1:16" x14ac:dyDescent="0.4">
      <c r="A462">
        <f t="shared" si="7"/>
        <v>67</v>
      </c>
      <c r="B462" t="s">
        <v>361</v>
      </c>
      <c r="C462" t="s">
        <v>452</v>
      </c>
      <c r="D462" t="s">
        <v>198</v>
      </c>
      <c r="E462" t="s">
        <v>451</v>
      </c>
      <c r="F462" t="s">
        <v>760</v>
      </c>
      <c r="G462" t="s">
        <v>761</v>
      </c>
      <c r="H462" t="s">
        <v>762</v>
      </c>
      <c r="I462" t="s">
        <v>215</v>
      </c>
      <c r="J462" t="s">
        <v>178</v>
      </c>
      <c r="K462" s="30">
        <v>43032</v>
      </c>
      <c r="L462" s="8">
        <v>43029.774409722224</v>
      </c>
      <c r="M462" s="21">
        <f>LEN(ProjTextTable[[#This Row],[text]])</f>
        <v>1606</v>
      </c>
      <c r="N462" s="21">
        <f>LEN(TRIM(CLEAN(SUBSTITUTE(ProjTextTable[[#This Row],[text]],CHAR(10)," "))))+1 - LEN(SUBSTITUTE(CLEAN(SUBSTITUTE(ProjTextTable[[#This Row],[text]],CHAR(10)," "))," ",""))</f>
        <v>239</v>
      </c>
      <c r="O462" t="s">
        <v>199</v>
      </c>
      <c r="P462" t="s">
        <v>804</v>
      </c>
    </row>
    <row r="463" spans="1:16" x14ac:dyDescent="0.4">
      <c r="A463">
        <f t="shared" si="7"/>
        <v>67</v>
      </c>
      <c r="B463" t="s">
        <v>361</v>
      </c>
      <c r="C463" t="s">
        <v>452</v>
      </c>
      <c r="D463" t="s">
        <v>198</v>
      </c>
      <c r="E463" t="s">
        <v>451</v>
      </c>
      <c r="F463" t="s">
        <v>788</v>
      </c>
      <c r="G463" t="s">
        <v>789</v>
      </c>
      <c r="H463" t="s">
        <v>790</v>
      </c>
      <c r="I463" t="s">
        <v>215</v>
      </c>
      <c r="J463" t="s">
        <v>178</v>
      </c>
      <c r="K463" s="30">
        <v>43032</v>
      </c>
      <c r="L463" s="8">
        <v>43027.338993055557</v>
      </c>
      <c r="M463" s="21">
        <f>LEN(ProjTextTable[[#This Row],[text]])</f>
        <v>3261</v>
      </c>
      <c r="N463" s="21">
        <f>LEN(TRIM(CLEAN(SUBSTITUTE(ProjTextTable[[#This Row],[text]],CHAR(10)," "))))+1 - LEN(SUBSTITUTE(CLEAN(SUBSTITUTE(ProjTextTable[[#This Row],[text]],CHAR(10)," "))," ",""))</f>
        <v>511</v>
      </c>
      <c r="O463" t="s">
        <v>202</v>
      </c>
      <c r="P463" t="s">
        <v>805</v>
      </c>
    </row>
    <row r="464" spans="1:16" x14ac:dyDescent="0.4">
      <c r="A464">
        <f t="shared" si="7"/>
        <v>67</v>
      </c>
      <c r="B464" t="s">
        <v>361</v>
      </c>
      <c r="C464" t="s">
        <v>452</v>
      </c>
      <c r="D464" t="s">
        <v>200</v>
      </c>
      <c r="E464" t="s">
        <v>451</v>
      </c>
      <c r="F464" t="s">
        <v>13</v>
      </c>
      <c r="G464" t="s">
        <v>13</v>
      </c>
      <c r="H464" t="s">
        <v>13</v>
      </c>
      <c r="K464" s="30"/>
      <c r="L464" s="8">
        <v>42935.042881944442</v>
      </c>
      <c r="M464" s="21">
        <f>LEN(ProjTextTable[[#This Row],[text]])</f>
        <v>4012</v>
      </c>
      <c r="N464" s="21">
        <f>LEN(TRIM(CLEAN(SUBSTITUTE(ProjTextTable[[#This Row],[text]],CHAR(10)," "))))+1 - LEN(SUBSTITUTE(CLEAN(SUBSTITUTE(ProjTextTable[[#This Row],[text]],CHAR(10)," "))," ",""))</f>
        <v>584</v>
      </c>
      <c r="O464" t="s">
        <v>13</v>
      </c>
      <c r="P464" t="s">
        <v>806</v>
      </c>
    </row>
    <row r="465" spans="1:16" x14ac:dyDescent="0.4">
      <c r="A465">
        <f t="shared" si="7"/>
        <v>68</v>
      </c>
      <c r="B465" t="s">
        <v>362</v>
      </c>
      <c r="C465" t="s">
        <v>459</v>
      </c>
      <c r="D465" t="s">
        <v>209</v>
      </c>
      <c r="E465" t="s">
        <v>451</v>
      </c>
      <c r="F465" t="s">
        <v>616</v>
      </c>
      <c r="G465" t="s">
        <v>713</v>
      </c>
      <c r="H465" t="s">
        <v>264</v>
      </c>
      <c r="I465" t="s">
        <v>197</v>
      </c>
      <c r="J465" t="s">
        <v>733</v>
      </c>
      <c r="K465" s="30">
        <v>43031</v>
      </c>
      <c r="L465" s="8"/>
      <c r="M465" s="21">
        <f>LEN(ProjTextTable[[#This Row],[text]])</f>
        <v>3155</v>
      </c>
      <c r="N465" s="21">
        <f>LEN(TRIM(CLEAN(SUBSTITUTE(ProjTextTable[[#This Row],[text]],CHAR(10)," "))))+1 - LEN(SUBSTITUTE(CLEAN(SUBSTITUTE(ProjTextTable[[#This Row],[text]],CHAR(10)," "))," ",""))</f>
        <v>468</v>
      </c>
      <c r="O465" t="s">
        <v>263</v>
      </c>
      <c r="P465" t="s">
        <v>807</v>
      </c>
    </row>
    <row r="466" spans="1:16" x14ac:dyDescent="0.4">
      <c r="A466">
        <f t="shared" si="7"/>
        <v>68</v>
      </c>
      <c r="B466" t="s">
        <v>362</v>
      </c>
      <c r="C466" t="s">
        <v>459</v>
      </c>
      <c r="D466" t="s">
        <v>198</v>
      </c>
      <c r="E466" t="s">
        <v>451</v>
      </c>
      <c r="F466" t="s">
        <v>735</v>
      </c>
      <c r="G466" t="s">
        <v>736</v>
      </c>
      <c r="H466" t="s">
        <v>737</v>
      </c>
      <c r="I466" t="s">
        <v>215</v>
      </c>
      <c r="J466" t="s">
        <v>178</v>
      </c>
      <c r="K466" s="30">
        <v>43032</v>
      </c>
      <c r="L466" s="8">
        <v>43022.920254629629</v>
      </c>
      <c r="M466" s="21">
        <f>LEN(ProjTextTable[[#This Row],[text]])</f>
        <v>1892</v>
      </c>
      <c r="N466" s="21">
        <f>LEN(TRIM(CLEAN(SUBSTITUTE(ProjTextTable[[#This Row],[text]],CHAR(10)," "))))+1 - LEN(SUBSTITUTE(CLEAN(SUBSTITUTE(ProjTextTable[[#This Row],[text]],CHAR(10)," "))," ",""))</f>
        <v>282</v>
      </c>
      <c r="O466" t="s">
        <v>267</v>
      </c>
      <c r="P466" t="s">
        <v>808</v>
      </c>
    </row>
    <row r="467" spans="1:16" x14ac:dyDescent="0.4">
      <c r="A467">
        <f t="shared" si="7"/>
        <v>68</v>
      </c>
      <c r="B467" t="s">
        <v>362</v>
      </c>
      <c r="C467" t="s">
        <v>459</v>
      </c>
      <c r="D467" t="s">
        <v>198</v>
      </c>
      <c r="E467" t="s">
        <v>451</v>
      </c>
      <c r="F467" t="s">
        <v>743</v>
      </c>
      <c r="G467" t="s">
        <v>744</v>
      </c>
      <c r="H467" t="s">
        <v>745</v>
      </c>
      <c r="I467" t="s">
        <v>215</v>
      </c>
      <c r="J467" t="s">
        <v>178</v>
      </c>
      <c r="K467" s="30">
        <v>43032</v>
      </c>
      <c r="L467" s="8">
        <v>43028.861875000002</v>
      </c>
      <c r="M467" s="21">
        <f>LEN(ProjTextTable[[#This Row],[text]])</f>
        <v>1845</v>
      </c>
      <c r="N467" s="21">
        <f>LEN(TRIM(CLEAN(SUBSTITUTE(ProjTextTable[[#This Row],[text]],CHAR(10)," "))))+1 - LEN(SUBSTITUTE(CLEAN(SUBSTITUTE(ProjTextTable[[#This Row],[text]],CHAR(10)," "))," ",""))</f>
        <v>272</v>
      </c>
      <c r="O467" t="s">
        <v>205</v>
      </c>
      <c r="P467" t="s">
        <v>809</v>
      </c>
    </row>
    <row r="468" spans="1:16" x14ac:dyDescent="0.4">
      <c r="A468">
        <f t="shared" si="7"/>
        <v>68</v>
      </c>
      <c r="B468" t="s">
        <v>362</v>
      </c>
      <c r="C468" t="s">
        <v>459</v>
      </c>
      <c r="D468" t="s">
        <v>198</v>
      </c>
      <c r="E468" t="s">
        <v>406</v>
      </c>
      <c r="F468" t="s">
        <v>728</v>
      </c>
      <c r="G468" t="s">
        <v>729</v>
      </c>
      <c r="H468" t="s">
        <v>730</v>
      </c>
      <c r="I468" t="s">
        <v>215</v>
      </c>
      <c r="J468" t="s">
        <v>178</v>
      </c>
      <c r="K468" s="30">
        <v>43032</v>
      </c>
      <c r="L468" s="8">
        <v>43028.683356481481</v>
      </c>
      <c r="M468" s="21">
        <f>LEN(ProjTextTable[[#This Row],[text]])</f>
        <v>2593</v>
      </c>
      <c r="N468" s="21">
        <f>LEN(TRIM(CLEAN(SUBSTITUTE(ProjTextTable[[#This Row],[text]],CHAR(10)," "))))+1 - LEN(SUBSTITUTE(CLEAN(SUBSTITUTE(ProjTextTable[[#This Row],[text]],CHAR(10)," "))," ",""))</f>
        <v>407</v>
      </c>
      <c r="O468" t="s">
        <v>203</v>
      </c>
      <c r="P468" t="s">
        <v>810</v>
      </c>
    </row>
    <row r="469" spans="1:16" x14ac:dyDescent="0.4">
      <c r="A469">
        <f t="shared" si="7"/>
        <v>68</v>
      </c>
      <c r="B469" t="s">
        <v>362</v>
      </c>
      <c r="C469" t="s">
        <v>459</v>
      </c>
      <c r="D469" t="s">
        <v>198</v>
      </c>
      <c r="E469" t="s">
        <v>451</v>
      </c>
      <c r="F469" t="s">
        <v>747</v>
      </c>
      <c r="G469" t="s">
        <v>748</v>
      </c>
      <c r="H469" t="s">
        <v>749</v>
      </c>
      <c r="I469" t="s">
        <v>215</v>
      </c>
      <c r="J469" t="s">
        <v>178</v>
      </c>
      <c r="K469" s="30">
        <v>43032</v>
      </c>
      <c r="L469" s="8">
        <v>43030.972268518519</v>
      </c>
      <c r="M469" s="21">
        <f>LEN(ProjTextTable[[#This Row],[text]])</f>
        <v>2229</v>
      </c>
      <c r="N469" s="21">
        <f>LEN(TRIM(CLEAN(SUBSTITUTE(ProjTextTable[[#This Row],[text]],CHAR(10)," "))))+1 - LEN(SUBSTITUTE(CLEAN(SUBSTITUTE(ProjTextTable[[#This Row],[text]],CHAR(10)," "))," ",""))</f>
        <v>335</v>
      </c>
      <c r="O469" t="s">
        <v>206</v>
      </c>
      <c r="P469" t="s">
        <v>811</v>
      </c>
    </row>
    <row r="470" spans="1:16" x14ac:dyDescent="0.4">
      <c r="A470">
        <f t="shared" si="7"/>
        <v>68</v>
      </c>
      <c r="B470" t="s">
        <v>362</v>
      </c>
      <c r="C470" t="s">
        <v>459</v>
      </c>
      <c r="D470" t="s">
        <v>200</v>
      </c>
      <c r="E470" t="s">
        <v>406</v>
      </c>
      <c r="F470" t="s">
        <v>13</v>
      </c>
      <c r="G470" t="s">
        <v>13</v>
      </c>
      <c r="H470" t="s">
        <v>13</v>
      </c>
      <c r="K470" s="30"/>
      <c r="L470" s="8">
        <v>42935.043379629627</v>
      </c>
      <c r="M470" s="21">
        <f>LEN(ProjTextTable[[#This Row],[text]])</f>
        <v>3644</v>
      </c>
      <c r="N470" s="21">
        <f>LEN(TRIM(CLEAN(SUBSTITUTE(ProjTextTable[[#This Row],[text]],CHAR(10)," "))))+1 - LEN(SUBSTITUTE(CLEAN(SUBSTITUTE(ProjTextTable[[#This Row],[text]],CHAR(10)," "))," ",""))</f>
        <v>477</v>
      </c>
      <c r="O470" t="s">
        <v>13</v>
      </c>
      <c r="P470" t="s">
        <v>812</v>
      </c>
    </row>
    <row r="471" spans="1:16" x14ac:dyDescent="0.4">
      <c r="A471">
        <f t="shared" si="7"/>
        <v>69</v>
      </c>
      <c r="B471" t="s">
        <v>363</v>
      </c>
      <c r="C471" t="s">
        <v>464</v>
      </c>
      <c r="D471" t="s">
        <v>209</v>
      </c>
      <c r="E471" t="s">
        <v>451</v>
      </c>
      <c r="F471" t="s">
        <v>616</v>
      </c>
      <c r="G471" t="s">
        <v>713</v>
      </c>
      <c r="H471" t="s">
        <v>264</v>
      </c>
      <c r="I471" t="s">
        <v>197</v>
      </c>
      <c r="J471" t="s">
        <v>733</v>
      </c>
      <c r="K471" s="30">
        <v>43031</v>
      </c>
      <c r="L471" s="8"/>
      <c r="M471" s="21">
        <f>LEN(ProjTextTable[[#This Row],[text]])</f>
        <v>4104</v>
      </c>
      <c r="N471" s="21">
        <f>LEN(TRIM(CLEAN(SUBSTITUTE(ProjTextTable[[#This Row],[text]],CHAR(10)," "))))+1 - LEN(SUBSTITUTE(CLEAN(SUBSTITUTE(ProjTextTable[[#This Row],[text]],CHAR(10)," "))," ",""))</f>
        <v>658</v>
      </c>
      <c r="O471" t="s">
        <v>263</v>
      </c>
      <c r="P471" t="s">
        <v>813</v>
      </c>
    </row>
    <row r="472" spans="1:16" x14ac:dyDescent="0.4">
      <c r="A472">
        <f t="shared" si="7"/>
        <v>69</v>
      </c>
      <c r="B472" t="s">
        <v>363</v>
      </c>
      <c r="C472" t="s">
        <v>464</v>
      </c>
      <c r="D472" t="s">
        <v>198</v>
      </c>
      <c r="E472" t="s">
        <v>451</v>
      </c>
      <c r="F472" t="s">
        <v>779</v>
      </c>
      <c r="G472" t="s">
        <v>780</v>
      </c>
      <c r="H472" t="s">
        <v>781</v>
      </c>
      <c r="I472" t="s">
        <v>215</v>
      </c>
      <c r="J472" t="s">
        <v>178</v>
      </c>
      <c r="K472" s="30">
        <v>43032</v>
      </c>
      <c r="L472" s="8">
        <v>43030.876967592594</v>
      </c>
      <c r="M472" s="21">
        <f>LEN(ProjTextTable[[#This Row],[text]])</f>
        <v>2807</v>
      </c>
      <c r="N472" s="21">
        <f>LEN(TRIM(CLEAN(SUBSTITUTE(ProjTextTable[[#This Row],[text]],CHAR(10)," "))))+1 - LEN(SUBSTITUTE(CLEAN(SUBSTITUTE(ProjTextTable[[#This Row],[text]],CHAR(10)," "))," ",""))</f>
        <v>427</v>
      </c>
      <c r="O472" t="s">
        <v>199</v>
      </c>
      <c r="P472" t="s">
        <v>814</v>
      </c>
    </row>
    <row r="473" spans="1:16" x14ac:dyDescent="0.4">
      <c r="A473">
        <f t="shared" si="7"/>
        <v>69</v>
      </c>
      <c r="B473" t="s">
        <v>363</v>
      </c>
      <c r="C473" t="s">
        <v>464</v>
      </c>
      <c r="D473" t="s">
        <v>198</v>
      </c>
      <c r="E473" t="s">
        <v>451</v>
      </c>
      <c r="F473" t="s">
        <v>716</v>
      </c>
      <c r="G473" t="s">
        <v>717</v>
      </c>
      <c r="H473" t="s">
        <v>718</v>
      </c>
      <c r="I473" t="s">
        <v>215</v>
      </c>
      <c r="J473" t="s">
        <v>178</v>
      </c>
      <c r="K473" s="30">
        <v>43032</v>
      </c>
      <c r="L473" s="8">
        <v>43031.922314814816</v>
      </c>
      <c r="M473" s="21">
        <f>LEN(ProjTextTable[[#This Row],[text]])</f>
        <v>2190</v>
      </c>
      <c r="N473" s="21">
        <f>LEN(TRIM(CLEAN(SUBSTITUTE(ProjTextTable[[#This Row],[text]],CHAR(10)," "))))+1 - LEN(SUBSTITUTE(CLEAN(SUBSTITUTE(ProjTextTable[[#This Row],[text]],CHAR(10)," "))," ",""))</f>
        <v>339</v>
      </c>
      <c r="O473" t="s">
        <v>199</v>
      </c>
      <c r="P473" t="s">
        <v>815</v>
      </c>
    </row>
    <row r="474" spans="1:16" x14ac:dyDescent="0.4">
      <c r="A474">
        <f t="shared" si="7"/>
        <v>69</v>
      </c>
      <c r="B474" t="s">
        <v>363</v>
      </c>
      <c r="C474" t="s">
        <v>464</v>
      </c>
      <c r="D474" t="s">
        <v>198</v>
      </c>
      <c r="E474" t="s">
        <v>451</v>
      </c>
      <c r="F474" t="s">
        <v>797</v>
      </c>
      <c r="G474" t="s">
        <v>798</v>
      </c>
      <c r="H474" t="s">
        <v>799</v>
      </c>
      <c r="I474" t="s">
        <v>215</v>
      </c>
      <c r="J474" t="s">
        <v>178</v>
      </c>
      <c r="K474" s="30">
        <v>43032</v>
      </c>
      <c r="L474" s="8">
        <v>43031.043321759258</v>
      </c>
      <c r="M474" s="21">
        <f>LEN(ProjTextTable[[#This Row],[text]])</f>
        <v>1763</v>
      </c>
      <c r="N474" s="21">
        <f>LEN(TRIM(CLEAN(SUBSTITUTE(ProjTextTable[[#This Row],[text]],CHAR(10)," "))))+1 - LEN(SUBSTITUTE(CLEAN(SUBSTITUTE(ProjTextTable[[#This Row],[text]],CHAR(10)," "))," ",""))</f>
        <v>263</v>
      </c>
      <c r="O474" t="s">
        <v>205</v>
      </c>
      <c r="P474" t="s">
        <v>816</v>
      </c>
    </row>
    <row r="475" spans="1:16" x14ac:dyDescent="0.4">
      <c r="A475">
        <f t="shared" si="7"/>
        <v>69</v>
      </c>
      <c r="B475" t="s">
        <v>363</v>
      </c>
      <c r="C475" t="s">
        <v>464</v>
      </c>
      <c r="D475" t="s">
        <v>198</v>
      </c>
      <c r="E475" t="s">
        <v>451</v>
      </c>
      <c r="F475" t="s">
        <v>788</v>
      </c>
      <c r="G475" t="s">
        <v>789</v>
      </c>
      <c r="H475" t="s">
        <v>790</v>
      </c>
      <c r="I475" t="s">
        <v>215</v>
      </c>
      <c r="J475" t="s">
        <v>178</v>
      </c>
      <c r="K475" s="30">
        <v>43032</v>
      </c>
      <c r="L475" s="8">
        <v>43030.827002314814</v>
      </c>
      <c r="M475" s="21">
        <f>LEN(ProjTextTable[[#This Row],[text]])</f>
        <v>2352</v>
      </c>
      <c r="N475" s="21">
        <f>LEN(TRIM(CLEAN(SUBSTITUTE(ProjTextTable[[#This Row],[text]],CHAR(10)," "))))+1 - LEN(SUBSTITUTE(CLEAN(SUBSTITUTE(ProjTextTable[[#This Row],[text]],CHAR(10)," "))," ",""))</f>
        <v>363</v>
      </c>
      <c r="O475" t="s">
        <v>199</v>
      </c>
      <c r="P475" t="s">
        <v>817</v>
      </c>
    </row>
    <row r="476" spans="1:16" x14ac:dyDescent="0.4">
      <c r="A476">
        <f t="shared" si="7"/>
        <v>69</v>
      </c>
      <c r="B476" t="s">
        <v>363</v>
      </c>
      <c r="C476" t="s">
        <v>464</v>
      </c>
      <c r="D476" t="s">
        <v>200</v>
      </c>
      <c r="E476" t="s">
        <v>451</v>
      </c>
      <c r="F476" t="s">
        <v>13</v>
      </c>
      <c r="G476" t="s">
        <v>13</v>
      </c>
      <c r="H476" t="s">
        <v>13</v>
      </c>
      <c r="K476" s="30"/>
      <c r="L476" s="8">
        <v>42935.043506944443</v>
      </c>
      <c r="M476" s="21">
        <f>LEN(ProjTextTable[[#This Row],[text]])</f>
        <v>2691</v>
      </c>
      <c r="N476" s="21">
        <f>LEN(TRIM(CLEAN(SUBSTITUTE(ProjTextTable[[#This Row],[text]],CHAR(10)," "))))+1 - LEN(SUBSTITUTE(CLEAN(SUBSTITUTE(ProjTextTable[[#This Row],[text]],CHAR(10)," "))," ",""))</f>
        <v>364</v>
      </c>
      <c r="O476" t="s">
        <v>13</v>
      </c>
      <c r="P476" t="s">
        <v>818</v>
      </c>
    </row>
    <row r="477" spans="1:16" x14ac:dyDescent="0.4">
      <c r="A477">
        <f t="shared" si="7"/>
        <v>70</v>
      </c>
      <c r="B477" t="s">
        <v>364</v>
      </c>
      <c r="C477" t="s">
        <v>469</v>
      </c>
      <c r="D477" t="s">
        <v>209</v>
      </c>
      <c r="E477" t="s">
        <v>451</v>
      </c>
      <c r="F477" t="s">
        <v>616</v>
      </c>
      <c r="G477" t="s">
        <v>713</v>
      </c>
      <c r="H477" t="s">
        <v>617</v>
      </c>
      <c r="I477" t="s">
        <v>204</v>
      </c>
      <c r="J477" t="s">
        <v>714</v>
      </c>
      <c r="K477" s="30">
        <v>43031</v>
      </c>
      <c r="L477" s="8"/>
      <c r="M477" s="21">
        <f>LEN(ProjTextTable[[#This Row],[text]])</f>
        <v>2254</v>
      </c>
      <c r="N477" s="21">
        <f>LEN(TRIM(CLEAN(SUBSTITUTE(ProjTextTable[[#This Row],[text]],CHAR(10)," "))))+1 - LEN(SUBSTITUTE(CLEAN(SUBSTITUTE(ProjTextTable[[#This Row],[text]],CHAR(10)," "))," ",""))</f>
        <v>326</v>
      </c>
      <c r="O477" t="s">
        <v>491</v>
      </c>
      <c r="P477" t="s">
        <v>819</v>
      </c>
    </row>
    <row r="478" spans="1:16" x14ac:dyDescent="0.4">
      <c r="A478">
        <f t="shared" si="7"/>
        <v>70</v>
      </c>
      <c r="B478" t="s">
        <v>364</v>
      </c>
      <c r="C478" t="s">
        <v>469</v>
      </c>
      <c r="D478" t="s">
        <v>198</v>
      </c>
      <c r="E478" t="s">
        <v>451</v>
      </c>
      <c r="F478" t="s">
        <v>779</v>
      </c>
      <c r="G478" t="s">
        <v>780</v>
      </c>
      <c r="H478" t="s">
        <v>781</v>
      </c>
      <c r="I478" t="s">
        <v>215</v>
      </c>
      <c r="J478" t="s">
        <v>178</v>
      </c>
      <c r="K478" s="30">
        <v>43032</v>
      </c>
      <c r="L478" s="8">
        <v>43030.872187499997</v>
      </c>
      <c r="M478" s="21">
        <f>LEN(ProjTextTable[[#This Row],[text]])</f>
        <v>2046</v>
      </c>
      <c r="N478" s="21">
        <f>LEN(TRIM(CLEAN(SUBSTITUTE(ProjTextTable[[#This Row],[text]],CHAR(10)," "))))+1 - LEN(SUBSTITUTE(CLEAN(SUBSTITUTE(ProjTextTable[[#This Row],[text]],CHAR(10)," "))," ",""))</f>
        <v>322</v>
      </c>
      <c r="O478" t="s">
        <v>205</v>
      </c>
      <c r="P478" t="s">
        <v>820</v>
      </c>
    </row>
    <row r="479" spans="1:16" x14ac:dyDescent="0.4">
      <c r="A479">
        <f t="shared" si="7"/>
        <v>70</v>
      </c>
      <c r="B479" t="s">
        <v>364</v>
      </c>
      <c r="C479" t="s">
        <v>469</v>
      </c>
      <c r="D479" t="s">
        <v>198</v>
      </c>
      <c r="E479" t="s">
        <v>451</v>
      </c>
      <c r="F479" t="s">
        <v>716</v>
      </c>
      <c r="G479" t="s">
        <v>717</v>
      </c>
      <c r="H479" t="s">
        <v>718</v>
      </c>
      <c r="I479" t="s">
        <v>215</v>
      </c>
      <c r="J479" t="s">
        <v>178</v>
      </c>
      <c r="K479" s="30">
        <v>43032</v>
      </c>
      <c r="L479" s="8">
        <v>43031.584618055553</v>
      </c>
      <c r="M479" s="21">
        <f>LEN(ProjTextTable[[#This Row],[text]])</f>
        <v>4713</v>
      </c>
      <c r="N479" s="21">
        <f>LEN(TRIM(CLEAN(SUBSTITUTE(ProjTextTable[[#This Row],[text]],CHAR(10)," "))))+1 - LEN(SUBSTITUTE(CLEAN(SUBSTITUTE(ProjTextTable[[#This Row],[text]],CHAR(10)," "))," ",""))</f>
        <v>751</v>
      </c>
      <c r="O479" t="s">
        <v>203</v>
      </c>
      <c r="P479" t="s">
        <v>821</v>
      </c>
    </row>
    <row r="480" spans="1:16" x14ac:dyDescent="0.4">
      <c r="A480">
        <f t="shared" si="7"/>
        <v>70</v>
      </c>
      <c r="B480" t="s">
        <v>364</v>
      </c>
      <c r="C480" t="s">
        <v>469</v>
      </c>
      <c r="D480" t="s">
        <v>198</v>
      </c>
      <c r="E480" t="s">
        <v>451</v>
      </c>
      <c r="F480" t="s">
        <v>797</v>
      </c>
      <c r="G480" t="s">
        <v>798</v>
      </c>
      <c r="H480" t="s">
        <v>799</v>
      </c>
      <c r="I480" t="s">
        <v>215</v>
      </c>
      <c r="J480" t="s">
        <v>178</v>
      </c>
      <c r="K480" s="30">
        <v>43032</v>
      </c>
      <c r="L480" s="8">
        <v>43030.765972222223</v>
      </c>
      <c r="M480" s="21">
        <f>LEN(ProjTextTable[[#This Row],[text]])</f>
        <v>1991</v>
      </c>
      <c r="N480" s="21">
        <f>LEN(TRIM(CLEAN(SUBSTITUTE(ProjTextTable[[#This Row],[text]],CHAR(10)," "))))+1 - LEN(SUBSTITUTE(CLEAN(SUBSTITUTE(ProjTextTable[[#This Row],[text]],CHAR(10)," "))," ",""))</f>
        <v>301</v>
      </c>
      <c r="O480" t="s">
        <v>205</v>
      </c>
      <c r="P480" t="s">
        <v>822</v>
      </c>
    </row>
    <row r="481" spans="1:16" x14ac:dyDescent="0.4">
      <c r="A481">
        <f t="shared" si="7"/>
        <v>70</v>
      </c>
      <c r="B481" t="s">
        <v>364</v>
      </c>
      <c r="C481" t="s">
        <v>469</v>
      </c>
      <c r="D481" t="s">
        <v>198</v>
      </c>
      <c r="E481" t="s">
        <v>451</v>
      </c>
      <c r="F481" t="s">
        <v>788</v>
      </c>
      <c r="G481" t="s">
        <v>789</v>
      </c>
      <c r="H481" t="s">
        <v>790</v>
      </c>
      <c r="I481" t="s">
        <v>215</v>
      </c>
      <c r="J481" t="s">
        <v>178</v>
      </c>
      <c r="K481" s="30">
        <v>43032</v>
      </c>
      <c r="L481" s="8">
        <v>43026.705312500002</v>
      </c>
      <c r="M481" s="21">
        <f>LEN(ProjTextTable[[#This Row],[text]])</f>
        <v>1527</v>
      </c>
      <c r="N481" s="21">
        <f>LEN(TRIM(CLEAN(SUBSTITUTE(ProjTextTable[[#This Row],[text]],CHAR(10)," "))))+1 - LEN(SUBSTITUTE(CLEAN(SUBSTITUTE(ProjTextTable[[#This Row],[text]],CHAR(10)," "))," ",""))</f>
        <v>224</v>
      </c>
      <c r="O481" t="s">
        <v>205</v>
      </c>
      <c r="P481" t="s">
        <v>823</v>
      </c>
    </row>
    <row r="482" spans="1:16" x14ac:dyDescent="0.4">
      <c r="A482">
        <f t="shared" si="7"/>
        <v>70</v>
      </c>
      <c r="B482" t="s">
        <v>364</v>
      </c>
      <c r="C482" t="s">
        <v>469</v>
      </c>
      <c r="D482" t="s">
        <v>200</v>
      </c>
      <c r="E482" t="s">
        <v>406</v>
      </c>
      <c r="F482" t="s">
        <v>13</v>
      </c>
      <c r="G482" t="s">
        <v>13</v>
      </c>
      <c r="H482" t="s">
        <v>13</v>
      </c>
      <c r="K482" s="30"/>
      <c r="L482" s="8">
        <v>42935.043599537035</v>
      </c>
      <c r="M482" s="21">
        <f>LEN(ProjTextTable[[#This Row],[text]])</f>
        <v>4036</v>
      </c>
      <c r="N482" s="21">
        <f>LEN(TRIM(CLEAN(SUBSTITUTE(ProjTextTable[[#This Row],[text]],CHAR(10)," "))))+1 - LEN(SUBSTITUTE(CLEAN(SUBSTITUTE(ProjTextTable[[#This Row],[text]],CHAR(10)," "))," ",""))</f>
        <v>595</v>
      </c>
      <c r="O482" t="s">
        <v>13</v>
      </c>
      <c r="P482" t="s">
        <v>824</v>
      </c>
    </row>
    <row r="483" spans="1:16" x14ac:dyDescent="0.4">
      <c r="A483">
        <f t="shared" si="7"/>
        <v>71</v>
      </c>
      <c r="B483" t="s">
        <v>365</v>
      </c>
      <c r="C483" t="s">
        <v>476</v>
      </c>
      <c r="D483" t="s">
        <v>209</v>
      </c>
      <c r="E483" t="s">
        <v>451</v>
      </c>
      <c r="F483" t="s">
        <v>616</v>
      </c>
      <c r="G483" t="s">
        <v>713</v>
      </c>
      <c r="H483" t="s">
        <v>264</v>
      </c>
      <c r="I483" t="s">
        <v>197</v>
      </c>
      <c r="J483" t="s">
        <v>733</v>
      </c>
      <c r="K483" s="30">
        <v>43031</v>
      </c>
      <c r="L483" s="8"/>
      <c r="M483" s="21">
        <f>LEN(ProjTextTable[[#This Row],[text]])</f>
        <v>3188</v>
      </c>
      <c r="N483" s="21">
        <f>LEN(TRIM(CLEAN(SUBSTITUTE(ProjTextTable[[#This Row],[text]],CHAR(10)," "))))+1 - LEN(SUBSTITUTE(CLEAN(SUBSTITUTE(ProjTextTable[[#This Row],[text]],CHAR(10)," "))," ",""))</f>
        <v>475</v>
      </c>
      <c r="O483" t="s">
        <v>263</v>
      </c>
      <c r="P483" t="s">
        <v>825</v>
      </c>
    </row>
    <row r="484" spans="1:16" x14ac:dyDescent="0.4">
      <c r="A484">
        <f t="shared" si="7"/>
        <v>71</v>
      </c>
      <c r="B484" t="s">
        <v>365</v>
      </c>
      <c r="C484" t="s">
        <v>476</v>
      </c>
      <c r="D484" t="s">
        <v>198</v>
      </c>
      <c r="E484" t="s">
        <v>451</v>
      </c>
      <c r="F484" t="s">
        <v>779</v>
      </c>
      <c r="G484" t="s">
        <v>780</v>
      </c>
      <c r="H484" t="s">
        <v>781</v>
      </c>
      <c r="I484" t="s">
        <v>215</v>
      </c>
      <c r="J484" t="s">
        <v>178</v>
      </c>
      <c r="K484" s="30">
        <v>43032</v>
      </c>
      <c r="L484" s="8">
        <v>43030.879699074074</v>
      </c>
      <c r="M484" s="21">
        <f>LEN(ProjTextTable[[#This Row],[text]])</f>
        <v>2801</v>
      </c>
      <c r="N484" s="21">
        <f>LEN(TRIM(CLEAN(SUBSTITUTE(ProjTextTable[[#This Row],[text]],CHAR(10)," "))))+1 - LEN(SUBSTITUTE(CLEAN(SUBSTITUTE(ProjTextTable[[#This Row],[text]],CHAR(10)," "))," ",""))</f>
        <v>432</v>
      </c>
      <c r="O484" t="s">
        <v>203</v>
      </c>
      <c r="P484" t="s">
        <v>826</v>
      </c>
    </row>
    <row r="485" spans="1:16" x14ac:dyDescent="0.4">
      <c r="A485">
        <f t="shared" si="7"/>
        <v>71</v>
      </c>
      <c r="B485" t="s">
        <v>365</v>
      </c>
      <c r="C485" t="s">
        <v>476</v>
      </c>
      <c r="D485" t="s">
        <v>198</v>
      </c>
      <c r="E485" t="s">
        <v>451</v>
      </c>
      <c r="F485" t="s">
        <v>716</v>
      </c>
      <c r="G485" t="s">
        <v>717</v>
      </c>
      <c r="H485" t="s">
        <v>718</v>
      </c>
      <c r="I485" t="s">
        <v>215</v>
      </c>
      <c r="J485" t="s">
        <v>178</v>
      </c>
      <c r="K485" s="30">
        <v>43032</v>
      </c>
      <c r="L485" s="8">
        <v>43031.585347222222</v>
      </c>
      <c r="M485" s="21">
        <f>LEN(ProjTextTable[[#This Row],[text]])</f>
        <v>3518</v>
      </c>
      <c r="N485" s="21">
        <f>LEN(TRIM(CLEAN(SUBSTITUTE(ProjTextTable[[#This Row],[text]],CHAR(10)," "))))+1 - LEN(SUBSTITUTE(CLEAN(SUBSTITUTE(ProjTextTable[[#This Row],[text]],CHAR(10)," "))," ",""))</f>
        <v>586</v>
      </c>
      <c r="O485" t="s">
        <v>207</v>
      </c>
      <c r="P485" t="s">
        <v>827</v>
      </c>
    </row>
    <row r="486" spans="1:16" x14ac:dyDescent="0.4">
      <c r="A486">
        <f t="shared" si="7"/>
        <v>71</v>
      </c>
      <c r="B486" t="s">
        <v>365</v>
      </c>
      <c r="C486" t="s">
        <v>476</v>
      </c>
      <c r="D486" t="s">
        <v>198</v>
      </c>
      <c r="E486" t="s">
        <v>451</v>
      </c>
      <c r="F486" t="s">
        <v>720</v>
      </c>
      <c r="G486" t="s">
        <v>721</v>
      </c>
      <c r="H486" t="s">
        <v>722</v>
      </c>
      <c r="I486" t="s">
        <v>215</v>
      </c>
      <c r="J486" t="s">
        <v>178</v>
      </c>
      <c r="K486" s="30">
        <v>43032</v>
      </c>
      <c r="L486" s="8">
        <v>43031.332002314812</v>
      </c>
      <c r="M486" s="21">
        <f>LEN(ProjTextTable[[#This Row],[text]])</f>
        <v>2047</v>
      </c>
      <c r="N486" s="21">
        <f>LEN(TRIM(CLEAN(SUBSTITUTE(ProjTextTable[[#This Row],[text]],CHAR(10)," "))))+1 - LEN(SUBSTITUTE(CLEAN(SUBSTITUTE(ProjTextTable[[#This Row],[text]],CHAR(10)," "))," ",""))</f>
        <v>299</v>
      </c>
      <c r="O486" t="s">
        <v>199</v>
      </c>
      <c r="P486" t="s">
        <v>828</v>
      </c>
    </row>
    <row r="487" spans="1:16" x14ac:dyDescent="0.4">
      <c r="A487">
        <f t="shared" si="7"/>
        <v>71</v>
      </c>
      <c r="B487" t="s">
        <v>365</v>
      </c>
      <c r="C487" t="s">
        <v>476</v>
      </c>
      <c r="D487" t="s">
        <v>198</v>
      </c>
      <c r="E487" t="s">
        <v>451</v>
      </c>
      <c r="F487" t="s">
        <v>755</v>
      </c>
      <c r="G487" t="s">
        <v>756</v>
      </c>
      <c r="H487" t="s">
        <v>757</v>
      </c>
      <c r="I487" t="s">
        <v>215</v>
      </c>
      <c r="J487" t="s">
        <v>178</v>
      </c>
      <c r="K487" s="30">
        <v>43032</v>
      </c>
      <c r="L487" s="8">
        <v>43013.77783564815</v>
      </c>
      <c r="M487" s="21">
        <f>LEN(ProjTextTable[[#This Row],[text]])</f>
        <v>5306</v>
      </c>
      <c r="N487" s="21">
        <f>LEN(TRIM(CLEAN(SUBSTITUTE(ProjTextTable[[#This Row],[text]],CHAR(10)," "))))+1 - LEN(SUBSTITUTE(CLEAN(SUBSTITUTE(ProjTextTable[[#This Row],[text]],CHAR(10)," "))," ",""))</f>
        <v>882</v>
      </c>
      <c r="O487" t="s">
        <v>199</v>
      </c>
      <c r="P487" t="s">
        <v>829</v>
      </c>
    </row>
    <row r="488" spans="1:16" x14ac:dyDescent="0.4">
      <c r="A488">
        <f t="shared" si="7"/>
        <v>71</v>
      </c>
      <c r="B488" t="s">
        <v>365</v>
      </c>
      <c r="C488" t="s">
        <v>476</v>
      </c>
      <c r="D488" t="s">
        <v>200</v>
      </c>
      <c r="E488" t="s">
        <v>422</v>
      </c>
      <c r="F488" t="s">
        <v>13</v>
      </c>
      <c r="G488" t="s">
        <v>13</v>
      </c>
      <c r="H488" t="s">
        <v>13</v>
      </c>
      <c r="K488" s="30"/>
      <c r="L488" s="8">
        <v>42936.042557870373</v>
      </c>
      <c r="M488" s="21">
        <f>LEN(ProjTextTable[[#This Row],[text]])</f>
        <v>3445</v>
      </c>
      <c r="N488" s="21">
        <f>LEN(TRIM(CLEAN(SUBSTITUTE(ProjTextTable[[#This Row],[text]],CHAR(10)," "))))+1 - LEN(SUBSTITUTE(CLEAN(SUBSTITUTE(ProjTextTable[[#This Row],[text]],CHAR(10)," "))," ",""))</f>
        <v>492</v>
      </c>
      <c r="O488" t="s">
        <v>13</v>
      </c>
      <c r="P488" t="s">
        <v>830</v>
      </c>
    </row>
    <row r="489" spans="1:16" x14ac:dyDescent="0.4">
      <c r="A489">
        <f t="shared" si="7"/>
        <v>72</v>
      </c>
      <c r="B489" t="s">
        <v>366</v>
      </c>
      <c r="C489" t="s">
        <v>481</v>
      </c>
      <c r="D489" t="s">
        <v>209</v>
      </c>
      <c r="E489" t="s">
        <v>451</v>
      </c>
      <c r="F489" t="s">
        <v>616</v>
      </c>
      <c r="G489" t="s">
        <v>713</v>
      </c>
      <c r="H489" t="s">
        <v>212</v>
      </c>
      <c r="I489" t="s">
        <v>201</v>
      </c>
      <c r="J489" t="s">
        <v>270</v>
      </c>
      <c r="K489" s="30">
        <v>43031</v>
      </c>
      <c r="L489" s="8"/>
      <c r="M489" s="21">
        <f>LEN(ProjTextTable[[#This Row],[text]])</f>
        <v>4296</v>
      </c>
      <c r="N489" s="21">
        <f>LEN(TRIM(CLEAN(SUBSTITUTE(ProjTextTable[[#This Row],[text]],CHAR(10)," "))))+1 - LEN(SUBSTITUTE(CLEAN(SUBSTITUTE(ProjTextTable[[#This Row],[text]],CHAR(10)," "))," ",""))</f>
        <v>633</v>
      </c>
      <c r="O489" t="s">
        <v>213</v>
      </c>
      <c r="P489" t="s">
        <v>831</v>
      </c>
    </row>
    <row r="490" spans="1:16" x14ac:dyDescent="0.4">
      <c r="A490">
        <f t="shared" si="7"/>
        <v>72</v>
      </c>
      <c r="B490" t="s">
        <v>366</v>
      </c>
      <c r="C490" t="s">
        <v>481</v>
      </c>
      <c r="D490" t="s">
        <v>198</v>
      </c>
      <c r="E490" t="s">
        <v>451</v>
      </c>
      <c r="F490" t="s">
        <v>755</v>
      </c>
      <c r="G490" t="s">
        <v>756</v>
      </c>
      <c r="H490" t="s">
        <v>757</v>
      </c>
      <c r="I490" t="s">
        <v>215</v>
      </c>
      <c r="J490" t="s">
        <v>178</v>
      </c>
      <c r="K490" s="30">
        <v>43032</v>
      </c>
      <c r="L490" s="8">
        <v>43032.519444444442</v>
      </c>
      <c r="M490" s="21">
        <f>LEN(ProjTextTable[[#This Row],[text]])</f>
        <v>7359</v>
      </c>
      <c r="N490" s="21">
        <f>LEN(TRIM(CLEAN(SUBSTITUTE(ProjTextTable[[#This Row],[text]],CHAR(10)," "))))+1 - LEN(SUBSTITUTE(CLEAN(SUBSTITUTE(ProjTextTable[[#This Row],[text]],CHAR(10)," "))," ",""))</f>
        <v>1246</v>
      </c>
      <c r="O490" t="s">
        <v>203</v>
      </c>
      <c r="P490" t="s">
        <v>832</v>
      </c>
    </row>
    <row r="491" spans="1:16" x14ac:dyDescent="0.4">
      <c r="A491">
        <f t="shared" si="7"/>
        <v>72</v>
      </c>
      <c r="B491" t="s">
        <v>366</v>
      </c>
      <c r="C491" t="s">
        <v>481</v>
      </c>
      <c r="D491" t="s">
        <v>198</v>
      </c>
      <c r="E491" t="s">
        <v>451</v>
      </c>
      <c r="F491" t="s">
        <v>747</v>
      </c>
      <c r="G491" t="s">
        <v>748</v>
      </c>
      <c r="H491" t="s">
        <v>749</v>
      </c>
      <c r="I491" t="s">
        <v>215</v>
      </c>
      <c r="J491" t="s">
        <v>178</v>
      </c>
      <c r="K491" s="30">
        <v>43032</v>
      </c>
      <c r="L491" s="8">
        <v>43030.097916666666</v>
      </c>
      <c r="M491" s="21">
        <f>LEN(ProjTextTable[[#This Row],[text]])</f>
        <v>2211</v>
      </c>
      <c r="N491" s="21">
        <f>LEN(TRIM(CLEAN(SUBSTITUTE(ProjTextTable[[#This Row],[text]],CHAR(10)," "))))+1 - LEN(SUBSTITUTE(CLEAN(SUBSTITUTE(ProjTextTable[[#This Row],[text]],CHAR(10)," "))," ",""))</f>
        <v>328</v>
      </c>
      <c r="O491" t="s">
        <v>199</v>
      </c>
      <c r="P491" t="s">
        <v>833</v>
      </c>
    </row>
    <row r="492" spans="1:16" x14ac:dyDescent="0.4">
      <c r="A492">
        <f t="shared" si="7"/>
        <v>72</v>
      </c>
      <c r="B492" t="s">
        <v>366</v>
      </c>
      <c r="C492" t="s">
        <v>481</v>
      </c>
      <c r="D492" t="s">
        <v>198</v>
      </c>
      <c r="E492" t="s">
        <v>451</v>
      </c>
      <c r="F492" t="s">
        <v>760</v>
      </c>
      <c r="G492" t="s">
        <v>761</v>
      </c>
      <c r="H492" t="s">
        <v>762</v>
      </c>
      <c r="I492" t="s">
        <v>215</v>
      </c>
      <c r="J492" t="s">
        <v>178</v>
      </c>
      <c r="K492" s="30">
        <v>43032</v>
      </c>
      <c r="L492" s="8">
        <v>43029.743773148148</v>
      </c>
      <c r="M492" s="21">
        <f>LEN(ProjTextTable[[#This Row],[text]])</f>
        <v>1790</v>
      </c>
      <c r="N492" s="21">
        <f>LEN(TRIM(CLEAN(SUBSTITUTE(ProjTextTable[[#This Row],[text]],CHAR(10)," "))))+1 - LEN(SUBSTITUTE(CLEAN(SUBSTITUTE(ProjTextTable[[#This Row],[text]],CHAR(10)," "))," ",""))</f>
        <v>255</v>
      </c>
      <c r="O492" t="s">
        <v>267</v>
      </c>
      <c r="P492" t="s">
        <v>834</v>
      </c>
    </row>
    <row r="493" spans="1:16" x14ac:dyDescent="0.4">
      <c r="A493">
        <f t="shared" si="7"/>
        <v>72</v>
      </c>
      <c r="B493" t="s">
        <v>366</v>
      </c>
      <c r="C493" t="s">
        <v>481</v>
      </c>
      <c r="D493" t="s">
        <v>198</v>
      </c>
      <c r="E493" t="s">
        <v>451</v>
      </c>
      <c r="F493" t="s">
        <v>788</v>
      </c>
      <c r="G493" t="s">
        <v>789</v>
      </c>
      <c r="H493" t="s">
        <v>790</v>
      </c>
      <c r="I493" t="s">
        <v>215</v>
      </c>
      <c r="J493" t="s">
        <v>178</v>
      </c>
      <c r="K493" s="30">
        <v>43032</v>
      </c>
      <c r="L493" s="8">
        <v>43026.70988425926</v>
      </c>
      <c r="M493" s="21">
        <f>LEN(ProjTextTable[[#This Row],[text]])</f>
        <v>2510</v>
      </c>
      <c r="N493" s="21">
        <f>LEN(TRIM(CLEAN(SUBSTITUTE(ProjTextTable[[#This Row],[text]],CHAR(10)," "))))+1 - LEN(SUBSTITUTE(CLEAN(SUBSTITUTE(ProjTextTable[[#This Row],[text]],CHAR(10)," "))," ",""))</f>
        <v>396</v>
      </c>
      <c r="O493" t="s">
        <v>203</v>
      </c>
      <c r="P493" t="s">
        <v>835</v>
      </c>
    </row>
    <row r="494" spans="1:16" x14ac:dyDescent="0.4">
      <c r="A494">
        <f t="shared" si="7"/>
        <v>72</v>
      </c>
      <c r="B494" t="s">
        <v>366</v>
      </c>
      <c r="C494" t="s">
        <v>481</v>
      </c>
      <c r="D494" t="s">
        <v>200</v>
      </c>
      <c r="E494" t="s">
        <v>422</v>
      </c>
      <c r="F494" t="s">
        <v>13</v>
      </c>
      <c r="G494" t="s">
        <v>13</v>
      </c>
      <c r="H494" t="s">
        <v>13</v>
      </c>
      <c r="K494" s="30"/>
      <c r="L494" s="8">
        <v>42936.042581018519</v>
      </c>
      <c r="M494" s="21">
        <f>LEN(ProjTextTable[[#This Row],[text]])</f>
        <v>2310</v>
      </c>
      <c r="N494" s="21">
        <f>LEN(TRIM(CLEAN(SUBSTITUTE(ProjTextTable[[#This Row],[text]],CHAR(10)," "))))+1 - LEN(SUBSTITUTE(CLEAN(SUBSTITUTE(ProjTextTable[[#This Row],[text]],CHAR(10)," "))," ",""))</f>
        <v>295</v>
      </c>
      <c r="O494" t="s">
        <v>13</v>
      </c>
      <c r="P494" t="s">
        <v>836</v>
      </c>
    </row>
    <row r="495" spans="1:16" x14ac:dyDescent="0.4">
      <c r="A495">
        <f t="shared" si="7"/>
        <v>73</v>
      </c>
      <c r="B495" t="s">
        <v>367</v>
      </c>
      <c r="C495" t="s">
        <v>488</v>
      </c>
      <c r="D495" t="s">
        <v>209</v>
      </c>
      <c r="E495" t="s">
        <v>451</v>
      </c>
      <c r="F495" t="s">
        <v>616</v>
      </c>
      <c r="G495" t="s">
        <v>713</v>
      </c>
      <c r="H495" t="s">
        <v>212</v>
      </c>
      <c r="I495" t="s">
        <v>201</v>
      </c>
      <c r="J495" t="s">
        <v>197</v>
      </c>
      <c r="K495" s="30">
        <v>43031</v>
      </c>
      <c r="L495" s="8"/>
      <c r="M495" s="21">
        <f>LEN(ProjTextTable[[#This Row],[text]])</f>
        <v>2693</v>
      </c>
      <c r="N495" s="21">
        <f>LEN(TRIM(CLEAN(SUBSTITUTE(ProjTextTable[[#This Row],[text]],CHAR(10)," "))))+1 - LEN(SUBSTITUTE(CLEAN(SUBSTITUTE(ProjTextTable[[#This Row],[text]],CHAR(10)," "))," ",""))</f>
        <v>386</v>
      </c>
      <c r="O495" t="s">
        <v>213</v>
      </c>
      <c r="P495" t="s">
        <v>837</v>
      </c>
    </row>
    <row r="496" spans="1:16" x14ac:dyDescent="0.4">
      <c r="A496">
        <f t="shared" si="7"/>
        <v>73</v>
      </c>
      <c r="B496" t="s">
        <v>367</v>
      </c>
      <c r="C496" t="s">
        <v>488</v>
      </c>
      <c r="D496" t="s">
        <v>198</v>
      </c>
      <c r="E496" t="s">
        <v>451</v>
      </c>
      <c r="F496" t="s">
        <v>783</v>
      </c>
      <c r="G496" t="s">
        <v>784</v>
      </c>
      <c r="H496" t="s">
        <v>785</v>
      </c>
      <c r="I496" t="s">
        <v>215</v>
      </c>
      <c r="J496" t="s">
        <v>178</v>
      </c>
      <c r="K496" s="30">
        <v>43032</v>
      </c>
      <c r="L496" s="8">
        <v>43027.652361111112</v>
      </c>
      <c r="M496" s="21">
        <f>LEN(ProjTextTable[[#This Row],[text]])</f>
        <v>2118</v>
      </c>
      <c r="N496" s="21">
        <f>LEN(TRIM(CLEAN(SUBSTITUTE(ProjTextTable[[#This Row],[text]],CHAR(10)," "))))+1 - LEN(SUBSTITUTE(CLEAN(SUBSTITUTE(ProjTextTable[[#This Row],[text]],CHAR(10)," "))," ",""))</f>
        <v>305</v>
      </c>
      <c r="O496" t="s">
        <v>203</v>
      </c>
      <c r="P496" t="s">
        <v>838</v>
      </c>
    </row>
    <row r="497" spans="1:16" x14ac:dyDescent="0.4">
      <c r="A497">
        <f t="shared" si="7"/>
        <v>73</v>
      </c>
      <c r="B497" t="s">
        <v>367</v>
      </c>
      <c r="C497" t="s">
        <v>488</v>
      </c>
      <c r="D497" t="s">
        <v>198</v>
      </c>
      <c r="E497" t="s">
        <v>422</v>
      </c>
      <c r="F497" t="s">
        <v>728</v>
      </c>
      <c r="G497" t="s">
        <v>729</v>
      </c>
      <c r="H497" t="s">
        <v>730</v>
      </c>
      <c r="I497" t="s">
        <v>215</v>
      </c>
      <c r="J497" t="s">
        <v>178</v>
      </c>
      <c r="K497" s="30">
        <v>43032</v>
      </c>
      <c r="L497" s="8">
        <v>43031.632939814815</v>
      </c>
      <c r="M497" s="21">
        <f>LEN(ProjTextTable[[#This Row],[text]])</f>
        <v>2363</v>
      </c>
      <c r="N497" s="21">
        <f>LEN(TRIM(CLEAN(SUBSTITUTE(ProjTextTable[[#This Row],[text]],CHAR(10)," "))))+1 - LEN(SUBSTITUTE(CLEAN(SUBSTITUTE(ProjTextTable[[#This Row],[text]],CHAR(10)," "))," ",""))</f>
        <v>352</v>
      </c>
      <c r="O497" t="s">
        <v>203</v>
      </c>
      <c r="P497" t="s">
        <v>839</v>
      </c>
    </row>
    <row r="498" spans="1:16" x14ac:dyDescent="0.4">
      <c r="A498">
        <f t="shared" si="7"/>
        <v>73</v>
      </c>
      <c r="B498" t="s">
        <v>367</v>
      </c>
      <c r="C498" t="s">
        <v>488</v>
      </c>
      <c r="D498" t="s">
        <v>198</v>
      </c>
      <c r="E498" t="s">
        <v>451</v>
      </c>
      <c r="F498" t="s">
        <v>755</v>
      </c>
      <c r="G498" t="s">
        <v>756</v>
      </c>
      <c r="H498" t="s">
        <v>757</v>
      </c>
      <c r="I498" t="s">
        <v>215</v>
      </c>
      <c r="J498" t="s">
        <v>178</v>
      </c>
      <c r="K498" s="30">
        <v>43032</v>
      </c>
      <c r="L498" s="8">
        <v>43032.520671296297</v>
      </c>
      <c r="M498" s="21">
        <f>LEN(ProjTextTable[[#This Row],[text]])</f>
        <v>5534</v>
      </c>
      <c r="N498" s="21">
        <f>LEN(TRIM(CLEAN(SUBSTITUTE(ProjTextTable[[#This Row],[text]],CHAR(10)," "))))+1 - LEN(SUBSTITUTE(CLEAN(SUBSTITUTE(ProjTextTable[[#This Row],[text]],CHAR(10)," "))," ",""))</f>
        <v>912</v>
      </c>
      <c r="O498" t="s">
        <v>267</v>
      </c>
      <c r="P498" t="s">
        <v>840</v>
      </c>
    </row>
    <row r="499" spans="1:16" x14ac:dyDescent="0.4">
      <c r="A499">
        <f t="shared" si="7"/>
        <v>73</v>
      </c>
      <c r="B499" t="s">
        <v>367</v>
      </c>
      <c r="C499" t="s">
        <v>488</v>
      </c>
      <c r="D499" t="s">
        <v>198</v>
      </c>
      <c r="E499" t="s">
        <v>451</v>
      </c>
      <c r="F499" t="s">
        <v>797</v>
      </c>
      <c r="G499" t="s">
        <v>798</v>
      </c>
      <c r="H499" t="s">
        <v>799</v>
      </c>
      <c r="I499" t="s">
        <v>215</v>
      </c>
      <c r="J499" t="s">
        <v>178</v>
      </c>
      <c r="K499" s="30">
        <v>43032</v>
      </c>
      <c r="L499" s="8">
        <v>43030.650266203702</v>
      </c>
      <c r="M499" s="21">
        <f>LEN(ProjTextTable[[#This Row],[text]])</f>
        <v>2740</v>
      </c>
      <c r="N499" s="21">
        <f>LEN(TRIM(CLEAN(SUBSTITUTE(ProjTextTable[[#This Row],[text]],CHAR(10)," "))))+1 - LEN(SUBSTITUTE(CLEAN(SUBSTITUTE(ProjTextTable[[#This Row],[text]],CHAR(10)," "))," ",""))</f>
        <v>440</v>
      </c>
      <c r="O499" t="s">
        <v>202</v>
      </c>
      <c r="P499" t="s">
        <v>841</v>
      </c>
    </row>
    <row r="500" spans="1:16" x14ac:dyDescent="0.4">
      <c r="A500">
        <f t="shared" si="7"/>
        <v>73</v>
      </c>
      <c r="B500" t="s">
        <v>367</v>
      </c>
      <c r="C500" t="s">
        <v>488</v>
      </c>
      <c r="D500" t="s">
        <v>200</v>
      </c>
      <c r="E500" t="s">
        <v>422</v>
      </c>
      <c r="F500" t="s">
        <v>13</v>
      </c>
      <c r="G500" t="s">
        <v>13</v>
      </c>
      <c r="H500" t="s">
        <v>13</v>
      </c>
      <c r="K500" s="30"/>
      <c r="L500" s="8">
        <v>42936.042615740742</v>
      </c>
      <c r="M500" s="21">
        <f>LEN(ProjTextTable[[#This Row],[text]])</f>
        <v>4420</v>
      </c>
      <c r="N500" s="21">
        <f>LEN(TRIM(CLEAN(SUBSTITUTE(ProjTextTable[[#This Row],[text]],CHAR(10)," "))))+1 - LEN(SUBSTITUTE(CLEAN(SUBSTITUTE(ProjTextTable[[#This Row],[text]],CHAR(10)," "))," ",""))</f>
        <v>643</v>
      </c>
      <c r="O500" t="s">
        <v>13</v>
      </c>
      <c r="P500" t="s">
        <v>842</v>
      </c>
    </row>
    <row r="501" spans="1:16" x14ac:dyDescent="0.4">
      <c r="A501">
        <f t="shared" si="7"/>
        <v>74</v>
      </c>
      <c r="B501" t="s">
        <v>368</v>
      </c>
      <c r="C501" t="s">
        <v>494</v>
      </c>
      <c r="D501" t="s">
        <v>209</v>
      </c>
      <c r="E501" t="s">
        <v>451</v>
      </c>
      <c r="F501" t="s">
        <v>616</v>
      </c>
      <c r="G501" t="s">
        <v>713</v>
      </c>
      <c r="H501" t="s">
        <v>264</v>
      </c>
      <c r="I501" t="s">
        <v>197</v>
      </c>
      <c r="J501" t="s">
        <v>733</v>
      </c>
      <c r="K501" s="30">
        <v>43031</v>
      </c>
      <c r="L501" s="8"/>
      <c r="M501" s="21">
        <f>LEN(ProjTextTable[[#This Row],[text]])</f>
        <v>2933</v>
      </c>
      <c r="N501" s="21">
        <f>LEN(TRIM(CLEAN(SUBSTITUTE(ProjTextTable[[#This Row],[text]],CHAR(10)," "))))+1 - LEN(SUBSTITUTE(CLEAN(SUBSTITUTE(ProjTextTable[[#This Row],[text]],CHAR(10)," "))," ",""))</f>
        <v>435</v>
      </c>
      <c r="O501" t="s">
        <v>263</v>
      </c>
      <c r="P501" t="s">
        <v>843</v>
      </c>
    </row>
    <row r="502" spans="1:16" x14ac:dyDescent="0.4">
      <c r="A502">
        <f t="shared" si="7"/>
        <v>74</v>
      </c>
      <c r="B502" t="s">
        <v>368</v>
      </c>
      <c r="C502" t="s">
        <v>494</v>
      </c>
      <c r="D502" t="s">
        <v>198</v>
      </c>
      <c r="E502" t="s">
        <v>451</v>
      </c>
      <c r="F502" t="s">
        <v>779</v>
      </c>
      <c r="G502" t="s">
        <v>780</v>
      </c>
      <c r="H502" t="s">
        <v>781</v>
      </c>
      <c r="I502" t="s">
        <v>215</v>
      </c>
      <c r="J502" t="s">
        <v>178</v>
      </c>
      <c r="K502" s="30">
        <v>43032</v>
      </c>
      <c r="L502" s="8">
        <v>43030.861539351848</v>
      </c>
      <c r="M502" s="21">
        <f>LEN(ProjTextTable[[#This Row],[text]])</f>
        <v>2279</v>
      </c>
      <c r="N502" s="21">
        <f>LEN(TRIM(CLEAN(SUBSTITUTE(ProjTextTable[[#This Row],[text]],CHAR(10)," "))))+1 - LEN(SUBSTITUTE(CLEAN(SUBSTITUTE(ProjTextTable[[#This Row],[text]],CHAR(10)," "))," ",""))</f>
        <v>335</v>
      </c>
      <c r="O502" t="s">
        <v>202</v>
      </c>
      <c r="P502" t="s">
        <v>844</v>
      </c>
    </row>
    <row r="503" spans="1:16" x14ac:dyDescent="0.4">
      <c r="A503">
        <f t="shared" si="7"/>
        <v>74</v>
      </c>
      <c r="B503" t="s">
        <v>368</v>
      </c>
      <c r="C503" t="s">
        <v>494</v>
      </c>
      <c r="D503" t="s">
        <v>198</v>
      </c>
      <c r="E503" t="s">
        <v>451</v>
      </c>
      <c r="F503" t="s">
        <v>724</v>
      </c>
      <c r="G503" t="s">
        <v>725</v>
      </c>
      <c r="H503" t="s">
        <v>726</v>
      </c>
      <c r="I503" t="s">
        <v>215</v>
      </c>
      <c r="J503" t="s">
        <v>178</v>
      </c>
      <c r="K503" s="30">
        <v>43032</v>
      </c>
      <c r="L503" s="8">
        <v>43030.96875</v>
      </c>
      <c r="M503" s="21">
        <f>LEN(ProjTextTable[[#This Row],[text]])</f>
        <v>2428</v>
      </c>
      <c r="N503" s="21">
        <f>LEN(TRIM(CLEAN(SUBSTITUTE(ProjTextTable[[#This Row],[text]],CHAR(10)," "))))+1 - LEN(SUBSTITUTE(CLEAN(SUBSTITUTE(ProjTextTable[[#This Row],[text]],CHAR(10)," "))," ",""))</f>
        <v>386</v>
      </c>
      <c r="O503" t="s">
        <v>206</v>
      </c>
      <c r="P503" t="s">
        <v>845</v>
      </c>
    </row>
    <row r="504" spans="1:16" x14ac:dyDescent="0.4">
      <c r="A504">
        <f t="shared" si="7"/>
        <v>74</v>
      </c>
      <c r="B504" t="s">
        <v>368</v>
      </c>
      <c r="C504" t="s">
        <v>494</v>
      </c>
      <c r="D504" t="s">
        <v>198</v>
      </c>
      <c r="E504" t="s">
        <v>451</v>
      </c>
      <c r="F504" t="s">
        <v>747</v>
      </c>
      <c r="G504" t="s">
        <v>748</v>
      </c>
      <c r="H504" t="s">
        <v>749</v>
      </c>
      <c r="I504" t="s">
        <v>215</v>
      </c>
      <c r="J504" t="s">
        <v>178</v>
      </c>
      <c r="K504" s="30">
        <v>43032</v>
      </c>
      <c r="L504" s="8">
        <v>43030.694988425923</v>
      </c>
      <c r="M504" s="21">
        <f>LEN(ProjTextTable[[#This Row],[text]])</f>
        <v>4076</v>
      </c>
      <c r="N504" s="21">
        <f>LEN(TRIM(CLEAN(SUBSTITUTE(ProjTextTable[[#This Row],[text]],CHAR(10)," "))))+1 - LEN(SUBSTITUTE(CLEAN(SUBSTITUTE(ProjTextTable[[#This Row],[text]],CHAR(10)," "))," ",""))</f>
        <v>620</v>
      </c>
      <c r="O504" t="s">
        <v>203</v>
      </c>
      <c r="P504" t="s">
        <v>846</v>
      </c>
    </row>
    <row r="505" spans="1:16" x14ac:dyDescent="0.4">
      <c r="A505">
        <f t="shared" si="7"/>
        <v>74</v>
      </c>
      <c r="B505" t="s">
        <v>368</v>
      </c>
      <c r="C505" t="s">
        <v>494</v>
      </c>
      <c r="D505" t="s">
        <v>198</v>
      </c>
      <c r="E505" t="s">
        <v>451</v>
      </c>
      <c r="F505" t="s">
        <v>788</v>
      </c>
      <c r="G505" t="s">
        <v>789</v>
      </c>
      <c r="H505" t="s">
        <v>790</v>
      </c>
      <c r="I505" t="s">
        <v>215</v>
      </c>
      <c r="J505" t="s">
        <v>178</v>
      </c>
      <c r="K505" s="30">
        <v>43032</v>
      </c>
      <c r="L505" s="8">
        <v>43030.806562500002</v>
      </c>
      <c r="M505" s="21">
        <f>LEN(ProjTextTable[[#This Row],[text]])</f>
        <v>3124</v>
      </c>
      <c r="N505" s="21">
        <f>LEN(TRIM(CLEAN(SUBSTITUTE(ProjTextTable[[#This Row],[text]],CHAR(10)," "))))+1 - LEN(SUBSTITUTE(CLEAN(SUBSTITUTE(ProjTextTable[[#This Row],[text]],CHAR(10)," "))," ",""))</f>
        <v>492</v>
      </c>
      <c r="O505" t="s">
        <v>206</v>
      </c>
      <c r="P505" t="s">
        <v>847</v>
      </c>
    </row>
    <row r="506" spans="1:16" x14ac:dyDescent="0.4">
      <c r="A506">
        <f t="shared" si="7"/>
        <v>74</v>
      </c>
      <c r="B506" t="s">
        <v>368</v>
      </c>
      <c r="C506" t="s">
        <v>494</v>
      </c>
      <c r="D506" t="s">
        <v>200</v>
      </c>
      <c r="E506" t="s">
        <v>422</v>
      </c>
      <c r="F506" t="s">
        <v>13</v>
      </c>
      <c r="G506" t="s">
        <v>13</v>
      </c>
      <c r="H506" t="s">
        <v>13</v>
      </c>
      <c r="K506" s="30"/>
      <c r="L506" s="8">
        <v>42936.043032407404</v>
      </c>
      <c r="M506" s="21">
        <f>LEN(ProjTextTable[[#This Row],[text]])</f>
        <v>4474</v>
      </c>
      <c r="N506" s="21">
        <f>LEN(TRIM(CLEAN(SUBSTITUTE(ProjTextTable[[#This Row],[text]],CHAR(10)," "))))+1 - LEN(SUBSTITUTE(CLEAN(SUBSTITUTE(ProjTextTable[[#This Row],[text]],CHAR(10)," "))," ",""))</f>
        <v>661</v>
      </c>
      <c r="O506" t="s">
        <v>13</v>
      </c>
      <c r="P506" t="s">
        <v>848</v>
      </c>
    </row>
    <row r="507" spans="1:16" x14ac:dyDescent="0.4">
      <c r="A507">
        <f t="shared" si="7"/>
        <v>75</v>
      </c>
      <c r="B507" t="s">
        <v>369</v>
      </c>
      <c r="C507" t="s">
        <v>499</v>
      </c>
      <c r="D507" t="s">
        <v>209</v>
      </c>
      <c r="E507" t="s">
        <v>451</v>
      </c>
      <c r="F507" t="s">
        <v>616</v>
      </c>
      <c r="G507" t="s">
        <v>713</v>
      </c>
      <c r="H507" t="s">
        <v>259</v>
      </c>
      <c r="I507" t="s">
        <v>95</v>
      </c>
      <c r="J507" t="s">
        <v>95</v>
      </c>
      <c r="K507" s="30">
        <v>43031</v>
      </c>
      <c r="L507" s="8"/>
      <c r="M507" s="21">
        <f>LEN(ProjTextTable[[#This Row],[text]])</f>
        <v>3395</v>
      </c>
      <c r="N507" s="21">
        <f>LEN(TRIM(CLEAN(SUBSTITUTE(ProjTextTable[[#This Row],[text]],CHAR(10)," "))))+1 - LEN(SUBSTITUTE(CLEAN(SUBSTITUTE(ProjTextTable[[#This Row],[text]],CHAR(10)," "))," ",""))</f>
        <v>510</v>
      </c>
      <c r="O507" t="s">
        <v>257</v>
      </c>
      <c r="P507" t="s">
        <v>849</v>
      </c>
    </row>
    <row r="508" spans="1:16" x14ac:dyDescent="0.4">
      <c r="A508">
        <f t="shared" si="7"/>
        <v>75</v>
      </c>
      <c r="B508" t="s">
        <v>369</v>
      </c>
      <c r="C508" t="s">
        <v>499</v>
      </c>
      <c r="D508" t="s">
        <v>198</v>
      </c>
      <c r="E508" t="s">
        <v>451</v>
      </c>
      <c r="F508" t="s">
        <v>724</v>
      </c>
      <c r="G508" t="s">
        <v>725</v>
      </c>
      <c r="H508" t="s">
        <v>726</v>
      </c>
      <c r="I508" t="s">
        <v>215</v>
      </c>
      <c r="J508" t="s">
        <v>178</v>
      </c>
      <c r="K508" s="30">
        <v>43032</v>
      </c>
      <c r="L508" s="8">
        <v>43031.606099537035</v>
      </c>
      <c r="M508" s="21">
        <f>LEN(ProjTextTable[[#This Row],[text]])</f>
        <v>3088</v>
      </c>
      <c r="N508" s="21">
        <f>LEN(TRIM(CLEAN(SUBSTITUTE(ProjTextTable[[#This Row],[text]],CHAR(10)," "))))+1 - LEN(SUBSTITUTE(CLEAN(SUBSTITUTE(ProjTextTable[[#This Row],[text]],CHAR(10)," "))," ",""))</f>
        <v>450</v>
      </c>
      <c r="O508" t="s">
        <v>202</v>
      </c>
      <c r="P508" t="s">
        <v>850</v>
      </c>
    </row>
    <row r="509" spans="1:16" x14ac:dyDescent="0.4">
      <c r="A509">
        <f t="shared" si="7"/>
        <v>75</v>
      </c>
      <c r="B509" t="s">
        <v>369</v>
      </c>
      <c r="C509" t="s">
        <v>499</v>
      </c>
      <c r="D509" t="s">
        <v>198</v>
      </c>
      <c r="E509" t="s">
        <v>451</v>
      </c>
      <c r="F509" t="s">
        <v>755</v>
      </c>
      <c r="G509" t="s">
        <v>756</v>
      </c>
      <c r="H509" t="s">
        <v>757</v>
      </c>
      <c r="I509" t="s">
        <v>215</v>
      </c>
      <c r="J509" t="s">
        <v>178</v>
      </c>
      <c r="K509" s="30">
        <v>43032</v>
      </c>
      <c r="L509" s="8">
        <v>43032.52853009259</v>
      </c>
      <c r="M509" s="21">
        <f>LEN(ProjTextTable[[#This Row],[text]])</f>
        <v>4240</v>
      </c>
      <c r="N509" s="21">
        <f>LEN(TRIM(CLEAN(SUBSTITUTE(ProjTextTable[[#This Row],[text]],CHAR(10)," "))))+1 - LEN(SUBSTITUTE(CLEAN(SUBSTITUTE(ProjTextTable[[#This Row],[text]],CHAR(10)," "))," ",""))</f>
        <v>665</v>
      </c>
      <c r="O509" t="s">
        <v>199</v>
      </c>
      <c r="P509" t="s">
        <v>851</v>
      </c>
    </row>
    <row r="510" spans="1:16" x14ac:dyDescent="0.4">
      <c r="A510">
        <f t="shared" si="7"/>
        <v>75</v>
      </c>
      <c r="B510" t="s">
        <v>369</v>
      </c>
      <c r="C510" t="s">
        <v>499</v>
      </c>
      <c r="D510" t="s">
        <v>198</v>
      </c>
      <c r="E510" t="s">
        <v>451</v>
      </c>
      <c r="F510" t="s">
        <v>797</v>
      </c>
      <c r="G510" t="s">
        <v>798</v>
      </c>
      <c r="H510" t="s">
        <v>799</v>
      </c>
      <c r="I510" t="s">
        <v>215</v>
      </c>
      <c r="J510" t="s">
        <v>178</v>
      </c>
      <c r="K510" s="30">
        <v>43032</v>
      </c>
      <c r="L510" s="8">
        <v>43030.964513888888</v>
      </c>
      <c r="M510" s="21">
        <f>LEN(ProjTextTable[[#This Row],[text]])</f>
        <v>1835</v>
      </c>
      <c r="N510" s="21">
        <f>LEN(TRIM(CLEAN(SUBSTITUTE(ProjTextTable[[#This Row],[text]],CHAR(10)," "))))+1 - LEN(SUBSTITUTE(CLEAN(SUBSTITUTE(ProjTextTable[[#This Row],[text]],CHAR(10)," "))," ",""))</f>
        <v>279</v>
      </c>
      <c r="O510" t="s">
        <v>202</v>
      </c>
      <c r="P510" t="s">
        <v>852</v>
      </c>
    </row>
    <row r="511" spans="1:16" x14ac:dyDescent="0.4">
      <c r="A511">
        <f t="shared" si="7"/>
        <v>75</v>
      </c>
      <c r="B511" t="s">
        <v>369</v>
      </c>
      <c r="C511" t="s">
        <v>499</v>
      </c>
      <c r="D511" t="s">
        <v>198</v>
      </c>
      <c r="E511" t="s">
        <v>451</v>
      </c>
      <c r="F511" t="s">
        <v>760</v>
      </c>
      <c r="G511" t="s">
        <v>761</v>
      </c>
      <c r="H511" t="s">
        <v>762</v>
      </c>
      <c r="I511" t="s">
        <v>215</v>
      </c>
      <c r="J511" t="s">
        <v>178</v>
      </c>
      <c r="K511" s="30">
        <v>43032</v>
      </c>
      <c r="L511" s="8">
        <v>43028.722314814811</v>
      </c>
      <c r="M511" s="21">
        <f>LEN(ProjTextTable[[#This Row],[text]])</f>
        <v>1743</v>
      </c>
      <c r="N511" s="21">
        <f>LEN(TRIM(CLEAN(SUBSTITUTE(ProjTextTable[[#This Row],[text]],CHAR(10)," "))))+1 - LEN(SUBSTITUTE(CLEAN(SUBSTITUTE(ProjTextTable[[#This Row],[text]],CHAR(10)," "))," ",""))</f>
        <v>246</v>
      </c>
      <c r="O511" t="s">
        <v>267</v>
      </c>
      <c r="P511" t="s">
        <v>853</v>
      </c>
    </row>
    <row r="512" spans="1:16" x14ac:dyDescent="0.4">
      <c r="A512">
        <f t="shared" si="7"/>
        <v>76</v>
      </c>
      <c r="B512" t="s">
        <v>370</v>
      </c>
      <c r="C512" t="s">
        <v>505</v>
      </c>
      <c r="D512" t="s">
        <v>209</v>
      </c>
      <c r="E512" t="s">
        <v>451</v>
      </c>
      <c r="F512" t="s">
        <v>616</v>
      </c>
      <c r="G512" t="s">
        <v>713</v>
      </c>
      <c r="H512" t="s">
        <v>264</v>
      </c>
      <c r="I512" t="s">
        <v>197</v>
      </c>
      <c r="J512" t="s">
        <v>733</v>
      </c>
      <c r="K512" s="30">
        <v>43031</v>
      </c>
      <c r="L512" s="8"/>
      <c r="M512" s="21">
        <f>LEN(ProjTextTable[[#This Row],[text]])</f>
        <v>3384</v>
      </c>
      <c r="N512" s="21">
        <f>LEN(TRIM(CLEAN(SUBSTITUTE(ProjTextTable[[#This Row],[text]],CHAR(10)," "))))+1 - LEN(SUBSTITUTE(CLEAN(SUBSTITUTE(ProjTextTable[[#This Row],[text]],CHAR(10)," "))," ",""))</f>
        <v>497</v>
      </c>
      <c r="O512" t="s">
        <v>263</v>
      </c>
      <c r="P512" t="s">
        <v>854</v>
      </c>
    </row>
    <row r="513" spans="1:16" x14ac:dyDescent="0.4">
      <c r="A513">
        <f t="shared" si="7"/>
        <v>76</v>
      </c>
      <c r="B513" t="s">
        <v>370</v>
      </c>
      <c r="C513" t="s">
        <v>505</v>
      </c>
      <c r="D513" t="s">
        <v>198</v>
      </c>
      <c r="E513" t="s">
        <v>451</v>
      </c>
      <c r="F513" t="s">
        <v>779</v>
      </c>
      <c r="G513" t="s">
        <v>780</v>
      </c>
      <c r="H513" t="s">
        <v>781</v>
      </c>
      <c r="I513" t="s">
        <v>215</v>
      </c>
      <c r="J513" t="s">
        <v>178</v>
      </c>
      <c r="K513" s="30">
        <v>43032</v>
      </c>
      <c r="L513" s="8">
        <v>43030.881342592591</v>
      </c>
      <c r="M513" s="21">
        <f>LEN(ProjTextTable[[#This Row],[text]])</f>
        <v>2806</v>
      </c>
      <c r="N513" s="21">
        <f>LEN(TRIM(CLEAN(SUBSTITUTE(ProjTextTable[[#This Row],[text]],CHAR(10)," "))))+1 - LEN(SUBSTITUTE(CLEAN(SUBSTITUTE(ProjTextTable[[#This Row],[text]],CHAR(10)," "))," ",""))</f>
        <v>425</v>
      </c>
      <c r="O513" t="s">
        <v>203</v>
      </c>
      <c r="P513" t="s">
        <v>855</v>
      </c>
    </row>
    <row r="514" spans="1:16" x14ac:dyDescent="0.4">
      <c r="A514">
        <f t="shared" ref="A514:A577" si="8">A513+(B514&lt;&gt;B513)</f>
        <v>76</v>
      </c>
      <c r="B514" t="s">
        <v>370</v>
      </c>
      <c r="C514" t="s">
        <v>505</v>
      </c>
      <c r="D514" t="s">
        <v>198</v>
      </c>
      <c r="E514" t="s">
        <v>451</v>
      </c>
      <c r="F514" t="s">
        <v>716</v>
      </c>
      <c r="G514" t="s">
        <v>717</v>
      </c>
      <c r="H514" t="s">
        <v>718</v>
      </c>
      <c r="I514" t="s">
        <v>215</v>
      </c>
      <c r="J514" t="s">
        <v>178</v>
      </c>
      <c r="K514" s="30">
        <v>43032</v>
      </c>
      <c r="L514" s="8">
        <v>43031.585636574076</v>
      </c>
      <c r="M514" s="21">
        <f>LEN(ProjTextTable[[#This Row],[text]])</f>
        <v>3764</v>
      </c>
      <c r="N514" s="21">
        <f>LEN(TRIM(CLEAN(SUBSTITUTE(ProjTextTable[[#This Row],[text]],CHAR(10)," "))))+1 - LEN(SUBSTITUTE(CLEAN(SUBSTITUTE(ProjTextTable[[#This Row],[text]],CHAR(10)," "))," ",""))</f>
        <v>592</v>
      </c>
      <c r="O514" t="s">
        <v>206</v>
      </c>
      <c r="P514" t="s">
        <v>856</v>
      </c>
    </row>
    <row r="515" spans="1:16" x14ac:dyDescent="0.4">
      <c r="A515">
        <f t="shared" si="8"/>
        <v>76</v>
      </c>
      <c r="B515" t="s">
        <v>370</v>
      </c>
      <c r="C515" t="s">
        <v>505</v>
      </c>
      <c r="D515" t="s">
        <v>198</v>
      </c>
      <c r="E515" t="s">
        <v>451</v>
      </c>
      <c r="F515" t="s">
        <v>724</v>
      </c>
      <c r="G515" t="s">
        <v>725</v>
      </c>
      <c r="H515" t="s">
        <v>726</v>
      </c>
      <c r="I515" t="s">
        <v>215</v>
      </c>
      <c r="J515" t="s">
        <v>178</v>
      </c>
      <c r="K515" s="30">
        <v>43032</v>
      </c>
      <c r="L515" s="8">
        <v>43030.737314814818</v>
      </c>
      <c r="M515" s="21">
        <f>LEN(ProjTextTable[[#This Row],[text]])</f>
        <v>2838</v>
      </c>
      <c r="N515" s="21">
        <f>LEN(TRIM(CLEAN(SUBSTITUTE(ProjTextTable[[#This Row],[text]],CHAR(10)," "))))+1 - LEN(SUBSTITUTE(CLEAN(SUBSTITUTE(ProjTextTable[[#This Row],[text]],CHAR(10)," "))," ",""))</f>
        <v>429</v>
      </c>
      <c r="O515" t="s">
        <v>202</v>
      </c>
      <c r="P515" t="s">
        <v>857</v>
      </c>
    </row>
    <row r="516" spans="1:16" x14ac:dyDescent="0.4">
      <c r="A516">
        <f t="shared" si="8"/>
        <v>76</v>
      </c>
      <c r="B516" t="s">
        <v>370</v>
      </c>
      <c r="C516" t="s">
        <v>505</v>
      </c>
      <c r="D516" t="s">
        <v>198</v>
      </c>
      <c r="E516" t="s">
        <v>451</v>
      </c>
      <c r="F516" t="s">
        <v>760</v>
      </c>
      <c r="G516" t="s">
        <v>761</v>
      </c>
      <c r="H516" t="s">
        <v>762</v>
      </c>
      <c r="I516" t="s">
        <v>215</v>
      </c>
      <c r="J516" t="s">
        <v>178</v>
      </c>
      <c r="K516" s="30">
        <v>43032</v>
      </c>
      <c r="L516" s="8">
        <v>43032.487256944441</v>
      </c>
      <c r="M516" s="21">
        <f>LEN(ProjTextTable[[#This Row],[text]])</f>
        <v>1564</v>
      </c>
      <c r="N516" s="21">
        <f>LEN(TRIM(CLEAN(SUBSTITUTE(ProjTextTable[[#This Row],[text]],CHAR(10)," "))))+1 - LEN(SUBSTITUTE(CLEAN(SUBSTITUTE(ProjTextTable[[#This Row],[text]],CHAR(10)," "))," ",""))</f>
        <v>236</v>
      </c>
      <c r="O516" t="s">
        <v>199</v>
      </c>
      <c r="P516" t="s">
        <v>858</v>
      </c>
    </row>
    <row r="517" spans="1:16" x14ac:dyDescent="0.4">
      <c r="A517">
        <f t="shared" si="8"/>
        <v>76</v>
      </c>
      <c r="B517" t="s">
        <v>370</v>
      </c>
      <c r="C517" t="s">
        <v>505</v>
      </c>
      <c r="D517" t="s">
        <v>200</v>
      </c>
      <c r="E517" t="s">
        <v>422</v>
      </c>
      <c r="F517" t="s">
        <v>13</v>
      </c>
      <c r="G517" t="s">
        <v>13</v>
      </c>
      <c r="H517" t="s">
        <v>13</v>
      </c>
      <c r="K517" s="30"/>
      <c r="L517" s="8">
        <v>42936.043437499997</v>
      </c>
      <c r="M517" s="21">
        <f>LEN(ProjTextTable[[#This Row],[text]])</f>
        <v>3137</v>
      </c>
      <c r="N517" s="21">
        <f>LEN(TRIM(CLEAN(SUBSTITUTE(ProjTextTable[[#This Row],[text]],CHAR(10)," "))))+1 - LEN(SUBSTITUTE(CLEAN(SUBSTITUTE(ProjTextTable[[#This Row],[text]],CHAR(10)," "))," ",""))</f>
        <v>455</v>
      </c>
      <c r="O517" t="s">
        <v>13</v>
      </c>
      <c r="P517" t="s">
        <v>859</v>
      </c>
    </row>
    <row r="518" spans="1:16" x14ac:dyDescent="0.4">
      <c r="A518">
        <f t="shared" si="8"/>
        <v>77</v>
      </c>
      <c r="B518" t="s">
        <v>371</v>
      </c>
      <c r="C518" t="s">
        <v>512</v>
      </c>
      <c r="D518" t="s">
        <v>209</v>
      </c>
      <c r="E518" t="s">
        <v>451</v>
      </c>
      <c r="F518" t="s">
        <v>616</v>
      </c>
      <c r="G518" t="s">
        <v>713</v>
      </c>
      <c r="H518" t="s">
        <v>212</v>
      </c>
      <c r="I518" t="s">
        <v>201</v>
      </c>
      <c r="J518" t="s">
        <v>268</v>
      </c>
      <c r="K518" s="30">
        <v>43031</v>
      </c>
      <c r="L518" s="8"/>
      <c r="M518" s="21">
        <f>LEN(ProjTextTable[[#This Row],[text]])</f>
        <v>2012</v>
      </c>
      <c r="N518" s="21">
        <f>LEN(TRIM(CLEAN(SUBSTITUTE(ProjTextTable[[#This Row],[text]],CHAR(10)," "))))+1 - LEN(SUBSTITUTE(CLEAN(SUBSTITUTE(ProjTextTable[[#This Row],[text]],CHAR(10)," "))," ",""))</f>
        <v>277</v>
      </c>
      <c r="O518" t="s">
        <v>213</v>
      </c>
      <c r="P518" t="s">
        <v>860</v>
      </c>
    </row>
    <row r="519" spans="1:16" x14ac:dyDescent="0.4">
      <c r="A519">
        <f t="shared" si="8"/>
        <v>77</v>
      </c>
      <c r="B519" t="s">
        <v>371</v>
      </c>
      <c r="C519" t="s">
        <v>512</v>
      </c>
      <c r="D519" t="s">
        <v>198</v>
      </c>
      <c r="E519" t="s">
        <v>451</v>
      </c>
      <c r="F519" t="s">
        <v>735</v>
      </c>
      <c r="G519" t="s">
        <v>736</v>
      </c>
      <c r="H519" t="s">
        <v>737</v>
      </c>
      <c r="I519" t="s">
        <v>215</v>
      </c>
      <c r="J519" t="s">
        <v>178</v>
      </c>
      <c r="K519" s="30">
        <v>43032</v>
      </c>
      <c r="L519" s="8">
        <v>43022.977719907409</v>
      </c>
      <c r="M519" s="21">
        <f>LEN(ProjTextTable[[#This Row],[text]])</f>
        <v>2991</v>
      </c>
      <c r="N519" s="21">
        <f>LEN(TRIM(CLEAN(SUBSTITUTE(ProjTextTable[[#This Row],[text]],CHAR(10)," "))))+1 - LEN(SUBSTITUTE(CLEAN(SUBSTITUTE(ProjTextTable[[#This Row],[text]],CHAR(10)," "))," ",""))</f>
        <v>467</v>
      </c>
      <c r="O519" t="s">
        <v>203</v>
      </c>
      <c r="P519" t="s">
        <v>861</v>
      </c>
    </row>
    <row r="520" spans="1:16" x14ac:dyDescent="0.4">
      <c r="A520">
        <f t="shared" si="8"/>
        <v>77</v>
      </c>
      <c r="B520" t="s">
        <v>371</v>
      </c>
      <c r="C520" t="s">
        <v>512</v>
      </c>
      <c r="D520" t="s">
        <v>198</v>
      </c>
      <c r="E520" t="s">
        <v>406</v>
      </c>
      <c r="F520" t="s">
        <v>739</v>
      </c>
      <c r="G520" t="s">
        <v>740</v>
      </c>
      <c r="H520" t="s">
        <v>741</v>
      </c>
      <c r="I520" t="s">
        <v>215</v>
      </c>
      <c r="J520" t="s">
        <v>178</v>
      </c>
      <c r="K520" s="30">
        <v>43032</v>
      </c>
      <c r="L520" s="8">
        <v>43030.18167824074</v>
      </c>
      <c r="M520" s="21">
        <f>LEN(ProjTextTable[[#This Row],[text]])</f>
        <v>2066</v>
      </c>
      <c r="N520" s="21">
        <f>LEN(TRIM(CLEAN(SUBSTITUTE(ProjTextTable[[#This Row],[text]],CHAR(10)," "))))+1 - LEN(SUBSTITUTE(CLEAN(SUBSTITUTE(ProjTextTable[[#This Row],[text]],CHAR(10)," "))," ",""))</f>
        <v>295</v>
      </c>
      <c r="O520" t="s">
        <v>203</v>
      </c>
      <c r="P520" t="s">
        <v>862</v>
      </c>
    </row>
    <row r="521" spans="1:16" x14ac:dyDescent="0.4">
      <c r="A521">
        <f t="shared" si="8"/>
        <v>77</v>
      </c>
      <c r="B521" t="s">
        <v>371</v>
      </c>
      <c r="C521" t="s">
        <v>512</v>
      </c>
      <c r="D521" t="s">
        <v>198</v>
      </c>
      <c r="E521" t="s">
        <v>451</v>
      </c>
      <c r="F521" t="s">
        <v>743</v>
      </c>
      <c r="G521" t="s">
        <v>744</v>
      </c>
      <c r="H521" t="s">
        <v>745</v>
      </c>
      <c r="I521" t="s">
        <v>215</v>
      </c>
      <c r="J521" t="s">
        <v>178</v>
      </c>
      <c r="K521" s="30">
        <v>43032</v>
      </c>
      <c r="L521" s="8">
        <v>43028.861875000002</v>
      </c>
      <c r="M521" s="21">
        <f>LEN(ProjTextTable[[#This Row],[text]])</f>
        <v>2452</v>
      </c>
      <c r="N521" s="21">
        <f>LEN(TRIM(CLEAN(SUBSTITUTE(ProjTextTable[[#This Row],[text]],CHAR(10)," "))))+1 - LEN(SUBSTITUTE(CLEAN(SUBSTITUTE(ProjTextTable[[#This Row],[text]],CHAR(10)," "))," ",""))</f>
        <v>365</v>
      </c>
      <c r="O521" t="s">
        <v>203</v>
      </c>
      <c r="P521" t="s">
        <v>863</v>
      </c>
    </row>
    <row r="522" spans="1:16" x14ac:dyDescent="0.4">
      <c r="A522">
        <f t="shared" si="8"/>
        <v>77</v>
      </c>
      <c r="B522" t="s">
        <v>371</v>
      </c>
      <c r="C522" t="s">
        <v>512</v>
      </c>
      <c r="D522" t="s">
        <v>198</v>
      </c>
      <c r="E522" t="s">
        <v>451</v>
      </c>
      <c r="F522" t="s">
        <v>783</v>
      </c>
      <c r="G522" t="s">
        <v>784</v>
      </c>
      <c r="H522" t="s">
        <v>785</v>
      </c>
      <c r="I522" t="s">
        <v>215</v>
      </c>
      <c r="J522" t="s">
        <v>178</v>
      </c>
      <c r="K522" s="30">
        <v>43032</v>
      </c>
      <c r="L522" s="8">
        <v>43027.663506944446</v>
      </c>
      <c r="M522" s="21">
        <f>LEN(ProjTextTable[[#This Row],[text]])</f>
        <v>2625</v>
      </c>
      <c r="N522" s="21">
        <f>LEN(TRIM(CLEAN(SUBSTITUTE(ProjTextTable[[#This Row],[text]],CHAR(10)," "))))+1 - LEN(SUBSTITUTE(CLEAN(SUBSTITUTE(ProjTextTable[[#This Row],[text]],CHAR(10)," "))," ",""))</f>
        <v>399</v>
      </c>
      <c r="O522" t="s">
        <v>267</v>
      </c>
      <c r="P522" t="s">
        <v>864</v>
      </c>
    </row>
    <row r="523" spans="1:16" x14ac:dyDescent="0.4">
      <c r="A523">
        <f t="shared" si="8"/>
        <v>77</v>
      </c>
      <c r="B523" t="s">
        <v>371</v>
      </c>
      <c r="C523" t="s">
        <v>512</v>
      </c>
      <c r="D523" t="s">
        <v>200</v>
      </c>
      <c r="E523" t="s">
        <v>406</v>
      </c>
      <c r="F523" t="s">
        <v>13</v>
      </c>
      <c r="G523" t="s">
        <v>13</v>
      </c>
      <c r="H523" t="s">
        <v>13</v>
      </c>
      <c r="K523" s="30"/>
      <c r="L523" s="8">
        <v>42936.044259259259</v>
      </c>
      <c r="M523" s="21">
        <f>LEN(ProjTextTable[[#This Row],[text]])</f>
        <v>4189</v>
      </c>
      <c r="N523" s="21">
        <f>LEN(TRIM(CLEAN(SUBSTITUTE(ProjTextTable[[#This Row],[text]],CHAR(10)," "))))+1 - LEN(SUBSTITUTE(CLEAN(SUBSTITUTE(ProjTextTable[[#This Row],[text]],CHAR(10)," "))," ",""))</f>
        <v>639</v>
      </c>
      <c r="O523" t="s">
        <v>13</v>
      </c>
      <c r="P523" t="s">
        <v>865</v>
      </c>
    </row>
    <row r="524" spans="1:16" x14ac:dyDescent="0.4">
      <c r="A524">
        <f t="shared" si="8"/>
        <v>78</v>
      </c>
      <c r="B524" t="s">
        <v>372</v>
      </c>
      <c r="C524" t="s">
        <v>517</v>
      </c>
      <c r="D524" t="s">
        <v>209</v>
      </c>
      <c r="E524" t="s">
        <v>451</v>
      </c>
      <c r="F524" t="s">
        <v>616</v>
      </c>
      <c r="G524" t="s">
        <v>713</v>
      </c>
      <c r="H524" t="s">
        <v>264</v>
      </c>
      <c r="I524" t="s">
        <v>197</v>
      </c>
      <c r="J524" t="s">
        <v>733</v>
      </c>
      <c r="K524" s="30">
        <v>43031</v>
      </c>
      <c r="L524" s="8"/>
      <c r="M524" s="21">
        <f>LEN(ProjTextTable[[#This Row],[text]])</f>
        <v>2447</v>
      </c>
      <c r="N524" s="21">
        <f>LEN(TRIM(CLEAN(SUBSTITUTE(ProjTextTable[[#This Row],[text]],CHAR(10)," "))))+1 - LEN(SUBSTITUTE(CLEAN(SUBSTITUTE(ProjTextTable[[#This Row],[text]],CHAR(10)," "))," ",""))</f>
        <v>338</v>
      </c>
      <c r="O524" t="s">
        <v>263</v>
      </c>
      <c r="P524" t="s">
        <v>866</v>
      </c>
    </row>
    <row r="525" spans="1:16" x14ac:dyDescent="0.4">
      <c r="A525">
        <f t="shared" si="8"/>
        <v>78</v>
      </c>
      <c r="B525" t="s">
        <v>372</v>
      </c>
      <c r="C525" t="s">
        <v>517</v>
      </c>
      <c r="D525" t="s">
        <v>198</v>
      </c>
      <c r="E525" t="s">
        <v>451</v>
      </c>
      <c r="F525" t="s">
        <v>735</v>
      </c>
      <c r="G525" t="s">
        <v>736</v>
      </c>
      <c r="H525" t="s">
        <v>737</v>
      </c>
      <c r="I525" t="s">
        <v>215</v>
      </c>
      <c r="J525" t="s">
        <v>178</v>
      </c>
      <c r="K525" s="30">
        <v>43032</v>
      </c>
      <c r="L525" s="8">
        <v>43025.748668981483</v>
      </c>
      <c r="M525" s="21">
        <f>LEN(ProjTextTable[[#This Row],[text]])</f>
        <v>2351</v>
      </c>
      <c r="N525" s="21">
        <f>LEN(TRIM(CLEAN(SUBSTITUTE(ProjTextTable[[#This Row],[text]],CHAR(10)," "))))+1 - LEN(SUBSTITUTE(CLEAN(SUBSTITUTE(ProjTextTable[[#This Row],[text]],CHAR(10)," "))," ",""))</f>
        <v>366</v>
      </c>
      <c r="O525" t="s">
        <v>207</v>
      </c>
      <c r="P525" t="s">
        <v>867</v>
      </c>
    </row>
    <row r="526" spans="1:16" x14ac:dyDescent="0.4">
      <c r="A526">
        <f t="shared" si="8"/>
        <v>78</v>
      </c>
      <c r="B526" t="s">
        <v>372</v>
      </c>
      <c r="C526" t="s">
        <v>517</v>
      </c>
      <c r="D526" t="s">
        <v>198</v>
      </c>
      <c r="E526" t="s">
        <v>406</v>
      </c>
      <c r="F526" t="s">
        <v>739</v>
      </c>
      <c r="G526" t="s">
        <v>740</v>
      </c>
      <c r="H526" t="s">
        <v>741</v>
      </c>
      <c r="I526" t="s">
        <v>215</v>
      </c>
      <c r="J526" t="s">
        <v>178</v>
      </c>
      <c r="K526" s="30">
        <v>43032</v>
      </c>
      <c r="L526" s="8">
        <v>43030.178067129629</v>
      </c>
      <c r="M526" s="21">
        <f>LEN(ProjTextTable[[#This Row],[text]])</f>
        <v>2003</v>
      </c>
      <c r="N526" s="21">
        <f>LEN(TRIM(CLEAN(SUBSTITUTE(ProjTextTable[[#This Row],[text]],CHAR(10)," "))))+1 - LEN(SUBSTITUTE(CLEAN(SUBSTITUTE(ProjTextTable[[#This Row],[text]],CHAR(10)," "))," ",""))</f>
        <v>303</v>
      </c>
      <c r="O526" t="s">
        <v>205</v>
      </c>
      <c r="P526" t="s">
        <v>868</v>
      </c>
    </row>
    <row r="527" spans="1:16" x14ac:dyDescent="0.4">
      <c r="A527">
        <f t="shared" si="8"/>
        <v>78</v>
      </c>
      <c r="B527" t="s">
        <v>372</v>
      </c>
      <c r="C527" t="s">
        <v>517</v>
      </c>
      <c r="D527" t="s">
        <v>198</v>
      </c>
      <c r="E527" t="s">
        <v>451</v>
      </c>
      <c r="F527" t="s">
        <v>743</v>
      </c>
      <c r="G527" t="s">
        <v>744</v>
      </c>
      <c r="H527" t="s">
        <v>745</v>
      </c>
      <c r="I527" t="s">
        <v>215</v>
      </c>
      <c r="J527" t="s">
        <v>178</v>
      </c>
      <c r="K527" s="30">
        <v>43032</v>
      </c>
      <c r="L527" s="8">
        <v>43028.861886574072</v>
      </c>
      <c r="M527" s="21">
        <f>LEN(ProjTextTable[[#This Row],[text]])</f>
        <v>2634</v>
      </c>
      <c r="N527" s="21">
        <f>LEN(TRIM(CLEAN(SUBSTITUTE(ProjTextTable[[#This Row],[text]],CHAR(10)," "))))+1 - LEN(SUBSTITUTE(CLEAN(SUBSTITUTE(ProjTextTable[[#This Row],[text]],CHAR(10)," "))," ",""))</f>
        <v>405</v>
      </c>
      <c r="O527" t="s">
        <v>199</v>
      </c>
      <c r="P527" t="s">
        <v>869</v>
      </c>
    </row>
    <row r="528" spans="1:16" x14ac:dyDescent="0.4">
      <c r="A528">
        <f t="shared" si="8"/>
        <v>78</v>
      </c>
      <c r="B528" t="s">
        <v>372</v>
      </c>
      <c r="C528" t="s">
        <v>517</v>
      </c>
      <c r="D528" t="s">
        <v>198</v>
      </c>
      <c r="E528" t="s">
        <v>451</v>
      </c>
      <c r="F528" t="s">
        <v>783</v>
      </c>
      <c r="G528" t="s">
        <v>784</v>
      </c>
      <c r="H528" t="s">
        <v>785</v>
      </c>
      <c r="I528" t="s">
        <v>215</v>
      </c>
      <c r="J528" t="s">
        <v>178</v>
      </c>
      <c r="K528" s="30">
        <v>43032</v>
      </c>
      <c r="L528" s="8">
        <v>43027.634618055556</v>
      </c>
      <c r="M528" s="21">
        <f>LEN(ProjTextTable[[#This Row],[text]])</f>
        <v>2484</v>
      </c>
      <c r="N528" s="21">
        <f>LEN(TRIM(CLEAN(SUBSTITUTE(ProjTextTable[[#This Row],[text]],CHAR(10)," "))))+1 - LEN(SUBSTITUTE(CLEAN(SUBSTITUTE(ProjTextTable[[#This Row],[text]],CHAR(10)," "))," ",""))</f>
        <v>378</v>
      </c>
      <c r="O528" t="s">
        <v>203</v>
      </c>
      <c r="P528" t="s">
        <v>870</v>
      </c>
    </row>
    <row r="529" spans="1:16" x14ac:dyDescent="0.4">
      <c r="A529">
        <f t="shared" si="8"/>
        <v>78</v>
      </c>
      <c r="B529" t="s">
        <v>372</v>
      </c>
      <c r="C529" t="s">
        <v>517</v>
      </c>
      <c r="D529" t="s">
        <v>200</v>
      </c>
      <c r="E529" t="s">
        <v>406</v>
      </c>
      <c r="F529" t="s">
        <v>13</v>
      </c>
      <c r="G529" t="s">
        <v>13</v>
      </c>
      <c r="H529" t="s">
        <v>13</v>
      </c>
      <c r="K529" s="30"/>
      <c r="L529" s="8">
        <v>42936.044953703706</v>
      </c>
      <c r="M529" s="21">
        <f>LEN(ProjTextTable[[#This Row],[text]])</f>
        <v>3898</v>
      </c>
      <c r="N529" s="21">
        <f>LEN(TRIM(CLEAN(SUBSTITUTE(ProjTextTable[[#This Row],[text]],CHAR(10)," "))))+1 - LEN(SUBSTITUTE(CLEAN(SUBSTITUTE(ProjTextTable[[#This Row],[text]],CHAR(10)," "))," ",""))</f>
        <v>569</v>
      </c>
      <c r="O529" t="s">
        <v>13</v>
      </c>
      <c r="P529" t="s">
        <v>871</v>
      </c>
    </row>
    <row r="530" spans="1:16" x14ac:dyDescent="0.4">
      <c r="A530">
        <f t="shared" si="8"/>
        <v>79</v>
      </c>
      <c r="B530" t="s">
        <v>373</v>
      </c>
      <c r="C530" t="s">
        <v>523</v>
      </c>
      <c r="D530" t="s">
        <v>209</v>
      </c>
      <c r="E530" t="s">
        <v>451</v>
      </c>
      <c r="F530" t="s">
        <v>616</v>
      </c>
      <c r="G530" t="s">
        <v>713</v>
      </c>
      <c r="H530" t="s">
        <v>212</v>
      </c>
      <c r="I530" t="s">
        <v>201</v>
      </c>
      <c r="J530" t="s">
        <v>872</v>
      </c>
      <c r="K530" s="30">
        <v>43031</v>
      </c>
      <c r="L530" s="8"/>
      <c r="M530" s="21">
        <f>LEN(ProjTextTable[[#This Row],[text]])</f>
        <v>2478</v>
      </c>
      <c r="N530" s="21">
        <f>LEN(TRIM(CLEAN(SUBSTITUTE(ProjTextTable[[#This Row],[text]],CHAR(10)," "))))+1 - LEN(SUBSTITUTE(CLEAN(SUBSTITUTE(ProjTextTable[[#This Row],[text]],CHAR(10)," "))," ",""))</f>
        <v>352</v>
      </c>
      <c r="O530" t="s">
        <v>213</v>
      </c>
      <c r="P530" t="s">
        <v>873</v>
      </c>
    </row>
    <row r="531" spans="1:16" x14ac:dyDescent="0.4">
      <c r="A531">
        <f t="shared" si="8"/>
        <v>79</v>
      </c>
      <c r="B531" t="s">
        <v>373</v>
      </c>
      <c r="C531" t="s">
        <v>523</v>
      </c>
      <c r="D531" t="s">
        <v>198</v>
      </c>
      <c r="E531" t="s">
        <v>451</v>
      </c>
      <c r="F531" t="s">
        <v>735</v>
      </c>
      <c r="G531" t="s">
        <v>736</v>
      </c>
      <c r="H531" t="s">
        <v>737</v>
      </c>
      <c r="I531" t="s">
        <v>215</v>
      </c>
      <c r="J531" t="s">
        <v>178</v>
      </c>
      <c r="K531" s="30">
        <v>43032</v>
      </c>
      <c r="L531" s="8">
        <v>43031.392627314817</v>
      </c>
      <c r="M531" s="21">
        <f>LEN(ProjTextTable[[#This Row],[text]])</f>
        <v>2470</v>
      </c>
      <c r="N531" s="21">
        <f>LEN(TRIM(CLEAN(SUBSTITUTE(ProjTextTable[[#This Row],[text]],CHAR(10)," "))))+1 - LEN(SUBSTITUTE(CLEAN(SUBSTITUTE(ProjTextTable[[#This Row],[text]],CHAR(10)," "))," ",""))</f>
        <v>379</v>
      </c>
      <c r="O531" t="s">
        <v>203</v>
      </c>
      <c r="P531" t="s">
        <v>874</v>
      </c>
    </row>
    <row r="532" spans="1:16" x14ac:dyDescent="0.4">
      <c r="A532">
        <f t="shared" si="8"/>
        <v>79</v>
      </c>
      <c r="B532" t="s">
        <v>373</v>
      </c>
      <c r="C532" t="s">
        <v>523</v>
      </c>
      <c r="D532" t="s">
        <v>198</v>
      </c>
      <c r="E532" t="s">
        <v>451</v>
      </c>
      <c r="F532" t="s">
        <v>743</v>
      </c>
      <c r="G532" t="s">
        <v>744</v>
      </c>
      <c r="H532" t="s">
        <v>745</v>
      </c>
      <c r="I532" t="s">
        <v>215</v>
      </c>
      <c r="J532" t="s">
        <v>178</v>
      </c>
      <c r="K532" s="30">
        <v>43032</v>
      </c>
      <c r="L532" s="8">
        <v>43028.861886574072</v>
      </c>
      <c r="M532" s="21">
        <f>LEN(ProjTextTable[[#This Row],[text]])</f>
        <v>1850</v>
      </c>
      <c r="N532" s="21">
        <f>LEN(TRIM(CLEAN(SUBSTITUTE(ProjTextTable[[#This Row],[text]],CHAR(10)," "))))+1 - LEN(SUBSTITUTE(CLEAN(SUBSTITUTE(ProjTextTable[[#This Row],[text]],CHAR(10)," "))," ",""))</f>
        <v>275</v>
      </c>
      <c r="O532" t="s">
        <v>199</v>
      </c>
      <c r="P532" t="s">
        <v>875</v>
      </c>
    </row>
    <row r="533" spans="1:16" x14ac:dyDescent="0.4">
      <c r="A533">
        <f t="shared" si="8"/>
        <v>79</v>
      </c>
      <c r="B533" t="s">
        <v>373</v>
      </c>
      <c r="C533" t="s">
        <v>523</v>
      </c>
      <c r="D533" t="s">
        <v>198</v>
      </c>
      <c r="E533" t="s">
        <v>451</v>
      </c>
      <c r="F533" t="s">
        <v>724</v>
      </c>
      <c r="G533" t="s">
        <v>725</v>
      </c>
      <c r="H533" t="s">
        <v>726</v>
      </c>
      <c r="I533" t="s">
        <v>215</v>
      </c>
      <c r="J533" t="s">
        <v>178</v>
      </c>
      <c r="K533" s="30">
        <v>43032</v>
      </c>
      <c r="L533" s="8">
        <v>43030.850983796299</v>
      </c>
      <c r="M533" s="21">
        <f>LEN(ProjTextTable[[#This Row],[text]])</f>
        <v>2602</v>
      </c>
      <c r="N533" s="21">
        <f>LEN(TRIM(CLEAN(SUBSTITUTE(ProjTextTable[[#This Row],[text]],CHAR(10)," "))))+1 - LEN(SUBSTITUTE(CLEAN(SUBSTITUTE(ProjTextTable[[#This Row],[text]],CHAR(10)," "))," ",""))</f>
        <v>415</v>
      </c>
      <c r="O533" t="s">
        <v>203</v>
      </c>
      <c r="P533" t="s">
        <v>876</v>
      </c>
    </row>
    <row r="534" spans="1:16" x14ac:dyDescent="0.4">
      <c r="A534">
        <f t="shared" si="8"/>
        <v>79</v>
      </c>
      <c r="B534" t="s">
        <v>373</v>
      </c>
      <c r="C534" t="s">
        <v>523</v>
      </c>
      <c r="D534" t="s">
        <v>198</v>
      </c>
      <c r="E534" t="s">
        <v>406</v>
      </c>
      <c r="F534" t="s">
        <v>728</v>
      </c>
      <c r="G534" t="s">
        <v>729</v>
      </c>
      <c r="H534" t="s">
        <v>730</v>
      </c>
      <c r="I534" t="s">
        <v>215</v>
      </c>
      <c r="J534" t="s">
        <v>178</v>
      </c>
      <c r="K534" s="30">
        <v>43032</v>
      </c>
      <c r="L534" s="8">
        <v>43025.587372685186</v>
      </c>
      <c r="M534" s="21">
        <f>LEN(ProjTextTable[[#This Row],[text]])</f>
        <v>2719</v>
      </c>
      <c r="N534" s="21">
        <f>LEN(TRIM(CLEAN(SUBSTITUTE(ProjTextTable[[#This Row],[text]],CHAR(10)," "))))+1 - LEN(SUBSTITUTE(CLEAN(SUBSTITUTE(ProjTextTable[[#This Row],[text]],CHAR(10)," "))," ",""))</f>
        <v>400</v>
      </c>
      <c r="O534" t="s">
        <v>203</v>
      </c>
      <c r="P534" t="s">
        <v>877</v>
      </c>
    </row>
    <row r="535" spans="1:16" x14ac:dyDescent="0.4">
      <c r="A535">
        <f t="shared" si="8"/>
        <v>79</v>
      </c>
      <c r="B535" t="s">
        <v>373</v>
      </c>
      <c r="C535" t="s">
        <v>523</v>
      </c>
      <c r="D535" t="s">
        <v>200</v>
      </c>
      <c r="E535" t="s">
        <v>406</v>
      </c>
      <c r="F535" t="s">
        <v>13</v>
      </c>
      <c r="G535" t="s">
        <v>13</v>
      </c>
      <c r="H535" t="s">
        <v>13</v>
      </c>
      <c r="K535" s="30"/>
      <c r="L535" s="8">
        <v>42936.045092592591</v>
      </c>
      <c r="M535" s="21">
        <f>LEN(ProjTextTable[[#This Row],[text]])</f>
        <v>3926</v>
      </c>
      <c r="N535" s="21">
        <f>LEN(TRIM(CLEAN(SUBSTITUTE(ProjTextTable[[#This Row],[text]],CHAR(10)," "))))+1 - LEN(SUBSTITUTE(CLEAN(SUBSTITUTE(ProjTextTable[[#This Row],[text]],CHAR(10)," "))," ",""))</f>
        <v>557</v>
      </c>
      <c r="O535" t="s">
        <v>13</v>
      </c>
      <c r="P535" t="s">
        <v>878</v>
      </c>
    </row>
    <row r="536" spans="1:16" x14ac:dyDescent="0.4">
      <c r="A536">
        <f t="shared" si="8"/>
        <v>80</v>
      </c>
      <c r="B536" t="s">
        <v>374</v>
      </c>
      <c r="C536" t="s">
        <v>528</v>
      </c>
      <c r="D536" t="s">
        <v>209</v>
      </c>
      <c r="E536" t="s">
        <v>451</v>
      </c>
      <c r="F536" t="s">
        <v>616</v>
      </c>
      <c r="G536" t="s">
        <v>713</v>
      </c>
      <c r="H536" t="s">
        <v>212</v>
      </c>
      <c r="I536" t="s">
        <v>201</v>
      </c>
      <c r="J536" t="s">
        <v>777</v>
      </c>
      <c r="K536" s="30">
        <v>43031</v>
      </c>
      <c r="L536" s="8"/>
      <c r="M536" s="21">
        <f>LEN(ProjTextTable[[#This Row],[text]])</f>
        <v>2977</v>
      </c>
      <c r="N536" s="21">
        <f>LEN(TRIM(CLEAN(SUBSTITUTE(ProjTextTable[[#This Row],[text]],CHAR(10)," "))))+1 - LEN(SUBSTITUTE(CLEAN(SUBSTITUTE(ProjTextTable[[#This Row],[text]],CHAR(10)," "))," ",""))</f>
        <v>443</v>
      </c>
      <c r="O536" t="s">
        <v>213</v>
      </c>
      <c r="P536" t="s">
        <v>879</v>
      </c>
    </row>
    <row r="537" spans="1:16" x14ac:dyDescent="0.4">
      <c r="A537">
        <f t="shared" si="8"/>
        <v>80</v>
      </c>
      <c r="B537" t="s">
        <v>374</v>
      </c>
      <c r="C537" t="s">
        <v>528</v>
      </c>
      <c r="D537" t="s">
        <v>198</v>
      </c>
      <c r="E537" t="s">
        <v>451</v>
      </c>
      <c r="F537" t="s">
        <v>735</v>
      </c>
      <c r="G537" t="s">
        <v>736</v>
      </c>
      <c r="H537" t="s">
        <v>737</v>
      </c>
      <c r="I537" t="s">
        <v>215</v>
      </c>
      <c r="J537" t="s">
        <v>178</v>
      </c>
      <c r="K537" s="30">
        <v>43032</v>
      </c>
      <c r="L537" s="8">
        <v>43025.598553240743</v>
      </c>
      <c r="M537" s="21">
        <f>LEN(ProjTextTable[[#This Row],[text]])</f>
        <v>2780</v>
      </c>
      <c r="N537" s="21">
        <f>LEN(TRIM(CLEAN(SUBSTITUTE(ProjTextTable[[#This Row],[text]],CHAR(10)," "))))+1 - LEN(SUBSTITUTE(CLEAN(SUBSTITUTE(ProjTextTable[[#This Row],[text]],CHAR(10)," "))," ",""))</f>
        <v>439</v>
      </c>
      <c r="O537" t="s">
        <v>203</v>
      </c>
      <c r="P537" t="s">
        <v>880</v>
      </c>
    </row>
    <row r="538" spans="1:16" x14ac:dyDescent="0.4">
      <c r="A538">
        <f t="shared" si="8"/>
        <v>80</v>
      </c>
      <c r="B538" t="s">
        <v>374</v>
      </c>
      <c r="C538" t="s">
        <v>528</v>
      </c>
      <c r="D538" t="s">
        <v>198</v>
      </c>
      <c r="E538" t="s">
        <v>406</v>
      </c>
      <c r="F538" t="s">
        <v>739</v>
      </c>
      <c r="G538" t="s">
        <v>740</v>
      </c>
      <c r="H538" t="s">
        <v>741</v>
      </c>
      <c r="I538" t="s">
        <v>215</v>
      </c>
      <c r="J538" t="s">
        <v>178</v>
      </c>
      <c r="K538" s="30">
        <v>43032</v>
      </c>
      <c r="L538" s="8">
        <v>43030.184629629628</v>
      </c>
      <c r="M538" s="21">
        <f>LEN(ProjTextTable[[#This Row],[text]])</f>
        <v>2052</v>
      </c>
      <c r="N538" s="21">
        <f>LEN(TRIM(CLEAN(SUBSTITUTE(ProjTextTable[[#This Row],[text]],CHAR(10)," "))))+1 - LEN(SUBSTITUTE(CLEAN(SUBSTITUTE(ProjTextTable[[#This Row],[text]],CHAR(10)," "))," ",""))</f>
        <v>300</v>
      </c>
      <c r="O538" t="s">
        <v>203</v>
      </c>
      <c r="P538" t="s">
        <v>881</v>
      </c>
    </row>
    <row r="539" spans="1:16" x14ac:dyDescent="0.4">
      <c r="A539">
        <f t="shared" si="8"/>
        <v>80</v>
      </c>
      <c r="B539" t="s">
        <v>374</v>
      </c>
      <c r="C539" t="s">
        <v>528</v>
      </c>
      <c r="D539" t="s">
        <v>198</v>
      </c>
      <c r="E539" t="s">
        <v>451</v>
      </c>
      <c r="F539" t="s">
        <v>783</v>
      </c>
      <c r="G539" t="s">
        <v>784</v>
      </c>
      <c r="H539" t="s">
        <v>785</v>
      </c>
      <c r="I539" t="s">
        <v>215</v>
      </c>
      <c r="J539" t="s">
        <v>178</v>
      </c>
      <c r="K539" s="30">
        <v>43032</v>
      </c>
      <c r="L539" s="8">
        <v>43028.388240740744</v>
      </c>
      <c r="M539" s="21">
        <f>LEN(ProjTextTable[[#This Row],[text]])</f>
        <v>2314</v>
      </c>
      <c r="N539" s="21">
        <f>LEN(TRIM(CLEAN(SUBSTITUTE(ProjTextTable[[#This Row],[text]],CHAR(10)," "))))+1 - LEN(SUBSTITUTE(CLEAN(SUBSTITUTE(ProjTextTable[[#This Row],[text]],CHAR(10)," "))," ",""))</f>
        <v>355</v>
      </c>
      <c r="O539" t="s">
        <v>206</v>
      </c>
      <c r="P539" t="s">
        <v>882</v>
      </c>
    </row>
    <row r="540" spans="1:16" x14ac:dyDescent="0.4">
      <c r="A540">
        <f t="shared" si="8"/>
        <v>80</v>
      </c>
      <c r="B540" t="s">
        <v>374</v>
      </c>
      <c r="C540" t="s">
        <v>528</v>
      </c>
      <c r="D540" t="s">
        <v>198</v>
      </c>
      <c r="E540" t="s">
        <v>451</v>
      </c>
      <c r="F540" t="s">
        <v>788</v>
      </c>
      <c r="G540" t="s">
        <v>789</v>
      </c>
      <c r="H540" t="s">
        <v>790</v>
      </c>
      <c r="I540" t="s">
        <v>215</v>
      </c>
      <c r="J540" t="s">
        <v>178</v>
      </c>
      <c r="K540" s="30">
        <v>43032</v>
      </c>
      <c r="L540" s="8">
        <v>43031.690868055557</v>
      </c>
      <c r="M540" s="21">
        <f>LEN(ProjTextTable[[#This Row],[text]])</f>
        <v>3778</v>
      </c>
      <c r="N540" s="21">
        <f>LEN(TRIM(CLEAN(SUBSTITUTE(ProjTextTable[[#This Row],[text]],CHAR(10)," "))))+1 - LEN(SUBSTITUTE(CLEAN(SUBSTITUTE(ProjTextTable[[#This Row],[text]],CHAR(10)," "))," ",""))</f>
        <v>593</v>
      </c>
      <c r="O540" t="s">
        <v>203</v>
      </c>
      <c r="P540" t="s">
        <v>883</v>
      </c>
    </row>
    <row r="541" spans="1:16" x14ac:dyDescent="0.4">
      <c r="A541">
        <f t="shared" si="8"/>
        <v>80</v>
      </c>
      <c r="B541" t="s">
        <v>374</v>
      </c>
      <c r="C541" t="s">
        <v>528</v>
      </c>
      <c r="D541" t="s">
        <v>200</v>
      </c>
      <c r="E541" t="s">
        <v>406</v>
      </c>
      <c r="F541" t="s">
        <v>13</v>
      </c>
      <c r="G541" t="s">
        <v>13</v>
      </c>
      <c r="H541" t="s">
        <v>13</v>
      </c>
      <c r="K541" s="30"/>
      <c r="L541" s="8">
        <v>42936.045185185183</v>
      </c>
      <c r="M541" s="21">
        <f>LEN(ProjTextTable[[#This Row],[text]])</f>
        <v>2855</v>
      </c>
      <c r="N541" s="21">
        <f>LEN(TRIM(CLEAN(SUBSTITUTE(ProjTextTable[[#This Row],[text]],CHAR(10)," "))))+1 - LEN(SUBSTITUTE(CLEAN(SUBSTITUTE(ProjTextTable[[#This Row],[text]],CHAR(10)," "))," ",""))</f>
        <v>407</v>
      </c>
      <c r="O541" t="s">
        <v>13</v>
      </c>
      <c r="P541" t="s">
        <v>884</v>
      </c>
    </row>
    <row r="542" spans="1:16" x14ac:dyDescent="0.4">
      <c r="A542">
        <f t="shared" si="8"/>
        <v>81</v>
      </c>
      <c r="B542" t="s">
        <v>375</v>
      </c>
      <c r="C542" t="s">
        <v>535</v>
      </c>
      <c r="D542" t="s">
        <v>209</v>
      </c>
      <c r="E542" t="s">
        <v>451</v>
      </c>
      <c r="F542" t="s">
        <v>616</v>
      </c>
      <c r="G542" t="s">
        <v>713</v>
      </c>
      <c r="H542" t="s">
        <v>212</v>
      </c>
      <c r="I542" t="s">
        <v>201</v>
      </c>
      <c r="J542" t="s">
        <v>284</v>
      </c>
      <c r="K542" s="30">
        <v>43031</v>
      </c>
      <c r="L542" s="8"/>
      <c r="M542" s="21">
        <f>LEN(ProjTextTable[[#This Row],[text]])</f>
        <v>2460</v>
      </c>
      <c r="N542" s="21">
        <f>LEN(TRIM(CLEAN(SUBSTITUTE(ProjTextTable[[#This Row],[text]],CHAR(10)," "))))+1 - LEN(SUBSTITUTE(CLEAN(SUBSTITUTE(ProjTextTable[[#This Row],[text]],CHAR(10)," "))," ",""))</f>
        <v>343</v>
      </c>
      <c r="O542" t="s">
        <v>213</v>
      </c>
      <c r="P542" t="s">
        <v>885</v>
      </c>
    </row>
    <row r="543" spans="1:16" x14ac:dyDescent="0.4">
      <c r="A543">
        <f t="shared" si="8"/>
        <v>81</v>
      </c>
      <c r="B543" t="s">
        <v>375</v>
      </c>
      <c r="C543" t="s">
        <v>535</v>
      </c>
      <c r="D543" t="s">
        <v>198</v>
      </c>
      <c r="E543" t="s">
        <v>451</v>
      </c>
      <c r="F543" t="s">
        <v>735</v>
      </c>
      <c r="G543" t="s">
        <v>736</v>
      </c>
      <c r="H543" t="s">
        <v>737</v>
      </c>
      <c r="I543" t="s">
        <v>215</v>
      </c>
      <c r="J543" t="s">
        <v>178</v>
      </c>
      <c r="K543" s="30">
        <v>43032</v>
      </c>
      <c r="L543" s="8">
        <v>43031.434907407405</v>
      </c>
      <c r="M543" s="21">
        <f>LEN(ProjTextTable[[#This Row],[text]])</f>
        <v>3265</v>
      </c>
      <c r="N543" s="21">
        <f>LEN(TRIM(CLEAN(SUBSTITUTE(ProjTextTable[[#This Row],[text]],CHAR(10)," "))))+1 - LEN(SUBSTITUTE(CLEAN(SUBSTITUTE(ProjTextTable[[#This Row],[text]],CHAR(10)," "))," ",""))</f>
        <v>506</v>
      </c>
      <c r="O543" t="s">
        <v>203</v>
      </c>
      <c r="P543" t="s">
        <v>886</v>
      </c>
    </row>
    <row r="544" spans="1:16" x14ac:dyDescent="0.4">
      <c r="A544">
        <f t="shared" si="8"/>
        <v>81</v>
      </c>
      <c r="B544" t="s">
        <v>375</v>
      </c>
      <c r="C544" t="s">
        <v>535</v>
      </c>
      <c r="D544" t="s">
        <v>198</v>
      </c>
      <c r="E544" t="s">
        <v>451</v>
      </c>
      <c r="F544" t="s">
        <v>779</v>
      </c>
      <c r="G544" t="s">
        <v>780</v>
      </c>
      <c r="H544" t="s">
        <v>781</v>
      </c>
      <c r="I544" t="s">
        <v>215</v>
      </c>
      <c r="J544" t="s">
        <v>178</v>
      </c>
      <c r="K544" s="30">
        <v>43032</v>
      </c>
      <c r="L544" s="8">
        <v>43030.882361111115</v>
      </c>
      <c r="M544" s="21">
        <f>LEN(ProjTextTable[[#This Row],[text]])</f>
        <v>2182</v>
      </c>
      <c r="N544" s="21">
        <f>LEN(TRIM(CLEAN(SUBSTITUTE(ProjTextTable[[#This Row],[text]],CHAR(10)," "))))+1 - LEN(SUBSTITUTE(CLEAN(SUBSTITUTE(ProjTextTable[[#This Row],[text]],CHAR(10)," "))," ",""))</f>
        <v>333</v>
      </c>
      <c r="O544" t="s">
        <v>203</v>
      </c>
      <c r="P544" t="s">
        <v>887</v>
      </c>
    </row>
    <row r="545" spans="1:16" x14ac:dyDescent="0.4">
      <c r="A545">
        <f t="shared" si="8"/>
        <v>81</v>
      </c>
      <c r="B545" t="s">
        <v>375</v>
      </c>
      <c r="C545" t="s">
        <v>535</v>
      </c>
      <c r="D545" t="s">
        <v>198</v>
      </c>
      <c r="E545" t="s">
        <v>451</v>
      </c>
      <c r="F545" t="s">
        <v>739</v>
      </c>
      <c r="G545" t="s">
        <v>740</v>
      </c>
      <c r="H545" t="s">
        <v>741</v>
      </c>
      <c r="I545" t="s">
        <v>215</v>
      </c>
      <c r="J545" t="s">
        <v>178</v>
      </c>
      <c r="K545" s="30">
        <v>43032</v>
      </c>
      <c r="L545" s="8">
        <v>43030.173541666663</v>
      </c>
      <c r="M545" s="21">
        <f>LEN(ProjTextTable[[#This Row],[text]])</f>
        <v>1948</v>
      </c>
      <c r="N545" s="21">
        <f>LEN(TRIM(CLEAN(SUBSTITUTE(ProjTextTable[[#This Row],[text]],CHAR(10)," "))))+1 - LEN(SUBSTITUTE(CLEAN(SUBSTITUTE(ProjTextTable[[#This Row],[text]],CHAR(10)," "))," ",""))</f>
        <v>276</v>
      </c>
      <c r="O545" t="s">
        <v>199</v>
      </c>
      <c r="P545" t="s">
        <v>888</v>
      </c>
    </row>
    <row r="546" spans="1:16" x14ac:dyDescent="0.4">
      <c r="A546">
        <f t="shared" si="8"/>
        <v>81</v>
      </c>
      <c r="B546" t="s">
        <v>375</v>
      </c>
      <c r="C546" t="s">
        <v>535</v>
      </c>
      <c r="D546" t="s">
        <v>198</v>
      </c>
      <c r="E546" t="s">
        <v>451</v>
      </c>
      <c r="F546" t="s">
        <v>747</v>
      </c>
      <c r="G546" t="s">
        <v>748</v>
      </c>
      <c r="H546" t="s">
        <v>749</v>
      </c>
      <c r="I546" t="s">
        <v>215</v>
      </c>
      <c r="J546" t="s">
        <v>178</v>
      </c>
      <c r="K546" s="30">
        <v>43032</v>
      </c>
      <c r="L546" s="8">
        <v>43030.798495370371</v>
      </c>
      <c r="M546" s="21">
        <f>LEN(ProjTextTable[[#This Row],[text]])</f>
        <v>2495</v>
      </c>
      <c r="N546" s="21">
        <f>LEN(TRIM(CLEAN(SUBSTITUTE(ProjTextTable[[#This Row],[text]],CHAR(10)," "))))+1 - LEN(SUBSTITUTE(CLEAN(SUBSTITUTE(ProjTextTable[[#This Row],[text]],CHAR(10)," "))," ",""))</f>
        <v>381</v>
      </c>
      <c r="O546" t="s">
        <v>203</v>
      </c>
      <c r="P546" t="s">
        <v>889</v>
      </c>
    </row>
    <row r="547" spans="1:16" x14ac:dyDescent="0.4">
      <c r="A547">
        <f t="shared" si="8"/>
        <v>81</v>
      </c>
      <c r="B547" t="s">
        <v>375</v>
      </c>
      <c r="C547" t="s">
        <v>535</v>
      </c>
      <c r="D547" t="s">
        <v>200</v>
      </c>
      <c r="E547" t="s">
        <v>451</v>
      </c>
      <c r="F547" t="s">
        <v>13</v>
      </c>
      <c r="G547" t="s">
        <v>13</v>
      </c>
      <c r="H547" t="s">
        <v>13</v>
      </c>
      <c r="K547" s="30"/>
      <c r="L547" s="8">
        <v>42936.045486111114</v>
      </c>
      <c r="M547" s="21">
        <f>LEN(ProjTextTable[[#This Row],[text]])</f>
        <v>3779</v>
      </c>
      <c r="N547" s="21">
        <f>LEN(TRIM(CLEAN(SUBSTITUTE(ProjTextTable[[#This Row],[text]],CHAR(10)," "))))+1 - LEN(SUBSTITUTE(CLEAN(SUBSTITUTE(ProjTextTable[[#This Row],[text]],CHAR(10)," "))," ",""))</f>
        <v>548</v>
      </c>
      <c r="O547" t="s">
        <v>13</v>
      </c>
      <c r="P547" t="s">
        <v>890</v>
      </c>
    </row>
    <row r="548" spans="1:16" x14ac:dyDescent="0.4">
      <c r="A548">
        <f t="shared" si="8"/>
        <v>82</v>
      </c>
      <c r="B548" t="s">
        <v>376</v>
      </c>
      <c r="C548" t="s">
        <v>541</v>
      </c>
      <c r="D548" t="s">
        <v>209</v>
      </c>
      <c r="E548" t="s">
        <v>451</v>
      </c>
      <c r="F548" t="s">
        <v>616</v>
      </c>
      <c r="G548" t="s">
        <v>713</v>
      </c>
      <c r="H548" t="s">
        <v>264</v>
      </c>
      <c r="I548" t="s">
        <v>197</v>
      </c>
      <c r="J548" t="s">
        <v>733</v>
      </c>
      <c r="K548" s="30">
        <v>43031</v>
      </c>
      <c r="L548" s="8"/>
      <c r="M548" s="21">
        <f>LEN(ProjTextTable[[#This Row],[text]])</f>
        <v>2769</v>
      </c>
      <c r="N548" s="21">
        <f>LEN(TRIM(CLEAN(SUBSTITUTE(ProjTextTable[[#This Row],[text]],CHAR(10)," "))))+1 - LEN(SUBSTITUTE(CLEAN(SUBSTITUTE(ProjTextTable[[#This Row],[text]],CHAR(10)," "))," ",""))</f>
        <v>402</v>
      </c>
      <c r="O548" t="s">
        <v>263</v>
      </c>
      <c r="P548" t="s">
        <v>891</v>
      </c>
    </row>
    <row r="549" spans="1:16" x14ac:dyDescent="0.4">
      <c r="A549">
        <f t="shared" si="8"/>
        <v>82</v>
      </c>
      <c r="B549" t="s">
        <v>376</v>
      </c>
      <c r="C549" t="s">
        <v>541</v>
      </c>
      <c r="D549" t="s">
        <v>198</v>
      </c>
      <c r="E549" t="s">
        <v>451</v>
      </c>
      <c r="F549" t="s">
        <v>779</v>
      </c>
      <c r="G549" t="s">
        <v>780</v>
      </c>
      <c r="H549" t="s">
        <v>781</v>
      </c>
      <c r="I549" t="s">
        <v>215</v>
      </c>
      <c r="J549" t="s">
        <v>178</v>
      </c>
      <c r="K549" s="30">
        <v>43032</v>
      </c>
      <c r="L549" s="8">
        <v>43030.883020833331</v>
      </c>
      <c r="M549" s="21">
        <f>LEN(ProjTextTable[[#This Row],[text]])</f>
        <v>4197</v>
      </c>
      <c r="N549" s="21">
        <f>LEN(TRIM(CLEAN(SUBSTITUTE(ProjTextTable[[#This Row],[text]],CHAR(10)," "))))+1 - LEN(SUBSTITUTE(CLEAN(SUBSTITUTE(ProjTextTable[[#This Row],[text]],CHAR(10)," "))," ",""))</f>
        <v>668</v>
      </c>
      <c r="O549" t="s">
        <v>203</v>
      </c>
      <c r="P549" t="s">
        <v>892</v>
      </c>
    </row>
    <row r="550" spans="1:16" x14ac:dyDescent="0.4">
      <c r="A550">
        <f t="shared" si="8"/>
        <v>82</v>
      </c>
      <c r="B550" t="s">
        <v>376</v>
      </c>
      <c r="C550" t="s">
        <v>541</v>
      </c>
      <c r="D550" t="s">
        <v>198</v>
      </c>
      <c r="E550" t="s">
        <v>451</v>
      </c>
      <c r="F550" t="s">
        <v>739</v>
      </c>
      <c r="G550" t="s">
        <v>740</v>
      </c>
      <c r="H550" t="s">
        <v>741</v>
      </c>
      <c r="I550" t="s">
        <v>215</v>
      </c>
      <c r="J550" t="s">
        <v>178</v>
      </c>
      <c r="K550" s="30">
        <v>43032</v>
      </c>
      <c r="L550" s="8">
        <v>43030.171967592592</v>
      </c>
      <c r="M550" s="21">
        <f>LEN(ProjTextTable[[#This Row],[text]])</f>
        <v>1906</v>
      </c>
      <c r="N550" s="21">
        <f>LEN(TRIM(CLEAN(SUBSTITUTE(ProjTextTable[[#This Row],[text]],CHAR(10)," "))))+1 - LEN(SUBSTITUTE(CLEAN(SUBSTITUTE(ProjTextTable[[#This Row],[text]],CHAR(10)," "))," ",""))</f>
        <v>276</v>
      </c>
      <c r="O550" t="s">
        <v>199</v>
      </c>
      <c r="P550" t="s">
        <v>893</v>
      </c>
    </row>
    <row r="551" spans="1:16" x14ac:dyDescent="0.4">
      <c r="A551">
        <f t="shared" si="8"/>
        <v>82</v>
      </c>
      <c r="B551" t="s">
        <v>376</v>
      </c>
      <c r="C551" t="s">
        <v>541</v>
      </c>
      <c r="D551" t="s">
        <v>198</v>
      </c>
      <c r="E551" t="s">
        <v>451</v>
      </c>
      <c r="F551" t="s">
        <v>720</v>
      </c>
      <c r="G551" t="s">
        <v>721</v>
      </c>
      <c r="H551" t="s">
        <v>722</v>
      </c>
      <c r="I551" t="s">
        <v>215</v>
      </c>
      <c r="J551" t="s">
        <v>178</v>
      </c>
      <c r="K551" s="30">
        <v>43032</v>
      </c>
      <c r="L551" s="8">
        <v>43031.362187500003</v>
      </c>
      <c r="M551" s="21">
        <f>LEN(ProjTextTable[[#This Row],[text]])</f>
        <v>2284</v>
      </c>
      <c r="N551" s="21">
        <f>LEN(TRIM(CLEAN(SUBSTITUTE(ProjTextTable[[#This Row],[text]],CHAR(10)," "))))+1 - LEN(SUBSTITUTE(CLEAN(SUBSTITUTE(ProjTextTable[[#This Row],[text]],CHAR(10)," "))," ",""))</f>
        <v>353</v>
      </c>
      <c r="O551" t="s">
        <v>206</v>
      </c>
      <c r="P551" t="s">
        <v>894</v>
      </c>
    </row>
    <row r="552" spans="1:16" x14ac:dyDescent="0.4">
      <c r="A552">
        <f t="shared" si="8"/>
        <v>82</v>
      </c>
      <c r="B552" t="s">
        <v>376</v>
      </c>
      <c r="C552" t="s">
        <v>541</v>
      </c>
      <c r="D552" t="s">
        <v>198</v>
      </c>
      <c r="E552" t="s">
        <v>451</v>
      </c>
      <c r="F552" t="s">
        <v>783</v>
      </c>
      <c r="G552" t="s">
        <v>784</v>
      </c>
      <c r="H552" t="s">
        <v>785</v>
      </c>
      <c r="I552" t="s">
        <v>215</v>
      </c>
      <c r="J552" t="s">
        <v>178</v>
      </c>
      <c r="K552" s="30">
        <v>43032</v>
      </c>
      <c r="L552" s="8">
        <v>43031.703900462962</v>
      </c>
      <c r="M552" s="21">
        <f>LEN(ProjTextTable[[#This Row],[text]])</f>
        <v>2598</v>
      </c>
      <c r="N552" s="21">
        <f>LEN(TRIM(CLEAN(SUBSTITUTE(ProjTextTable[[#This Row],[text]],CHAR(10)," "))))+1 - LEN(SUBSTITUTE(CLEAN(SUBSTITUTE(ProjTextTable[[#This Row],[text]],CHAR(10)," "))," ",""))</f>
        <v>394</v>
      </c>
      <c r="O552" t="s">
        <v>207</v>
      </c>
      <c r="P552" t="s">
        <v>895</v>
      </c>
    </row>
    <row r="553" spans="1:16" x14ac:dyDescent="0.4">
      <c r="A553">
        <f t="shared" si="8"/>
        <v>82</v>
      </c>
      <c r="B553" t="s">
        <v>376</v>
      </c>
      <c r="C553" t="s">
        <v>541</v>
      </c>
      <c r="D553" t="s">
        <v>200</v>
      </c>
      <c r="E553" t="s">
        <v>422</v>
      </c>
      <c r="F553" t="s">
        <v>13</v>
      </c>
      <c r="G553" t="s">
        <v>13</v>
      </c>
      <c r="H553" t="s">
        <v>13</v>
      </c>
      <c r="K553" s="30"/>
      <c r="L553" s="8">
        <v>42936.045902777776</v>
      </c>
      <c r="M553" s="21">
        <f>LEN(ProjTextTable[[#This Row],[text]])</f>
        <v>3366</v>
      </c>
      <c r="N553" s="21">
        <f>LEN(TRIM(CLEAN(SUBSTITUTE(ProjTextTable[[#This Row],[text]],CHAR(10)," "))))+1 - LEN(SUBSTITUTE(CLEAN(SUBSTITUTE(ProjTextTable[[#This Row],[text]],CHAR(10)," "))," ",""))</f>
        <v>485</v>
      </c>
      <c r="O553" t="s">
        <v>13</v>
      </c>
      <c r="P553" t="s">
        <v>896</v>
      </c>
    </row>
    <row r="554" spans="1:16" x14ac:dyDescent="0.4">
      <c r="A554">
        <f t="shared" si="8"/>
        <v>83</v>
      </c>
      <c r="B554" t="s">
        <v>377</v>
      </c>
      <c r="C554" t="s">
        <v>414</v>
      </c>
      <c r="D554" t="s">
        <v>209</v>
      </c>
      <c r="E554" t="s">
        <v>451</v>
      </c>
      <c r="F554" t="s">
        <v>616</v>
      </c>
      <c r="G554" t="s">
        <v>713</v>
      </c>
      <c r="H554" t="s">
        <v>617</v>
      </c>
      <c r="I554" t="s">
        <v>204</v>
      </c>
      <c r="J554" t="s">
        <v>270</v>
      </c>
      <c r="K554" s="30">
        <v>43031</v>
      </c>
      <c r="L554" s="8"/>
      <c r="M554" s="21">
        <f>LEN(ProjTextTable[[#This Row],[text]])</f>
        <v>2162</v>
      </c>
      <c r="N554" s="21">
        <f>LEN(TRIM(CLEAN(SUBSTITUTE(ProjTextTable[[#This Row],[text]],CHAR(10)," "))))+1 - LEN(SUBSTITUTE(CLEAN(SUBSTITUTE(ProjTextTable[[#This Row],[text]],CHAR(10)," "))," ",""))</f>
        <v>303</v>
      </c>
      <c r="O554" t="s">
        <v>491</v>
      </c>
      <c r="P554" t="s">
        <v>897</v>
      </c>
    </row>
    <row r="555" spans="1:16" x14ac:dyDescent="0.4">
      <c r="A555">
        <f t="shared" si="8"/>
        <v>83</v>
      </c>
      <c r="B555" t="s">
        <v>377</v>
      </c>
      <c r="C555" t="s">
        <v>414</v>
      </c>
      <c r="D555" t="s">
        <v>198</v>
      </c>
      <c r="E555" t="s">
        <v>451</v>
      </c>
      <c r="F555" t="s">
        <v>735</v>
      </c>
      <c r="G555" t="s">
        <v>736</v>
      </c>
      <c r="H555" t="s">
        <v>737</v>
      </c>
      <c r="I555" t="s">
        <v>215</v>
      </c>
      <c r="J555" t="s">
        <v>178</v>
      </c>
      <c r="K555" s="30">
        <v>43032</v>
      </c>
      <c r="L555" s="8">
        <v>43026.986875000002</v>
      </c>
      <c r="M555" s="21">
        <f>LEN(ProjTextTable[[#This Row],[text]])</f>
        <v>1796</v>
      </c>
      <c r="N555" s="21">
        <f>LEN(TRIM(CLEAN(SUBSTITUTE(ProjTextTable[[#This Row],[text]],CHAR(10)," "))))+1 - LEN(SUBSTITUTE(CLEAN(SUBSTITUTE(ProjTextTable[[#This Row],[text]],CHAR(10)," "))," ",""))</f>
        <v>279</v>
      </c>
      <c r="O555" t="s">
        <v>205</v>
      </c>
      <c r="P555" t="s">
        <v>898</v>
      </c>
    </row>
    <row r="556" spans="1:16" x14ac:dyDescent="0.4">
      <c r="A556">
        <f t="shared" si="8"/>
        <v>83</v>
      </c>
      <c r="B556" t="s">
        <v>377</v>
      </c>
      <c r="C556" t="s">
        <v>414</v>
      </c>
      <c r="D556" t="s">
        <v>198</v>
      </c>
      <c r="E556" t="s">
        <v>451</v>
      </c>
      <c r="F556" t="s">
        <v>783</v>
      </c>
      <c r="G556" t="s">
        <v>784</v>
      </c>
      <c r="H556" t="s">
        <v>785</v>
      </c>
      <c r="I556" t="s">
        <v>215</v>
      </c>
      <c r="J556" t="s">
        <v>178</v>
      </c>
      <c r="K556" s="30">
        <v>43032</v>
      </c>
      <c r="L556" s="8">
        <v>43027.924050925925</v>
      </c>
      <c r="M556" s="21">
        <f>LEN(ProjTextTable[[#This Row],[text]])</f>
        <v>2309</v>
      </c>
      <c r="N556" s="21">
        <f>LEN(TRIM(CLEAN(SUBSTITUTE(ProjTextTable[[#This Row],[text]],CHAR(10)," "))))+1 - LEN(SUBSTITUTE(CLEAN(SUBSTITUTE(ProjTextTable[[#This Row],[text]],CHAR(10)," "))," ",""))</f>
        <v>353</v>
      </c>
      <c r="O556" t="s">
        <v>207</v>
      </c>
      <c r="P556" t="s">
        <v>899</v>
      </c>
    </row>
    <row r="557" spans="1:16" x14ac:dyDescent="0.4">
      <c r="A557">
        <f t="shared" si="8"/>
        <v>83</v>
      </c>
      <c r="B557" t="s">
        <v>377</v>
      </c>
      <c r="C557" t="s">
        <v>414</v>
      </c>
      <c r="D557" t="s">
        <v>198</v>
      </c>
      <c r="E557" t="s">
        <v>451</v>
      </c>
      <c r="F557" t="s">
        <v>724</v>
      </c>
      <c r="G557" t="s">
        <v>725</v>
      </c>
      <c r="H557" t="s">
        <v>726</v>
      </c>
      <c r="I557" t="s">
        <v>215</v>
      </c>
      <c r="J557" t="s">
        <v>178</v>
      </c>
      <c r="K557" s="30">
        <v>43032</v>
      </c>
      <c r="L557" s="8">
        <v>43030.984317129631</v>
      </c>
      <c r="M557" s="21">
        <f>LEN(ProjTextTable[[#This Row],[text]])</f>
        <v>1903</v>
      </c>
      <c r="N557" s="21">
        <f>LEN(TRIM(CLEAN(SUBSTITUTE(ProjTextTable[[#This Row],[text]],CHAR(10)," "))))+1 - LEN(SUBSTITUTE(CLEAN(SUBSTITUTE(ProjTextTable[[#This Row],[text]],CHAR(10)," "))," ",""))</f>
        <v>283</v>
      </c>
      <c r="O557" t="s">
        <v>205</v>
      </c>
      <c r="P557" t="s">
        <v>900</v>
      </c>
    </row>
    <row r="558" spans="1:16" x14ac:dyDescent="0.4">
      <c r="A558">
        <f t="shared" si="8"/>
        <v>83</v>
      </c>
      <c r="B558" t="s">
        <v>377</v>
      </c>
      <c r="C558" t="s">
        <v>414</v>
      </c>
      <c r="D558" t="s">
        <v>198</v>
      </c>
      <c r="E558" t="s">
        <v>451</v>
      </c>
      <c r="F558" t="s">
        <v>760</v>
      </c>
      <c r="G558" t="s">
        <v>761</v>
      </c>
      <c r="H558" t="s">
        <v>762</v>
      </c>
      <c r="I558" t="s">
        <v>215</v>
      </c>
      <c r="J558" t="s">
        <v>178</v>
      </c>
      <c r="K558" s="30">
        <v>43032</v>
      </c>
      <c r="L558" s="8">
        <v>43031.775856481479</v>
      </c>
      <c r="M558" s="21">
        <f>LEN(ProjTextTable[[#This Row],[text]])</f>
        <v>1055</v>
      </c>
      <c r="N558" s="21">
        <f>LEN(TRIM(CLEAN(SUBSTITUTE(ProjTextTable[[#This Row],[text]],CHAR(10)," "))))+1 - LEN(SUBSTITUTE(CLEAN(SUBSTITUTE(ProjTextTable[[#This Row],[text]],CHAR(10)," "))," ",""))</f>
        <v>153</v>
      </c>
      <c r="O558" t="s">
        <v>205</v>
      </c>
      <c r="P558" t="s">
        <v>901</v>
      </c>
    </row>
    <row r="559" spans="1:16" x14ac:dyDescent="0.4">
      <c r="A559">
        <f t="shared" si="8"/>
        <v>84</v>
      </c>
      <c r="B559" t="s">
        <v>378</v>
      </c>
      <c r="C559" t="s">
        <v>557</v>
      </c>
      <c r="D559" t="s">
        <v>209</v>
      </c>
      <c r="E559" t="s">
        <v>451</v>
      </c>
      <c r="F559" t="s">
        <v>616</v>
      </c>
      <c r="G559" t="s">
        <v>713</v>
      </c>
      <c r="H559" t="s">
        <v>264</v>
      </c>
      <c r="I559" t="s">
        <v>197</v>
      </c>
      <c r="J559" t="s">
        <v>204</v>
      </c>
      <c r="K559" s="30">
        <v>43031</v>
      </c>
      <c r="L559" s="8"/>
      <c r="M559" s="21">
        <f>LEN(ProjTextTable[[#This Row],[text]])</f>
        <v>2426</v>
      </c>
      <c r="N559" s="21">
        <f>LEN(TRIM(CLEAN(SUBSTITUTE(ProjTextTable[[#This Row],[text]],CHAR(10)," "))))+1 - LEN(SUBSTITUTE(CLEAN(SUBSTITUTE(ProjTextTable[[#This Row],[text]],CHAR(10)," "))," ",""))</f>
        <v>361</v>
      </c>
      <c r="O559" t="s">
        <v>263</v>
      </c>
      <c r="P559" t="s">
        <v>902</v>
      </c>
    </row>
    <row r="560" spans="1:16" x14ac:dyDescent="0.4">
      <c r="A560">
        <f t="shared" si="8"/>
        <v>84</v>
      </c>
      <c r="B560" t="s">
        <v>378</v>
      </c>
      <c r="C560" t="s">
        <v>557</v>
      </c>
      <c r="D560" t="s">
        <v>198</v>
      </c>
      <c r="E560" t="s">
        <v>451</v>
      </c>
      <c r="F560" t="s">
        <v>724</v>
      </c>
      <c r="G560" t="s">
        <v>725</v>
      </c>
      <c r="H560" t="s">
        <v>726</v>
      </c>
      <c r="I560" t="s">
        <v>215</v>
      </c>
      <c r="J560" t="s">
        <v>178</v>
      </c>
      <c r="K560" s="30">
        <v>43032</v>
      </c>
      <c r="L560" s="8">
        <v>43029.952604166669</v>
      </c>
      <c r="M560" s="21">
        <f>LEN(ProjTextTable[[#This Row],[text]])</f>
        <v>2564</v>
      </c>
      <c r="N560" s="21">
        <f>LEN(TRIM(CLEAN(SUBSTITUTE(ProjTextTable[[#This Row],[text]],CHAR(10)," "))))+1 - LEN(SUBSTITUTE(CLEAN(SUBSTITUTE(ProjTextTable[[#This Row],[text]],CHAR(10)," "))," ",""))</f>
        <v>374</v>
      </c>
      <c r="O560" t="s">
        <v>199</v>
      </c>
      <c r="P560" t="s">
        <v>903</v>
      </c>
    </row>
    <row r="561" spans="1:16" x14ac:dyDescent="0.4">
      <c r="A561">
        <f t="shared" si="8"/>
        <v>84</v>
      </c>
      <c r="B561" t="s">
        <v>378</v>
      </c>
      <c r="C561" t="s">
        <v>557</v>
      </c>
      <c r="D561" t="s">
        <v>198</v>
      </c>
      <c r="E561" t="s">
        <v>451</v>
      </c>
      <c r="F561" t="s">
        <v>797</v>
      </c>
      <c r="G561" t="s">
        <v>798</v>
      </c>
      <c r="H561" t="s">
        <v>799</v>
      </c>
      <c r="I561" t="s">
        <v>215</v>
      </c>
      <c r="J561" t="s">
        <v>178</v>
      </c>
      <c r="K561" s="30">
        <v>43032</v>
      </c>
      <c r="L561" s="8">
        <v>43031.107453703706</v>
      </c>
      <c r="M561" s="21">
        <f>LEN(ProjTextTable[[#This Row],[text]])</f>
        <v>2410</v>
      </c>
      <c r="N561" s="21">
        <f>LEN(TRIM(CLEAN(SUBSTITUTE(ProjTextTable[[#This Row],[text]],CHAR(10)," "))))+1 - LEN(SUBSTITUTE(CLEAN(SUBSTITUTE(ProjTextTable[[#This Row],[text]],CHAR(10)," "))," ",""))</f>
        <v>358</v>
      </c>
      <c r="O561" t="s">
        <v>199</v>
      </c>
      <c r="P561" t="s">
        <v>904</v>
      </c>
    </row>
    <row r="562" spans="1:16" x14ac:dyDescent="0.4">
      <c r="A562">
        <f t="shared" si="8"/>
        <v>84</v>
      </c>
      <c r="B562" t="s">
        <v>378</v>
      </c>
      <c r="C562" t="s">
        <v>557</v>
      </c>
      <c r="D562" t="s">
        <v>198</v>
      </c>
      <c r="E562" t="s">
        <v>451</v>
      </c>
      <c r="F562" t="s">
        <v>760</v>
      </c>
      <c r="G562" t="s">
        <v>761</v>
      </c>
      <c r="H562" t="s">
        <v>762</v>
      </c>
      <c r="I562" t="s">
        <v>215</v>
      </c>
      <c r="J562" t="s">
        <v>178</v>
      </c>
      <c r="K562" s="30">
        <v>43032</v>
      </c>
      <c r="L562" s="8">
        <v>43031.771365740744</v>
      </c>
      <c r="M562" s="21">
        <f>LEN(ProjTextTable[[#This Row],[text]])</f>
        <v>2018</v>
      </c>
      <c r="N562" s="21">
        <f>LEN(TRIM(CLEAN(SUBSTITUTE(ProjTextTable[[#This Row],[text]],CHAR(10)," "))))+1 - LEN(SUBSTITUTE(CLEAN(SUBSTITUTE(ProjTextTable[[#This Row],[text]],CHAR(10)," "))," ",""))</f>
        <v>300</v>
      </c>
      <c r="O562" t="s">
        <v>199</v>
      </c>
      <c r="P562" t="s">
        <v>905</v>
      </c>
    </row>
    <row r="563" spans="1:16" x14ac:dyDescent="0.4">
      <c r="A563">
        <f t="shared" si="8"/>
        <v>84</v>
      </c>
      <c r="B563" t="s">
        <v>378</v>
      </c>
      <c r="C563" t="s">
        <v>557</v>
      </c>
      <c r="D563" t="s">
        <v>200</v>
      </c>
      <c r="E563" t="s">
        <v>406</v>
      </c>
      <c r="F563" t="s">
        <v>13</v>
      </c>
      <c r="G563" t="s">
        <v>13</v>
      </c>
      <c r="H563" t="s">
        <v>13</v>
      </c>
      <c r="K563" s="30"/>
      <c r="L563" s="8">
        <v>42957.042546296296</v>
      </c>
      <c r="M563" s="21">
        <f>LEN(ProjTextTable[[#This Row],[text]])</f>
        <v>4631</v>
      </c>
      <c r="N563" s="21">
        <f>LEN(TRIM(CLEAN(SUBSTITUTE(ProjTextTable[[#This Row],[text]],CHAR(10)," "))))+1 - LEN(SUBSTITUTE(CLEAN(SUBSTITUTE(ProjTextTable[[#This Row],[text]],CHAR(10)," "))," ",""))</f>
        <v>656</v>
      </c>
      <c r="O563" t="s">
        <v>13</v>
      </c>
      <c r="P563" t="s">
        <v>906</v>
      </c>
    </row>
    <row r="564" spans="1:16" x14ac:dyDescent="0.4">
      <c r="A564">
        <f t="shared" si="8"/>
        <v>85</v>
      </c>
      <c r="B564" t="s">
        <v>379</v>
      </c>
      <c r="C564" t="s">
        <v>564</v>
      </c>
      <c r="D564" t="s">
        <v>209</v>
      </c>
      <c r="E564" t="s">
        <v>451</v>
      </c>
      <c r="F564" t="s">
        <v>616</v>
      </c>
      <c r="G564" t="s">
        <v>713</v>
      </c>
      <c r="H564" t="s">
        <v>259</v>
      </c>
      <c r="I564" t="s">
        <v>95</v>
      </c>
      <c r="J564" t="s">
        <v>95</v>
      </c>
      <c r="K564" s="30">
        <v>43031</v>
      </c>
      <c r="L564" s="8"/>
      <c r="M564" s="21">
        <f>LEN(ProjTextTable[[#This Row],[text]])</f>
        <v>3383</v>
      </c>
      <c r="N564" s="21">
        <f>LEN(TRIM(CLEAN(SUBSTITUTE(ProjTextTable[[#This Row],[text]],CHAR(10)," "))))+1 - LEN(SUBSTITUTE(CLEAN(SUBSTITUTE(ProjTextTable[[#This Row],[text]],CHAR(10)," "))," ",""))</f>
        <v>505</v>
      </c>
      <c r="O564" t="s">
        <v>257</v>
      </c>
      <c r="P564" t="s">
        <v>907</v>
      </c>
    </row>
    <row r="565" spans="1:16" x14ac:dyDescent="0.4">
      <c r="A565">
        <f t="shared" si="8"/>
        <v>85</v>
      </c>
      <c r="B565" t="s">
        <v>379</v>
      </c>
      <c r="C565" t="s">
        <v>564</v>
      </c>
      <c r="D565" t="s">
        <v>908</v>
      </c>
      <c r="E565" t="s">
        <v>422</v>
      </c>
      <c r="F565" t="s">
        <v>13</v>
      </c>
      <c r="G565" t="s">
        <v>909</v>
      </c>
      <c r="H565" t="s">
        <v>13</v>
      </c>
      <c r="I565" t="s">
        <v>13</v>
      </c>
      <c r="K565" s="30"/>
      <c r="L565" s="8">
        <v>43069.566967592589</v>
      </c>
      <c r="M565" s="21">
        <f>LEN(ProjTextTable[[#This Row],[text]])</f>
        <v>3750</v>
      </c>
      <c r="N565" s="21">
        <f>LEN(TRIM(CLEAN(SUBSTITUTE(ProjTextTable[[#This Row],[text]],CHAR(10)," "))))+1 - LEN(SUBSTITUTE(CLEAN(SUBSTITUTE(ProjTextTable[[#This Row],[text]],CHAR(10)," "))," ",""))</f>
        <v>588</v>
      </c>
      <c r="O565" t="s">
        <v>13</v>
      </c>
      <c r="P565" t="s">
        <v>910</v>
      </c>
    </row>
    <row r="566" spans="1:16" x14ac:dyDescent="0.4">
      <c r="A566">
        <f t="shared" si="8"/>
        <v>85</v>
      </c>
      <c r="B566" t="s">
        <v>379</v>
      </c>
      <c r="C566" t="s">
        <v>564</v>
      </c>
      <c r="D566" t="s">
        <v>198</v>
      </c>
      <c r="E566" t="s">
        <v>451</v>
      </c>
      <c r="F566" t="s">
        <v>739</v>
      </c>
      <c r="G566" t="s">
        <v>740</v>
      </c>
      <c r="H566" t="s">
        <v>741</v>
      </c>
      <c r="I566" t="s">
        <v>215</v>
      </c>
      <c r="J566" t="s">
        <v>178</v>
      </c>
      <c r="K566" s="30">
        <v>43032</v>
      </c>
      <c r="L566" s="8">
        <v>43030.168969907405</v>
      </c>
      <c r="M566" s="21">
        <f>LEN(ProjTextTable[[#This Row],[text]])</f>
        <v>1663</v>
      </c>
      <c r="N566" s="21">
        <f>LEN(TRIM(CLEAN(SUBSTITUTE(ProjTextTable[[#This Row],[text]],CHAR(10)," "))))+1 - LEN(SUBSTITUTE(CLEAN(SUBSTITUTE(ProjTextTable[[#This Row],[text]],CHAR(10)," "))," ",""))</f>
        <v>245</v>
      </c>
      <c r="O566" t="s">
        <v>203</v>
      </c>
      <c r="P566" t="s">
        <v>911</v>
      </c>
    </row>
    <row r="567" spans="1:16" x14ac:dyDescent="0.4">
      <c r="A567">
        <f t="shared" si="8"/>
        <v>85</v>
      </c>
      <c r="B567" t="s">
        <v>379</v>
      </c>
      <c r="C567" t="s">
        <v>564</v>
      </c>
      <c r="D567" t="s">
        <v>198</v>
      </c>
      <c r="E567" t="s">
        <v>451</v>
      </c>
      <c r="F567" t="s">
        <v>720</v>
      </c>
      <c r="G567" t="s">
        <v>721</v>
      </c>
      <c r="H567" t="s">
        <v>722</v>
      </c>
      <c r="I567" t="s">
        <v>215</v>
      </c>
      <c r="J567" t="s">
        <v>178</v>
      </c>
      <c r="K567" s="30">
        <v>43032</v>
      </c>
      <c r="L567" s="8">
        <v>43031.369733796295</v>
      </c>
      <c r="M567" s="21">
        <f>LEN(ProjTextTable[[#This Row],[text]])</f>
        <v>1591</v>
      </c>
      <c r="N567" s="21">
        <f>LEN(TRIM(CLEAN(SUBSTITUTE(ProjTextTable[[#This Row],[text]],CHAR(10)," "))))+1 - LEN(SUBSTITUTE(CLEAN(SUBSTITUTE(ProjTextTable[[#This Row],[text]],CHAR(10)," "))," ",""))</f>
        <v>257</v>
      </c>
      <c r="O567" t="s">
        <v>203</v>
      </c>
      <c r="P567" t="s">
        <v>912</v>
      </c>
    </row>
    <row r="568" spans="1:16" x14ac:dyDescent="0.4">
      <c r="A568">
        <f t="shared" si="8"/>
        <v>85</v>
      </c>
      <c r="B568" t="s">
        <v>379</v>
      </c>
      <c r="C568" t="s">
        <v>564</v>
      </c>
      <c r="D568" t="s">
        <v>198</v>
      </c>
      <c r="E568" t="s">
        <v>451</v>
      </c>
      <c r="F568" t="s">
        <v>788</v>
      </c>
      <c r="G568" t="s">
        <v>789</v>
      </c>
      <c r="H568" t="s">
        <v>790</v>
      </c>
      <c r="I568" t="s">
        <v>215</v>
      </c>
      <c r="J568" t="s">
        <v>178</v>
      </c>
      <c r="K568" s="30">
        <v>43032</v>
      </c>
      <c r="L568" s="8">
        <v>43030.807129629633</v>
      </c>
      <c r="M568" s="21">
        <f>LEN(ProjTextTable[[#This Row],[text]])</f>
        <v>1135</v>
      </c>
      <c r="N568" s="21">
        <f>LEN(TRIM(CLEAN(SUBSTITUTE(ProjTextTable[[#This Row],[text]],CHAR(10)," "))))+1 - LEN(SUBSTITUTE(CLEAN(SUBSTITUTE(ProjTextTable[[#This Row],[text]],CHAR(10)," "))," ",""))</f>
        <v>169</v>
      </c>
      <c r="O568" t="s">
        <v>203</v>
      </c>
      <c r="P568" t="s">
        <v>913</v>
      </c>
    </row>
    <row r="569" spans="1:16" x14ac:dyDescent="0.4">
      <c r="A569">
        <f t="shared" si="8"/>
        <v>86</v>
      </c>
      <c r="B569" t="s">
        <v>380</v>
      </c>
      <c r="C569" t="s">
        <v>570</v>
      </c>
      <c r="D569" t="s">
        <v>209</v>
      </c>
      <c r="E569" t="s">
        <v>451</v>
      </c>
      <c r="F569" t="s">
        <v>616</v>
      </c>
      <c r="G569" t="s">
        <v>713</v>
      </c>
      <c r="H569" t="s">
        <v>212</v>
      </c>
      <c r="I569" t="s">
        <v>201</v>
      </c>
      <c r="J569" t="s">
        <v>201</v>
      </c>
      <c r="K569" s="30">
        <v>43031</v>
      </c>
      <c r="L569" s="8"/>
      <c r="M569" s="21">
        <f>LEN(ProjTextTable[[#This Row],[text]])</f>
        <v>2371</v>
      </c>
      <c r="N569" s="21">
        <f>LEN(TRIM(CLEAN(SUBSTITUTE(ProjTextTable[[#This Row],[text]],CHAR(10)," "))))+1 - LEN(SUBSTITUTE(CLEAN(SUBSTITUTE(ProjTextTable[[#This Row],[text]],CHAR(10)," "))," ",""))</f>
        <v>361</v>
      </c>
      <c r="O569" t="s">
        <v>213</v>
      </c>
      <c r="P569" t="s">
        <v>914</v>
      </c>
    </row>
    <row r="570" spans="1:16" x14ac:dyDescent="0.4">
      <c r="A570">
        <f t="shared" si="8"/>
        <v>86</v>
      </c>
      <c r="B570" t="s">
        <v>380</v>
      </c>
      <c r="C570" t="s">
        <v>570</v>
      </c>
      <c r="D570" t="s">
        <v>198</v>
      </c>
      <c r="E570" t="s">
        <v>451</v>
      </c>
      <c r="F570" t="s">
        <v>716</v>
      </c>
      <c r="G570" t="s">
        <v>717</v>
      </c>
      <c r="H570" t="s">
        <v>718</v>
      </c>
      <c r="I570" t="s">
        <v>215</v>
      </c>
      <c r="J570" t="s">
        <v>178</v>
      </c>
      <c r="K570" s="30">
        <v>43032</v>
      </c>
      <c r="L570" s="8">
        <v>43031.767731481479</v>
      </c>
      <c r="M570" s="21">
        <f>LEN(ProjTextTable[[#This Row],[text]])</f>
        <v>3988</v>
      </c>
      <c r="N570" s="21">
        <f>LEN(TRIM(CLEAN(SUBSTITUTE(ProjTextTable[[#This Row],[text]],CHAR(10)," "))))+1 - LEN(SUBSTITUTE(CLEAN(SUBSTITUTE(ProjTextTable[[#This Row],[text]],CHAR(10)," "))," ",""))</f>
        <v>620</v>
      </c>
      <c r="O570" t="s">
        <v>206</v>
      </c>
      <c r="P570" t="s">
        <v>915</v>
      </c>
    </row>
    <row r="571" spans="1:16" x14ac:dyDescent="0.4">
      <c r="A571">
        <f t="shared" si="8"/>
        <v>86</v>
      </c>
      <c r="B571" t="s">
        <v>380</v>
      </c>
      <c r="C571" t="s">
        <v>570</v>
      </c>
      <c r="D571" t="s">
        <v>198</v>
      </c>
      <c r="E571" t="s">
        <v>451</v>
      </c>
      <c r="F571" t="s">
        <v>797</v>
      </c>
      <c r="G571" t="s">
        <v>798</v>
      </c>
      <c r="H571" t="s">
        <v>799</v>
      </c>
      <c r="I571" t="s">
        <v>215</v>
      </c>
      <c r="J571" t="s">
        <v>178</v>
      </c>
      <c r="K571" s="30">
        <v>43032</v>
      </c>
      <c r="L571" s="8">
        <v>43031.147233796299</v>
      </c>
      <c r="M571" s="21">
        <f>LEN(ProjTextTable[[#This Row],[text]])</f>
        <v>1088</v>
      </c>
      <c r="N571" s="21">
        <f>LEN(TRIM(CLEAN(SUBSTITUTE(ProjTextTable[[#This Row],[text]],CHAR(10)," "))))+1 - LEN(SUBSTITUTE(CLEAN(SUBSTITUTE(ProjTextTable[[#This Row],[text]],CHAR(10)," "))," ",""))</f>
        <v>154</v>
      </c>
      <c r="O571" t="s">
        <v>203</v>
      </c>
      <c r="P571" t="s">
        <v>916</v>
      </c>
    </row>
    <row r="572" spans="1:16" x14ac:dyDescent="0.4">
      <c r="A572">
        <f t="shared" si="8"/>
        <v>86</v>
      </c>
      <c r="B572" t="s">
        <v>380</v>
      </c>
      <c r="C572" t="s">
        <v>570</v>
      </c>
      <c r="D572" t="s">
        <v>198</v>
      </c>
      <c r="E572" t="s">
        <v>451</v>
      </c>
      <c r="F572" t="s">
        <v>747</v>
      </c>
      <c r="G572" t="s">
        <v>748</v>
      </c>
      <c r="H572" t="s">
        <v>749</v>
      </c>
      <c r="I572" t="s">
        <v>215</v>
      </c>
      <c r="J572" t="s">
        <v>178</v>
      </c>
      <c r="K572" s="30">
        <v>43032</v>
      </c>
      <c r="L572" s="8">
        <v>43031.020694444444</v>
      </c>
      <c r="M572" s="21">
        <f>LEN(ProjTextTable[[#This Row],[text]])</f>
        <v>2238</v>
      </c>
      <c r="N572" s="21">
        <f>LEN(TRIM(CLEAN(SUBSTITUTE(ProjTextTable[[#This Row],[text]],CHAR(10)," "))))+1 - LEN(SUBSTITUTE(CLEAN(SUBSTITUTE(ProjTextTable[[#This Row],[text]],CHAR(10)," "))," ",""))</f>
        <v>333</v>
      </c>
      <c r="O572" t="s">
        <v>206</v>
      </c>
      <c r="P572" t="s">
        <v>917</v>
      </c>
    </row>
    <row r="573" spans="1:16" x14ac:dyDescent="0.4">
      <c r="A573">
        <f t="shared" si="8"/>
        <v>86</v>
      </c>
      <c r="B573" t="s">
        <v>380</v>
      </c>
      <c r="C573" t="s">
        <v>570</v>
      </c>
      <c r="D573" t="s">
        <v>200</v>
      </c>
      <c r="E573" t="s">
        <v>451</v>
      </c>
      <c r="F573" t="s">
        <v>13</v>
      </c>
      <c r="G573" t="s">
        <v>13</v>
      </c>
      <c r="H573" t="s">
        <v>13</v>
      </c>
      <c r="K573" s="30"/>
      <c r="L573" s="8">
        <v>42957.042812500003</v>
      </c>
      <c r="M573" s="21">
        <f>LEN(ProjTextTable[[#This Row],[text]])</f>
        <v>2797</v>
      </c>
      <c r="N573" s="21">
        <f>LEN(TRIM(CLEAN(SUBSTITUTE(ProjTextTable[[#This Row],[text]],CHAR(10)," "))))+1 - LEN(SUBSTITUTE(CLEAN(SUBSTITUTE(ProjTextTable[[#This Row],[text]],CHAR(10)," "))," ",""))</f>
        <v>393</v>
      </c>
      <c r="O573" t="s">
        <v>13</v>
      </c>
      <c r="P573" t="s">
        <v>918</v>
      </c>
    </row>
    <row r="574" spans="1:16" x14ac:dyDescent="0.4">
      <c r="A574">
        <f t="shared" si="8"/>
        <v>87</v>
      </c>
      <c r="B574" t="s">
        <v>381</v>
      </c>
      <c r="C574" t="s">
        <v>576</v>
      </c>
      <c r="D574" t="s">
        <v>209</v>
      </c>
      <c r="E574" t="s">
        <v>451</v>
      </c>
      <c r="F574" t="s">
        <v>616</v>
      </c>
      <c r="G574" t="s">
        <v>713</v>
      </c>
      <c r="H574" t="s">
        <v>617</v>
      </c>
      <c r="I574" t="s">
        <v>204</v>
      </c>
      <c r="J574" t="s">
        <v>270</v>
      </c>
      <c r="K574" s="30">
        <v>43031</v>
      </c>
      <c r="L574" s="8"/>
      <c r="M574" s="21">
        <f>LEN(ProjTextTable[[#This Row],[text]])</f>
        <v>3554</v>
      </c>
      <c r="N574" s="21">
        <f>LEN(TRIM(CLEAN(SUBSTITUTE(ProjTextTable[[#This Row],[text]],CHAR(10)," "))))+1 - LEN(SUBSTITUTE(CLEAN(SUBSTITUTE(ProjTextTable[[#This Row],[text]],CHAR(10)," "))," ",""))</f>
        <v>563</v>
      </c>
      <c r="O574" t="s">
        <v>491</v>
      </c>
      <c r="P574" t="s">
        <v>919</v>
      </c>
    </row>
    <row r="575" spans="1:16" x14ac:dyDescent="0.4">
      <c r="A575">
        <f t="shared" si="8"/>
        <v>87</v>
      </c>
      <c r="B575" t="s">
        <v>381</v>
      </c>
      <c r="C575" t="s">
        <v>576</v>
      </c>
      <c r="D575" t="s">
        <v>198</v>
      </c>
      <c r="E575" t="s">
        <v>451</v>
      </c>
      <c r="F575" t="s">
        <v>779</v>
      </c>
      <c r="G575" t="s">
        <v>780</v>
      </c>
      <c r="H575" t="s">
        <v>781</v>
      </c>
      <c r="I575" t="s">
        <v>215</v>
      </c>
      <c r="J575" t="s">
        <v>178</v>
      </c>
      <c r="K575" s="30">
        <v>43032</v>
      </c>
      <c r="L575" s="8">
        <v>43030.886724537035</v>
      </c>
      <c r="M575" s="21">
        <f>LEN(ProjTextTable[[#This Row],[text]])</f>
        <v>2250</v>
      </c>
      <c r="N575" s="21">
        <f>LEN(TRIM(CLEAN(SUBSTITUTE(ProjTextTable[[#This Row],[text]],CHAR(10)," "))))+1 - LEN(SUBSTITUTE(CLEAN(SUBSTITUTE(ProjTextTable[[#This Row],[text]],CHAR(10)," "))," ",""))</f>
        <v>331</v>
      </c>
      <c r="O575" t="s">
        <v>199</v>
      </c>
      <c r="P575" t="s">
        <v>920</v>
      </c>
    </row>
    <row r="576" spans="1:16" x14ac:dyDescent="0.4">
      <c r="A576">
        <f t="shared" si="8"/>
        <v>87</v>
      </c>
      <c r="B576" t="s">
        <v>381</v>
      </c>
      <c r="C576" t="s">
        <v>576</v>
      </c>
      <c r="D576" t="s">
        <v>198</v>
      </c>
      <c r="E576" t="s">
        <v>451</v>
      </c>
      <c r="F576" t="s">
        <v>716</v>
      </c>
      <c r="G576" t="s">
        <v>717</v>
      </c>
      <c r="H576" t="s">
        <v>718</v>
      </c>
      <c r="I576" t="s">
        <v>215</v>
      </c>
      <c r="J576" t="s">
        <v>178</v>
      </c>
      <c r="K576" s="30">
        <v>43032</v>
      </c>
      <c r="L576" s="8">
        <v>43025.633287037039</v>
      </c>
      <c r="M576" s="21">
        <f>LEN(ProjTextTable[[#This Row],[text]])</f>
        <v>2071</v>
      </c>
      <c r="N576" s="21">
        <f>LEN(TRIM(CLEAN(SUBSTITUTE(ProjTextTable[[#This Row],[text]],CHAR(10)," "))))+1 - LEN(SUBSTITUTE(CLEAN(SUBSTITUTE(ProjTextTable[[#This Row],[text]],CHAR(10)," "))," ",""))</f>
        <v>314</v>
      </c>
      <c r="O576" t="s">
        <v>202</v>
      </c>
      <c r="P576" t="s">
        <v>921</v>
      </c>
    </row>
    <row r="577" spans="1:16" x14ac:dyDescent="0.4">
      <c r="A577">
        <f t="shared" si="8"/>
        <v>87</v>
      </c>
      <c r="B577" t="s">
        <v>381</v>
      </c>
      <c r="C577" t="s">
        <v>576</v>
      </c>
      <c r="D577" t="s">
        <v>198</v>
      </c>
      <c r="E577" t="s">
        <v>451</v>
      </c>
      <c r="F577" t="s">
        <v>743</v>
      </c>
      <c r="G577" t="s">
        <v>744</v>
      </c>
      <c r="H577" t="s">
        <v>745</v>
      </c>
      <c r="I577" t="s">
        <v>215</v>
      </c>
      <c r="J577" t="s">
        <v>178</v>
      </c>
      <c r="K577" s="30">
        <v>43032</v>
      </c>
      <c r="L577" s="8">
        <v>43031.742314814815</v>
      </c>
      <c r="M577" s="21">
        <f>LEN(ProjTextTable[[#This Row],[text]])</f>
        <v>1610</v>
      </c>
      <c r="N577" s="21">
        <f>LEN(TRIM(CLEAN(SUBSTITUTE(ProjTextTable[[#This Row],[text]],CHAR(10)," "))))+1 - LEN(SUBSTITUTE(CLEAN(SUBSTITUTE(ProjTextTable[[#This Row],[text]],CHAR(10)," "))," ",""))</f>
        <v>237</v>
      </c>
      <c r="O577" t="s">
        <v>205</v>
      </c>
      <c r="P577" t="s">
        <v>922</v>
      </c>
    </row>
    <row r="578" spans="1:16" x14ac:dyDescent="0.4">
      <c r="A578">
        <f t="shared" ref="A578:A592" si="9">A577+(B578&lt;&gt;B577)</f>
        <v>87</v>
      </c>
      <c r="B578" t="s">
        <v>381</v>
      </c>
      <c r="C578" t="s">
        <v>576</v>
      </c>
      <c r="D578" t="s">
        <v>200</v>
      </c>
      <c r="E578" t="s">
        <v>406</v>
      </c>
      <c r="F578" t="s">
        <v>13</v>
      </c>
      <c r="G578" t="s">
        <v>13</v>
      </c>
      <c r="H578" t="s">
        <v>13</v>
      </c>
      <c r="K578" s="30"/>
      <c r="L578" s="8">
        <v>42957.042870370373</v>
      </c>
      <c r="M578" s="21">
        <f>LEN(ProjTextTable[[#This Row],[text]])</f>
        <v>4426</v>
      </c>
      <c r="N578" s="21">
        <f>LEN(TRIM(CLEAN(SUBSTITUTE(ProjTextTable[[#This Row],[text]],CHAR(10)," "))))+1 - LEN(SUBSTITUTE(CLEAN(SUBSTITUTE(ProjTextTable[[#This Row],[text]],CHAR(10)," "))," ",""))</f>
        <v>577</v>
      </c>
      <c r="O578" t="s">
        <v>13</v>
      </c>
      <c r="P578" t="s">
        <v>923</v>
      </c>
    </row>
    <row r="579" spans="1:16" x14ac:dyDescent="0.4">
      <c r="A579">
        <f t="shared" si="9"/>
        <v>88</v>
      </c>
      <c r="B579" t="s">
        <v>382</v>
      </c>
      <c r="C579" t="s">
        <v>583</v>
      </c>
      <c r="D579" t="s">
        <v>209</v>
      </c>
      <c r="E579" t="s">
        <v>451</v>
      </c>
      <c r="F579" t="s">
        <v>924</v>
      </c>
      <c r="G579" t="s">
        <v>713</v>
      </c>
      <c r="H579" t="s">
        <v>617</v>
      </c>
      <c r="I579" t="s">
        <v>204</v>
      </c>
      <c r="J579" t="s">
        <v>270</v>
      </c>
      <c r="K579" s="30">
        <v>43031</v>
      </c>
      <c r="L579" s="8"/>
      <c r="M579" s="21">
        <f>LEN(ProjTextTable[[#This Row],[text]])</f>
        <v>1785</v>
      </c>
      <c r="N579" s="21">
        <f>LEN(TRIM(CLEAN(SUBSTITUTE(ProjTextTable[[#This Row],[text]],CHAR(10)," "))))+1 - LEN(SUBSTITUTE(CLEAN(SUBSTITUTE(ProjTextTable[[#This Row],[text]],CHAR(10)," "))," ",""))</f>
        <v>268</v>
      </c>
      <c r="O579" t="s">
        <v>491</v>
      </c>
      <c r="P579" t="s">
        <v>925</v>
      </c>
    </row>
    <row r="580" spans="1:16" x14ac:dyDescent="0.4">
      <c r="A580">
        <f t="shared" si="9"/>
        <v>88</v>
      </c>
      <c r="B580" t="s">
        <v>382</v>
      </c>
      <c r="C580" t="s">
        <v>583</v>
      </c>
      <c r="D580" t="s">
        <v>198</v>
      </c>
      <c r="E580" t="s">
        <v>451</v>
      </c>
      <c r="F580" t="s">
        <v>720</v>
      </c>
      <c r="G580" t="s">
        <v>721</v>
      </c>
      <c r="H580" t="s">
        <v>722</v>
      </c>
      <c r="I580" t="s">
        <v>215</v>
      </c>
      <c r="J580" t="s">
        <v>178</v>
      </c>
      <c r="K580" s="30">
        <v>43032</v>
      </c>
      <c r="L580" s="8">
        <v>43030.825844907406</v>
      </c>
      <c r="M580" s="21">
        <f>LEN(ProjTextTable[[#This Row],[text]])</f>
        <v>1433</v>
      </c>
      <c r="N580" s="21">
        <f>LEN(TRIM(CLEAN(SUBSTITUTE(ProjTextTable[[#This Row],[text]],CHAR(10)," "))))+1 - LEN(SUBSTITUTE(CLEAN(SUBSTITUTE(ProjTextTable[[#This Row],[text]],CHAR(10)," "))," ",""))</f>
        <v>209</v>
      </c>
      <c r="O580" t="s">
        <v>199</v>
      </c>
      <c r="P580" t="s">
        <v>926</v>
      </c>
    </row>
    <row r="581" spans="1:16" x14ac:dyDescent="0.4">
      <c r="A581">
        <f t="shared" si="9"/>
        <v>88</v>
      </c>
      <c r="B581" t="s">
        <v>382</v>
      </c>
      <c r="C581" t="s">
        <v>583</v>
      </c>
      <c r="D581" t="s">
        <v>198</v>
      </c>
      <c r="E581" t="s">
        <v>406</v>
      </c>
      <c r="F581" t="s">
        <v>728</v>
      </c>
      <c r="G581" t="s">
        <v>729</v>
      </c>
      <c r="H581" t="s">
        <v>730</v>
      </c>
      <c r="I581" t="s">
        <v>215</v>
      </c>
      <c r="J581" t="s">
        <v>178</v>
      </c>
      <c r="K581" s="30">
        <v>43032</v>
      </c>
      <c r="L581" s="8">
        <v>43032.675833333335</v>
      </c>
      <c r="M581" s="21">
        <f>LEN(ProjTextTable[[#This Row],[text]])</f>
        <v>2823</v>
      </c>
      <c r="N581" s="21">
        <f>LEN(TRIM(CLEAN(SUBSTITUTE(ProjTextTable[[#This Row],[text]],CHAR(10)," "))))+1 - LEN(SUBSTITUTE(CLEAN(SUBSTITUTE(ProjTextTable[[#This Row],[text]],CHAR(10)," "))," ",""))</f>
        <v>475</v>
      </c>
      <c r="O581" t="s">
        <v>207</v>
      </c>
      <c r="P581" t="s">
        <v>927</v>
      </c>
    </row>
    <row r="582" spans="1:16" x14ac:dyDescent="0.4">
      <c r="A582">
        <f t="shared" si="9"/>
        <v>88</v>
      </c>
      <c r="B582" t="s">
        <v>382</v>
      </c>
      <c r="C582" t="s">
        <v>583</v>
      </c>
      <c r="D582" t="s">
        <v>198</v>
      </c>
      <c r="E582" t="s">
        <v>451</v>
      </c>
      <c r="F582" t="s">
        <v>755</v>
      </c>
      <c r="G582" t="s">
        <v>756</v>
      </c>
      <c r="H582" t="s">
        <v>757</v>
      </c>
      <c r="I582" t="s">
        <v>215</v>
      </c>
      <c r="J582" t="s">
        <v>178</v>
      </c>
      <c r="K582" s="30">
        <v>43032</v>
      </c>
      <c r="L582" s="8">
        <v>43032.53087962963</v>
      </c>
      <c r="M582" s="21">
        <f>LEN(ProjTextTable[[#This Row],[text]])</f>
        <v>5656</v>
      </c>
      <c r="N582" s="21">
        <f>LEN(TRIM(CLEAN(SUBSTITUTE(ProjTextTable[[#This Row],[text]],CHAR(10)," "))))+1 - LEN(SUBSTITUTE(CLEAN(SUBSTITUTE(ProjTextTable[[#This Row],[text]],CHAR(10)," "))," ",""))</f>
        <v>946</v>
      </c>
      <c r="O582" t="s">
        <v>203</v>
      </c>
      <c r="P582" t="s">
        <v>928</v>
      </c>
    </row>
    <row r="583" spans="1:16" x14ac:dyDescent="0.4">
      <c r="A583">
        <f t="shared" si="9"/>
        <v>88</v>
      </c>
      <c r="B583" t="s">
        <v>382</v>
      </c>
      <c r="C583" t="s">
        <v>583</v>
      </c>
      <c r="D583" t="s">
        <v>200</v>
      </c>
      <c r="E583" t="s">
        <v>406</v>
      </c>
      <c r="F583" t="s">
        <v>13</v>
      </c>
      <c r="G583" t="s">
        <v>13</v>
      </c>
      <c r="H583" t="s">
        <v>13</v>
      </c>
      <c r="K583" s="30"/>
      <c r="L583" s="8">
        <v>42957.043009259258</v>
      </c>
      <c r="M583" s="21">
        <f>LEN(ProjTextTable[[#This Row],[text]])</f>
        <v>4368</v>
      </c>
      <c r="N583" s="21">
        <f>LEN(TRIM(CLEAN(SUBSTITUTE(ProjTextTable[[#This Row],[text]],CHAR(10)," "))))+1 - LEN(SUBSTITUTE(CLEAN(SUBSTITUTE(ProjTextTable[[#This Row],[text]],CHAR(10)," "))," ",""))</f>
        <v>604</v>
      </c>
      <c r="O583" t="s">
        <v>13</v>
      </c>
      <c r="P583" t="s">
        <v>929</v>
      </c>
    </row>
    <row r="584" spans="1:16" x14ac:dyDescent="0.4">
      <c r="A584">
        <f t="shared" si="9"/>
        <v>89</v>
      </c>
      <c r="B584" t="s">
        <v>383</v>
      </c>
      <c r="C584" t="s">
        <v>589</v>
      </c>
      <c r="D584" t="s">
        <v>209</v>
      </c>
      <c r="E584" t="s">
        <v>451</v>
      </c>
      <c r="F584" t="s">
        <v>616</v>
      </c>
      <c r="G584" t="s">
        <v>713</v>
      </c>
      <c r="H584" t="s">
        <v>617</v>
      </c>
      <c r="I584" t="s">
        <v>204</v>
      </c>
      <c r="J584" t="s">
        <v>270</v>
      </c>
      <c r="K584" s="30">
        <v>43031</v>
      </c>
      <c r="L584" s="8"/>
      <c r="M584" s="21">
        <f>LEN(ProjTextTable[[#This Row],[text]])</f>
        <v>2340</v>
      </c>
      <c r="N584" s="21">
        <f>LEN(TRIM(CLEAN(SUBSTITUTE(ProjTextTable[[#This Row],[text]],CHAR(10)," "))))+1 - LEN(SUBSTITUTE(CLEAN(SUBSTITUTE(ProjTextTable[[#This Row],[text]],CHAR(10)," "))," ",""))</f>
        <v>356</v>
      </c>
      <c r="O584" t="s">
        <v>491</v>
      </c>
      <c r="P584" t="s">
        <v>930</v>
      </c>
    </row>
    <row r="585" spans="1:16" x14ac:dyDescent="0.4">
      <c r="A585">
        <f t="shared" si="9"/>
        <v>89</v>
      </c>
      <c r="B585" t="s">
        <v>383</v>
      </c>
      <c r="C585" t="s">
        <v>589</v>
      </c>
      <c r="D585" t="s">
        <v>198</v>
      </c>
      <c r="E585" t="s">
        <v>451</v>
      </c>
      <c r="F585" t="s">
        <v>716</v>
      </c>
      <c r="G585" t="s">
        <v>717</v>
      </c>
      <c r="H585" t="s">
        <v>718</v>
      </c>
      <c r="I585" t="s">
        <v>215</v>
      </c>
      <c r="J585" t="s">
        <v>178</v>
      </c>
      <c r="K585" s="30">
        <v>43032</v>
      </c>
      <c r="L585" s="8">
        <v>43031.750081018516</v>
      </c>
      <c r="M585" s="21">
        <f>LEN(ProjTextTable[[#This Row],[text]])</f>
        <v>3285</v>
      </c>
      <c r="N585" s="21">
        <f>LEN(TRIM(CLEAN(SUBSTITUTE(ProjTextTable[[#This Row],[text]],CHAR(10)," "))))+1 - LEN(SUBSTITUTE(CLEAN(SUBSTITUTE(ProjTextTable[[#This Row],[text]],CHAR(10)," "))," ",""))</f>
        <v>514</v>
      </c>
      <c r="O585" t="s">
        <v>206</v>
      </c>
      <c r="P585" t="s">
        <v>931</v>
      </c>
    </row>
    <row r="586" spans="1:16" x14ac:dyDescent="0.4">
      <c r="A586">
        <f t="shared" si="9"/>
        <v>89</v>
      </c>
      <c r="B586" t="s">
        <v>383</v>
      </c>
      <c r="C586" t="s">
        <v>589</v>
      </c>
      <c r="D586" t="s">
        <v>198</v>
      </c>
      <c r="E586" t="s">
        <v>451</v>
      </c>
      <c r="F586" t="s">
        <v>783</v>
      </c>
      <c r="G586" t="s">
        <v>784</v>
      </c>
      <c r="H586" t="s">
        <v>785</v>
      </c>
      <c r="I586" t="s">
        <v>215</v>
      </c>
      <c r="J586" t="s">
        <v>178</v>
      </c>
      <c r="K586" s="30">
        <v>43032</v>
      </c>
      <c r="L586" s="8">
        <v>43027.933842592596</v>
      </c>
      <c r="M586" s="21">
        <f>LEN(ProjTextTable[[#This Row],[text]])</f>
        <v>2177</v>
      </c>
      <c r="N586" s="21">
        <f>LEN(TRIM(CLEAN(SUBSTITUTE(ProjTextTable[[#This Row],[text]],CHAR(10)," "))))+1 - LEN(SUBSTITUTE(CLEAN(SUBSTITUTE(ProjTextTable[[#This Row],[text]],CHAR(10)," "))," ",""))</f>
        <v>316</v>
      </c>
      <c r="O586" t="s">
        <v>199</v>
      </c>
      <c r="P586" t="s">
        <v>932</v>
      </c>
    </row>
    <row r="587" spans="1:16" x14ac:dyDescent="0.4">
      <c r="A587">
        <f t="shared" si="9"/>
        <v>89</v>
      </c>
      <c r="B587" t="s">
        <v>383</v>
      </c>
      <c r="C587" t="s">
        <v>589</v>
      </c>
      <c r="D587" t="s">
        <v>198</v>
      </c>
      <c r="E587" t="s">
        <v>406</v>
      </c>
      <c r="F587" t="s">
        <v>728</v>
      </c>
      <c r="G587" t="s">
        <v>729</v>
      </c>
      <c r="H587" t="s">
        <v>730</v>
      </c>
      <c r="I587" t="s">
        <v>215</v>
      </c>
      <c r="J587" t="s">
        <v>178</v>
      </c>
      <c r="K587" s="30">
        <v>43032</v>
      </c>
      <c r="L587" s="8">
        <v>43030.934814814813</v>
      </c>
      <c r="M587" s="21">
        <f>LEN(ProjTextTable[[#This Row],[text]])</f>
        <v>1966</v>
      </c>
      <c r="N587" s="21">
        <f>LEN(TRIM(CLEAN(SUBSTITUTE(ProjTextTable[[#This Row],[text]],CHAR(10)," "))))+1 - LEN(SUBSTITUTE(CLEAN(SUBSTITUTE(ProjTextTable[[#This Row],[text]],CHAR(10)," "))," ",""))</f>
        <v>299</v>
      </c>
      <c r="O587" t="s">
        <v>205</v>
      </c>
      <c r="P587" t="s">
        <v>933</v>
      </c>
    </row>
    <row r="588" spans="1:16" x14ac:dyDescent="0.4">
      <c r="A588">
        <f t="shared" si="9"/>
        <v>89</v>
      </c>
      <c r="B588" t="s">
        <v>383</v>
      </c>
      <c r="C588" t="s">
        <v>589</v>
      </c>
      <c r="D588" t="s">
        <v>200</v>
      </c>
      <c r="E588" t="s">
        <v>406</v>
      </c>
      <c r="F588" t="s">
        <v>13</v>
      </c>
      <c r="G588" t="s">
        <v>13</v>
      </c>
      <c r="H588" t="s">
        <v>13</v>
      </c>
      <c r="K588" s="30"/>
      <c r="L588" s="8">
        <v>42957.043055555558</v>
      </c>
      <c r="M588" s="21">
        <f>LEN(ProjTextTable[[#This Row],[text]])</f>
        <v>3067</v>
      </c>
      <c r="N588" s="21">
        <f>LEN(TRIM(CLEAN(SUBSTITUTE(ProjTextTable[[#This Row],[text]],CHAR(10)," "))))+1 - LEN(SUBSTITUTE(CLEAN(SUBSTITUTE(ProjTextTable[[#This Row],[text]],CHAR(10)," "))," ",""))</f>
        <v>414</v>
      </c>
      <c r="O588" t="s">
        <v>13</v>
      </c>
      <c r="P588" t="s">
        <v>934</v>
      </c>
    </row>
    <row r="589" spans="1:16" x14ac:dyDescent="0.4">
      <c r="A589">
        <f t="shared" si="9"/>
        <v>90</v>
      </c>
      <c r="B589" t="s">
        <v>384</v>
      </c>
      <c r="C589" t="s">
        <v>266</v>
      </c>
      <c r="D589" t="s">
        <v>209</v>
      </c>
      <c r="E589" t="s">
        <v>451</v>
      </c>
      <c r="F589" t="s">
        <v>616</v>
      </c>
      <c r="G589" t="s">
        <v>713</v>
      </c>
      <c r="H589" t="s">
        <v>212</v>
      </c>
      <c r="I589" t="s">
        <v>201</v>
      </c>
      <c r="J589" t="s">
        <v>197</v>
      </c>
      <c r="K589" s="30">
        <v>43031</v>
      </c>
      <c r="L589" s="8"/>
      <c r="M589" s="21">
        <f>LEN(ProjTextTable[[#This Row],[text]])</f>
        <v>3360</v>
      </c>
      <c r="N589" s="21">
        <f>LEN(TRIM(CLEAN(SUBSTITUTE(ProjTextTable[[#This Row],[text]],CHAR(10)," "))))+1 - LEN(SUBSTITUTE(CLEAN(SUBSTITUTE(ProjTextTable[[#This Row],[text]],CHAR(10)," "))," ",""))</f>
        <v>522</v>
      </c>
      <c r="O589" t="s">
        <v>213</v>
      </c>
      <c r="P589" t="s">
        <v>935</v>
      </c>
    </row>
    <row r="590" spans="1:16" x14ac:dyDescent="0.4">
      <c r="A590">
        <f t="shared" si="9"/>
        <v>90</v>
      </c>
      <c r="B590" t="s">
        <v>384</v>
      </c>
      <c r="C590" t="s">
        <v>266</v>
      </c>
      <c r="D590" t="s">
        <v>198</v>
      </c>
      <c r="E590" t="s">
        <v>451</v>
      </c>
      <c r="F590" t="s">
        <v>739</v>
      </c>
      <c r="G590" t="s">
        <v>740</v>
      </c>
      <c r="H590" t="s">
        <v>741</v>
      </c>
      <c r="I590" t="s">
        <v>215</v>
      </c>
      <c r="J590" t="s">
        <v>178</v>
      </c>
      <c r="K590" s="30">
        <v>43032</v>
      </c>
      <c r="L590" s="8">
        <v>43030.166759259257</v>
      </c>
      <c r="M590" s="21">
        <f>LEN(ProjTextTable[[#This Row],[text]])</f>
        <v>1615</v>
      </c>
      <c r="N590" s="21">
        <f>LEN(TRIM(CLEAN(SUBSTITUTE(ProjTextTable[[#This Row],[text]],CHAR(10)," "))))+1 - LEN(SUBSTITUTE(CLEAN(SUBSTITUTE(ProjTextTable[[#This Row],[text]],CHAR(10)," "))," ",""))</f>
        <v>241</v>
      </c>
      <c r="O590" t="s">
        <v>199</v>
      </c>
      <c r="P590" t="s">
        <v>936</v>
      </c>
    </row>
    <row r="591" spans="1:16" x14ac:dyDescent="0.4">
      <c r="A591">
        <f t="shared" si="9"/>
        <v>90</v>
      </c>
      <c r="B591" t="s">
        <v>384</v>
      </c>
      <c r="C591" t="s">
        <v>266</v>
      </c>
      <c r="D591" t="s">
        <v>198</v>
      </c>
      <c r="E591" t="s">
        <v>451</v>
      </c>
      <c r="F591" t="s">
        <v>743</v>
      </c>
      <c r="G591" t="s">
        <v>744</v>
      </c>
      <c r="H591" t="s">
        <v>745</v>
      </c>
      <c r="I591" t="s">
        <v>215</v>
      </c>
      <c r="J591" t="s">
        <v>178</v>
      </c>
      <c r="K591" s="30">
        <v>43032</v>
      </c>
      <c r="L591" s="8">
        <v>43031.734490740739</v>
      </c>
      <c r="M591" s="21">
        <f>LEN(ProjTextTable[[#This Row],[text]])</f>
        <v>2978</v>
      </c>
      <c r="N591" s="21">
        <f>LEN(TRIM(CLEAN(SUBSTITUTE(ProjTextTable[[#This Row],[text]],CHAR(10)," "))))+1 - LEN(SUBSTITUTE(CLEAN(SUBSTITUTE(ProjTextTable[[#This Row],[text]],CHAR(10)," "))," ",""))</f>
        <v>447</v>
      </c>
      <c r="O591" t="s">
        <v>206</v>
      </c>
      <c r="P591" t="s">
        <v>937</v>
      </c>
    </row>
    <row r="592" spans="1:16" x14ac:dyDescent="0.4">
      <c r="A592">
        <f t="shared" si="9"/>
        <v>90</v>
      </c>
      <c r="B592" t="s">
        <v>384</v>
      </c>
      <c r="C592" t="s">
        <v>266</v>
      </c>
      <c r="D592" t="s">
        <v>198</v>
      </c>
      <c r="E592" t="s">
        <v>451</v>
      </c>
      <c r="F592" t="s">
        <v>760</v>
      </c>
      <c r="G592" t="s">
        <v>761</v>
      </c>
      <c r="H592" t="s">
        <v>762</v>
      </c>
      <c r="I592" t="s">
        <v>215</v>
      </c>
      <c r="J592" t="s">
        <v>178</v>
      </c>
      <c r="K592" s="30">
        <v>43032</v>
      </c>
      <c r="L592" s="8">
        <v>43028.558368055557</v>
      </c>
      <c r="M592" s="21">
        <f>LEN(ProjTextTable[[#This Row],[text]])</f>
        <v>1434</v>
      </c>
      <c r="N592" s="21">
        <f>LEN(TRIM(CLEAN(SUBSTITUTE(ProjTextTable[[#This Row],[text]],CHAR(10)," "))))+1 - LEN(SUBSTITUTE(CLEAN(SUBSTITUTE(ProjTextTable[[#This Row],[text]],CHAR(10)," "))," ",""))</f>
        <v>212</v>
      </c>
      <c r="O592" t="s">
        <v>203</v>
      </c>
      <c r="P592" t="s">
        <v>938</v>
      </c>
    </row>
    <row r="593" spans="2:16" x14ac:dyDescent="0.4">
      <c r="B593" t="s">
        <v>208</v>
      </c>
      <c r="K593" s="30"/>
      <c r="M593"/>
      <c r="N593"/>
      <c r="P593">
        <f>SUBTOTAL(103,ProjTextTable[text])</f>
        <v>591</v>
      </c>
    </row>
  </sheetData>
  <conditionalFormatting sqref="A2:P592">
    <cfRule type="expression" dxfId="3"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election activeCell="D1" sqref="D1"/>
    </sheetView>
  </sheetViews>
  <sheetFormatPr defaultRowHeight="14.6" x14ac:dyDescent="0.4"/>
  <cols>
    <col min="1" max="1" width="9.3046875" customWidth="1"/>
    <col min="2" max="2" width="38.3828125" customWidth="1"/>
    <col min="3" max="3" width="11.3828125" customWidth="1"/>
    <col min="4" max="4" width="5.3828125" customWidth="1"/>
    <col min="6" max="8" width="5.84375" style="30" customWidth="1"/>
    <col min="9" max="9" width="3.3046875" style="30" customWidth="1"/>
    <col min="10" max="10" width="3.53515625" style="30" customWidth="1"/>
    <col min="11" max="11" width="13.53515625" customWidth="1"/>
    <col min="12" max="12" width="3.84375" customWidth="1"/>
    <col min="13" max="14" width="7.3828125" hidden="1" customWidth="1"/>
    <col min="15" max="15" width="5.3828125" customWidth="1"/>
    <col min="16" max="16" width="11" customWidth="1"/>
    <col min="17" max="17" width="14.3046875" style="22" customWidth="1"/>
    <col min="18" max="18" width="5.3046875" style="39" customWidth="1"/>
    <col min="19" max="19" width="4.53515625" style="39" customWidth="1"/>
    <col min="20" max="20" width="11.84375" customWidth="1"/>
    <col min="21" max="21" width="4.3828125" customWidth="1"/>
    <col min="22" max="22" width="3.69140625" customWidth="1"/>
    <col min="23" max="23" width="8.69140625" style="30" customWidth="1"/>
    <col min="24" max="24" width="3.69140625" customWidth="1"/>
    <col min="25" max="25" width="9.3046875" style="30"/>
    <col min="26" max="26" width="9.53515625" style="30"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ht="33.9" customHeight="1" x14ac:dyDescent="0.4">
      <c r="A1" s="64" t="s">
        <v>337</v>
      </c>
      <c r="T1" s="40" t="s">
        <v>253</v>
      </c>
      <c r="AF1" s="40" t="s">
        <v>246</v>
      </c>
      <c r="AG1" s="40"/>
      <c r="AH1" s="40"/>
      <c r="AI1" s="40"/>
      <c r="AJ1" s="40"/>
      <c r="AK1" s="40"/>
      <c r="AL1" s="41" t="s">
        <v>247</v>
      </c>
      <c r="AM1" s="40"/>
      <c r="AN1" s="40"/>
      <c r="AO1" s="40"/>
      <c r="AP1" s="42" t="s">
        <v>245</v>
      </c>
      <c r="AQ1" s="40"/>
      <c r="AR1" s="40"/>
      <c r="AS1" s="40"/>
      <c r="AT1" s="40"/>
      <c r="AU1" s="40"/>
      <c r="AV1" s="40" t="s">
        <v>248</v>
      </c>
    </row>
    <row r="2" spans="1:48" x14ac:dyDescent="0.4">
      <c r="A2" s="24" t="s">
        <v>339</v>
      </c>
      <c r="B2" t="s">
        <v>340</v>
      </c>
      <c r="F2"/>
      <c r="G2"/>
      <c r="H2"/>
      <c r="I2"/>
      <c r="J2"/>
      <c r="Q2"/>
      <c r="R2"/>
      <c r="S2"/>
      <c r="W2"/>
      <c r="Y2"/>
      <c r="Z2"/>
      <c r="AL2"/>
      <c r="AP2"/>
    </row>
    <row r="3" spans="1:48" x14ac:dyDescent="0.4">
      <c r="A3" s="24" t="s">
        <v>1413</v>
      </c>
      <c r="B3" t="s">
        <v>1414</v>
      </c>
      <c r="F3"/>
      <c r="G3"/>
      <c r="H3"/>
      <c r="I3"/>
      <c r="J3"/>
      <c r="Q3"/>
      <c r="R3"/>
      <c r="S3"/>
      <c r="W3"/>
      <c r="Y3"/>
      <c r="Z3"/>
      <c r="AL3"/>
      <c r="AP3"/>
    </row>
    <row r="4" spans="1:48" x14ac:dyDescent="0.4">
      <c r="A4" s="24" t="s">
        <v>1415</v>
      </c>
      <c r="B4" t="s">
        <v>1416</v>
      </c>
      <c r="F4"/>
      <c r="G4"/>
      <c r="H4"/>
      <c r="I4"/>
      <c r="J4"/>
      <c r="Q4"/>
      <c r="R4"/>
      <c r="S4"/>
      <c r="W4"/>
      <c r="Y4"/>
      <c r="Z4"/>
      <c r="AL4"/>
      <c r="AP4"/>
    </row>
    <row r="5" spans="1:48" x14ac:dyDescent="0.4">
      <c r="A5" s="24" t="s">
        <v>1417</v>
      </c>
      <c r="B5" t="s">
        <v>1418</v>
      </c>
      <c r="F5"/>
      <c r="G5"/>
      <c r="H5"/>
      <c r="I5"/>
      <c r="J5"/>
      <c r="Q5"/>
      <c r="R5"/>
      <c r="S5"/>
      <c r="W5"/>
      <c r="Y5"/>
      <c r="Z5"/>
      <c r="AL5"/>
      <c r="AP5"/>
    </row>
    <row r="6" spans="1:48" x14ac:dyDescent="0.4">
      <c r="A6" s="24" t="s">
        <v>265</v>
      </c>
      <c r="B6" t="s">
        <v>341</v>
      </c>
      <c r="F6"/>
      <c r="G6"/>
      <c r="H6"/>
      <c r="I6"/>
      <c r="J6"/>
      <c r="Q6"/>
      <c r="R6"/>
      <c r="S6"/>
      <c r="W6"/>
      <c r="Y6"/>
      <c r="Z6"/>
      <c r="AL6"/>
      <c r="AP6"/>
    </row>
    <row r="7" spans="1:48" x14ac:dyDescent="0.4">
      <c r="A7" s="24" t="s">
        <v>342</v>
      </c>
      <c r="B7" t="s">
        <v>343</v>
      </c>
      <c r="F7"/>
      <c r="G7"/>
      <c r="H7"/>
      <c r="I7"/>
      <c r="J7"/>
      <c r="Q7"/>
      <c r="R7"/>
      <c r="S7"/>
      <c r="W7"/>
      <c r="Y7"/>
      <c r="Z7"/>
      <c r="AL7"/>
      <c r="AP7"/>
    </row>
    <row r="8" spans="1:48" x14ac:dyDescent="0.4">
      <c r="A8" s="24" t="s">
        <v>1419</v>
      </c>
      <c r="B8" t="s">
        <v>1420</v>
      </c>
      <c r="F8"/>
      <c r="G8"/>
      <c r="H8"/>
      <c r="I8"/>
      <c r="J8"/>
      <c r="Q8"/>
      <c r="R8"/>
      <c r="S8"/>
      <c r="W8"/>
      <c r="Y8"/>
      <c r="Z8"/>
      <c r="AL8"/>
      <c r="AP8"/>
    </row>
    <row r="9" spans="1:48" x14ac:dyDescent="0.4">
      <c r="A9" s="24" t="s">
        <v>344</v>
      </c>
      <c r="B9" t="s">
        <v>345</v>
      </c>
      <c r="F9"/>
      <c r="G9"/>
      <c r="H9"/>
      <c r="I9"/>
      <c r="J9"/>
      <c r="Q9"/>
      <c r="R9"/>
      <c r="S9"/>
      <c r="W9"/>
      <c r="Y9"/>
      <c r="Z9"/>
      <c r="AL9"/>
      <c r="AP9"/>
    </row>
    <row r="10" spans="1:48" x14ac:dyDescent="0.4">
      <c r="A10" s="106" t="s">
        <v>346</v>
      </c>
      <c r="B10" s="6" t="s">
        <v>347</v>
      </c>
      <c r="I10"/>
      <c r="J10"/>
      <c r="Q10"/>
      <c r="R10"/>
      <c r="S10"/>
      <c r="W10"/>
      <c r="Y10"/>
      <c r="Z10"/>
      <c r="AL10"/>
      <c r="AP10"/>
    </row>
    <row r="11" spans="1:48" x14ac:dyDescent="0.4">
      <c r="A11" s="106" t="s">
        <v>348</v>
      </c>
      <c r="B11" s="6" t="s">
        <v>349</v>
      </c>
      <c r="I11"/>
      <c r="J11"/>
      <c r="Q11"/>
      <c r="R11"/>
      <c r="S11"/>
      <c r="W11"/>
      <c r="Y11"/>
      <c r="Z11"/>
      <c r="AL11"/>
      <c r="AP11"/>
    </row>
    <row r="12" spans="1:48" x14ac:dyDescent="0.4">
      <c r="A12" s="106" t="s">
        <v>1421</v>
      </c>
      <c r="B12" s="6" t="s">
        <v>1422</v>
      </c>
      <c r="I12"/>
      <c r="J12"/>
      <c r="Q12"/>
      <c r="R12"/>
      <c r="S12"/>
      <c r="W12"/>
      <c r="Y12"/>
      <c r="Z12"/>
      <c r="AL12"/>
      <c r="AP12"/>
    </row>
    <row r="13" spans="1:48" x14ac:dyDescent="0.4">
      <c r="A13" s="106" t="s">
        <v>350</v>
      </c>
      <c r="B13" s="6" t="s">
        <v>351</v>
      </c>
      <c r="I13"/>
      <c r="J13"/>
      <c r="Q13"/>
      <c r="R13"/>
      <c r="S13"/>
      <c r="W13"/>
      <c r="Y13"/>
      <c r="Z13"/>
      <c r="AL13"/>
      <c r="AP13"/>
    </row>
    <row r="14" spans="1:48" x14ac:dyDescent="0.4">
      <c r="A14" s="106" t="s">
        <v>1423</v>
      </c>
      <c r="B14" s="6" t="s">
        <v>1424</v>
      </c>
      <c r="I14"/>
      <c r="J14"/>
      <c r="Q14"/>
      <c r="R14"/>
      <c r="S14"/>
      <c r="W14"/>
      <c r="Y14"/>
      <c r="Z14"/>
      <c r="AL14"/>
      <c r="AP14"/>
    </row>
    <row r="15" spans="1:48" x14ac:dyDescent="0.4">
      <c r="A15" s="106" t="s">
        <v>352</v>
      </c>
      <c r="B15" s="6" t="s">
        <v>353</v>
      </c>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P47"/>
  <sheetViews>
    <sheetView showGridLines="0" topLeftCell="C1" workbookViewId="0">
      <selection activeCell="Q12" sqref="Q12"/>
    </sheetView>
  </sheetViews>
  <sheetFormatPr defaultRowHeight="14.6" x14ac:dyDescent="0.4"/>
  <cols>
    <col min="1" max="1" width="10.3828125" style="6" customWidth="1"/>
    <col min="2" max="2" width="16.3046875" customWidth="1"/>
    <col min="3" max="3" width="3.3046875" style="5" customWidth="1"/>
    <col min="4" max="4" width="15.69140625" style="23"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10.07421875" customWidth="1"/>
    <col min="15" max="15" width="24.3046875" customWidth="1"/>
    <col min="16" max="16" width="12"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6" ht="16" customHeight="1" x14ac:dyDescent="0.4">
      <c r="A1" s="61" t="s">
        <v>312</v>
      </c>
      <c r="H1" s="3" t="s">
        <v>250</v>
      </c>
      <c r="M1" s="20" t="s">
        <v>103</v>
      </c>
      <c r="O1" s="89" t="s">
        <v>2168</v>
      </c>
      <c r="P1" t="s">
        <v>2215</v>
      </c>
    </row>
    <row r="2" spans="1:16" ht="16" customHeight="1" x14ac:dyDescent="0.4">
      <c r="A2" s="9"/>
      <c r="H2" t="s">
        <v>251</v>
      </c>
      <c r="J2" s="29"/>
      <c r="M2" s="19" t="s">
        <v>104</v>
      </c>
      <c r="O2" s="25" t="s">
        <v>13</v>
      </c>
      <c r="P2" s="21">
        <v>75</v>
      </c>
    </row>
    <row r="3" spans="1:16" ht="16" customHeight="1" x14ac:dyDescent="0.4">
      <c r="J3" s="29"/>
      <c r="M3" s="19" t="s">
        <v>99</v>
      </c>
      <c r="O3" s="25" t="s">
        <v>176</v>
      </c>
      <c r="P3" s="21">
        <v>4</v>
      </c>
    </row>
    <row r="4" spans="1:16" ht="16" customHeight="1" x14ac:dyDescent="0.4">
      <c r="B4" s="4"/>
      <c r="C4" s="16"/>
      <c r="E4" s="4"/>
      <c r="F4" s="29"/>
      <c r="J4" s="29"/>
      <c r="M4" s="19" t="s">
        <v>105</v>
      </c>
      <c r="O4" s="25" t="s">
        <v>177</v>
      </c>
      <c r="P4" s="21">
        <v>7</v>
      </c>
    </row>
    <row r="5" spans="1:16" ht="16" customHeight="1" x14ac:dyDescent="0.4">
      <c r="E5" s="4"/>
      <c r="F5" s="29"/>
      <c r="J5" s="29"/>
      <c r="M5" s="19" t="s">
        <v>100</v>
      </c>
      <c r="O5" s="25" t="s">
        <v>179</v>
      </c>
      <c r="P5" s="21">
        <v>4</v>
      </c>
    </row>
    <row r="6" spans="1:16" ht="16" customHeight="1" x14ac:dyDescent="0.4">
      <c r="E6" s="4"/>
      <c r="F6" s="29"/>
      <c r="H6" t="s">
        <v>254</v>
      </c>
      <c r="J6" s="30"/>
      <c r="M6" s="19" t="s">
        <v>106</v>
      </c>
      <c r="O6" s="25" t="s">
        <v>2129</v>
      </c>
      <c r="P6" s="21">
        <v>1</v>
      </c>
    </row>
    <row r="7" spans="1:16" ht="16" customHeight="1" x14ac:dyDescent="0.4">
      <c r="E7" s="4"/>
      <c r="F7" s="29"/>
      <c r="I7" s="24" t="s">
        <v>255</v>
      </c>
      <c r="J7" s="24"/>
      <c r="K7" s="7" t="s">
        <v>210</v>
      </c>
      <c r="M7" s="19" t="s">
        <v>107</v>
      </c>
      <c r="O7" s="25" t="s">
        <v>2166</v>
      </c>
      <c r="P7" s="21">
        <v>91</v>
      </c>
    </row>
    <row r="8" spans="1:16" ht="16" customHeight="1" x14ac:dyDescent="0.4">
      <c r="E8" s="4"/>
      <c r="F8" s="43"/>
      <c r="I8" s="24" t="s">
        <v>2212</v>
      </c>
      <c r="J8" s="24"/>
      <c r="K8" s="7" t="s">
        <v>211</v>
      </c>
      <c r="M8" s="19" t="s">
        <v>101</v>
      </c>
    </row>
    <row r="9" spans="1:16" ht="16" customHeight="1" x14ac:dyDescent="0.4">
      <c r="E9" s="4"/>
      <c r="F9" s="30"/>
      <c r="H9" s="3" t="s">
        <v>142</v>
      </c>
      <c r="M9" s="19" t="s">
        <v>108</v>
      </c>
    </row>
    <row r="10" spans="1:16" ht="18.45" x14ac:dyDescent="0.4">
      <c r="A10" s="47"/>
      <c r="B10" s="99" t="s">
        <v>311</v>
      </c>
      <c r="C10" s="99"/>
      <c r="D10" s="99"/>
      <c r="E10" s="48"/>
      <c r="H10" s="3" t="s">
        <v>143</v>
      </c>
      <c r="K10" s="6"/>
      <c r="M10" s="19" t="s">
        <v>109</v>
      </c>
    </row>
    <row r="11" spans="1:16" ht="15.9" x14ac:dyDescent="0.4">
      <c r="A11" s="49"/>
      <c r="B11" s="50" t="s">
        <v>285</v>
      </c>
      <c r="C11" s="50"/>
      <c r="D11" s="50" t="s">
        <v>286</v>
      </c>
      <c r="E11" s="50"/>
      <c r="H11" s="3" t="s">
        <v>249</v>
      </c>
      <c r="K11" s="6"/>
      <c r="M11" s="19" t="s">
        <v>97</v>
      </c>
    </row>
    <row r="12" spans="1:16" ht="20.149999999999999" customHeight="1" x14ac:dyDescent="0.4">
      <c r="B12" s="51" t="s">
        <v>287</v>
      </c>
      <c r="C12" s="51"/>
      <c r="D12" s="60" t="s">
        <v>303</v>
      </c>
      <c r="E12" s="52" t="s">
        <v>304</v>
      </c>
      <c r="K12" s="6"/>
      <c r="M12" s="19" t="s">
        <v>110</v>
      </c>
    </row>
    <row r="13" spans="1:16" ht="20.149999999999999" customHeight="1" x14ac:dyDescent="0.4">
      <c r="B13" s="51" t="s">
        <v>298</v>
      </c>
      <c r="C13" s="51"/>
      <c r="D13" s="53" t="s">
        <v>308</v>
      </c>
      <c r="E13" s="54"/>
      <c r="K13" s="6"/>
      <c r="M13" s="19" t="s">
        <v>111</v>
      </c>
    </row>
    <row r="14" spans="1:16" ht="20.149999999999999" customHeight="1" x14ac:dyDescent="0.4">
      <c r="B14" s="51" t="s">
        <v>292</v>
      </c>
      <c r="C14" s="51"/>
      <c r="D14" s="53" t="s">
        <v>293</v>
      </c>
      <c r="E14" s="54"/>
      <c r="I14" s="25" t="s">
        <v>141</v>
      </c>
      <c r="K14" s="6"/>
      <c r="M14" s="19" t="s">
        <v>112</v>
      </c>
    </row>
    <row r="15" spans="1:16" ht="20.149999999999999" customHeight="1" x14ac:dyDescent="0.4">
      <c r="B15" s="51" t="s">
        <v>288</v>
      </c>
      <c r="C15" s="51"/>
      <c r="D15" s="53" t="s">
        <v>307</v>
      </c>
      <c r="E15" s="54"/>
      <c r="G15" s="21"/>
      <c r="I15" s="25" t="s">
        <v>176</v>
      </c>
      <c r="K15" s="6"/>
      <c r="M15" s="19" t="s">
        <v>113</v>
      </c>
    </row>
    <row r="16" spans="1:16" ht="20.149999999999999" customHeight="1" x14ac:dyDescent="0.4">
      <c r="B16" s="51" t="s">
        <v>289</v>
      </c>
      <c r="C16" s="51"/>
      <c r="D16" s="55" t="s">
        <v>306</v>
      </c>
      <c r="E16" s="56"/>
      <c r="G16" s="21"/>
      <c r="I16" s="25" t="s">
        <v>216</v>
      </c>
      <c r="K16" s="6"/>
      <c r="M16" s="19" t="s">
        <v>114</v>
      </c>
    </row>
    <row r="17" spans="2:13" ht="20.149999999999999" customHeight="1" x14ac:dyDescent="0.4">
      <c r="B17" s="51" t="s">
        <v>290</v>
      </c>
      <c r="C17" s="51"/>
      <c r="D17" s="53" t="s">
        <v>305</v>
      </c>
      <c r="E17" s="54"/>
      <c r="G17" s="21"/>
      <c r="I17" s="25" t="s">
        <v>217</v>
      </c>
      <c r="K17" s="6"/>
      <c r="M17" s="19" t="s">
        <v>115</v>
      </c>
    </row>
    <row r="18" spans="2:13" ht="20.149999999999999" customHeight="1" x14ac:dyDescent="0.4">
      <c r="B18" s="51" t="s">
        <v>291</v>
      </c>
      <c r="C18" s="51"/>
      <c r="D18" s="53" t="s">
        <v>309</v>
      </c>
      <c r="E18" s="54"/>
      <c r="I18" s="25" t="s">
        <v>177</v>
      </c>
      <c r="K18" s="6"/>
      <c r="M18" s="19" t="s">
        <v>116</v>
      </c>
    </row>
    <row r="19" spans="2:13" ht="20.149999999999999" customHeight="1" x14ac:dyDescent="0.4">
      <c r="B19" s="51" t="s">
        <v>294</v>
      </c>
      <c r="C19" s="51"/>
      <c r="D19" s="53" t="s">
        <v>174</v>
      </c>
      <c r="E19" s="54"/>
      <c r="I19" s="25" t="s">
        <v>180</v>
      </c>
      <c r="K19" s="6"/>
      <c r="M19" s="19" t="s">
        <v>117</v>
      </c>
    </row>
    <row r="20" spans="2:13" ht="20.149999999999999" customHeight="1" x14ac:dyDescent="0.4">
      <c r="B20" s="51" t="s">
        <v>295</v>
      </c>
      <c r="C20" s="51"/>
      <c r="D20" s="53" t="s">
        <v>310</v>
      </c>
      <c r="E20" s="54"/>
      <c r="I20" s="25" t="s">
        <v>179</v>
      </c>
      <c r="K20" s="6"/>
      <c r="M20" s="19" t="s">
        <v>118</v>
      </c>
    </row>
    <row r="21" spans="2:13" ht="20.149999999999999" customHeight="1" x14ac:dyDescent="0.4">
      <c r="B21" s="51" t="s">
        <v>296</v>
      </c>
      <c r="C21" s="51"/>
      <c r="D21" s="53" t="s">
        <v>297</v>
      </c>
      <c r="E21" s="54"/>
      <c r="I21" s="25" t="s">
        <v>183</v>
      </c>
      <c r="K21" s="6"/>
      <c r="M21" s="19" t="s">
        <v>119</v>
      </c>
    </row>
    <row r="22" spans="2:13" ht="20.149999999999999" customHeight="1" x14ac:dyDescent="0.4">
      <c r="B22" s="51" t="s">
        <v>299</v>
      </c>
      <c r="C22" s="51"/>
      <c r="D22" s="53" t="s">
        <v>300</v>
      </c>
      <c r="E22" s="54"/>
      <c r="K22" s="6"/>
      <c r="M22" s="19" t="s">
        <v>120</v>
      </c>
    </row>
    <row r="23" spans="2:13" ht="20.149999999999999" customHeight="1" x14ac:dyDescent="0.4">
      <c r="B23" s="51" t="s">
        <v>301</v>
      </c>
      <c r="C23" s="51"/>
      <c r="D23" s="53" t="s">
        <v>302</v>
      </c>
      <c r="E23" s="54"/>
      <c r="M23" s="19" t="s">
        <v>121</v>
      </c>
    </row>
    <row r="24" spans="2:13" ht="20.149999999999999" customHeight="1" x14ac:dyDescent="0.4">
      <c r="B24" s="57"/>
      <c r="C24" s="57"/>
      <c r="D24" s="58"/>
      <c r="E24" s="59"/>
      <c r="M24" s="19" t="s">
        <v>98</v>
      </c>
    </row>
    <row r="25" spans="2:13" ht="20.149999999999999" customHeight="1" x14ac:dyDescent="0.4">
      <c r="B25" s="3"/>
      <c r="C25" s="3"/>
      <c r="D25" s="3"/>
      <c r="E25" s="3"/>
      <c r="M25" s="19" t="s">
        <v>122</v>
      </c>
    </row>
    <row r="26" spans="2:13" ht="20.149999999999999" customHeight="1" x14ac:dyDescent="0.4">
      <c r="C26"/>
      <c r="D26"/>
      <c r="M26" s="19" t="s">
        <v>123</v>
      </c>
    </row>
    <row r="27" spans="2:13" x14ac:dyDescent="0.4">
      <c r="C27"/>
      <c r="D27"/>
      <c r="H27" s="5"/>
      <c r="I27" s="23"/>
      <c r="M27" s="19" t="s">
        <v>124</v>
      </c>
    </row>
    <row r="28" spans="2:13" x14ac:dyDescent="0.4">
      <c r="B28" s="25"/>
      <c r="C28"/>
      <c r="D28" s="25"/>
      <c r="E28" s="25"/>
      <c r="H28" s="5"/>
      <c r="I28" s="23"/>
      <c r="M28" s="19" t="s">
        <v>125</v>
      </c>
    </row>
    <row r="29" spans="2:13" x14ac:dyDescent="0.4">
      <c r="B29" s="25"/>
      <c r="C29"/>
      <c r="D29" s="25"/>
      <c r="E29" s="25"/>
      <c r="G29" s="12"/>
      <c r="H29" s="5"/>
      <c r="I29" s="23"/>
      <c r="M29" s="19" t="s">
        <v>126</v>
      </c>
    </row>
    <row r="30" spans="2:13" x14ac:dyDescent="0.4">
      <c r="B30" s="25"/>
      <c r="C30"/>
      <c r="D30" s="25"/>
      <c r="G30" s="12"/>
      <c r="H30" s="5"/>
      <c r="I30" s="23"/>
      <c r="M30" s="19" t="s">
        <v>127</v>
      </c>
    </row>
    <row r="31" spans="2:13" x14ac:dyDescent="0.4">
      <c r="B31" s="25"/>
      <c r="C31"/>
      <c r="D31" s="25"/>
    </row>
    <row r="32" spans="2:13" ht="16" customHeight="1" x14ac:dyDescent="0.4">
      <c r="B32" s="25"/>
      <c r="C32"/>
      <c r="D32" s="25"/>
    </row>
    <row r="33" spans="2:4" x14ac:dyDescent="0.4">
      <c r="B33" s="25"/>
      <c r="C33"/>
      <c r="D33" s="25"/>
    </row>
    <row r="34" spans="2:4" x14ac:dyDescent="0.4">
      <c r="B34" s="25"/>
      <c r="C34"/>
      <c r="D34" s="25"/>
    </row>
    <row r="35" spans="2:4" x14ac:dyDescent="0.4">
      <c r="B35" s="25"/>
      <c r="C35"/>
      <c r="D35" s="25"/>
    </row>
    <row r="36" spans="2:4" x14ac:dyDescent="0.4">
      <c r="B36" s="25"/>
      <c r="C36" s="43"/>
      <c r="D36" s="25"/>
    </row>
    <row r="37" spans="2:4" x14ac:dyDescent="0.4">
      <c r="B37" s="25"/>
      <c r="C37"/>
      <c r="D37" s="25"/>
    </row>
    <row r="38" spans="2:4" x14ac:dyDescent="0.4">
      <c r="B38" s="25"/>
      <c r="C38"/>
      <c r="D38" s="25"/>
    </row>
    <row r="39" spans="2:4" x14ac:dyDescent="0.4">
      <c r="B39" s="25"/>
      <c r="C39"/>
      <c r="D39" s="25"/>
    </row>
    <row r="40" spans="2:4" x14ac:dyDescent="0.4">
      <c r="B40" s="25"/>
      <c r="C40"/>
      <c r="D40" s="25"/>
    </row>
    <row r="41" spans="2:4" x14ac:dyDescent="0.4">
      <c r="B41" s="25"/>
      <c r="C41"/>
      <c r="D41" s="25"/>
    </row>
    <row r="42" spans="2:4" x14ac:dyDescent="0.4">
      <c r="B42" s="25"/>
      <c r="C42"/>
      <c r="D42" s="25"/>
    </row>
    <row r="43" spans="2:4" x14ac:dyDescent="0.4">
      <c r="B43" s="25"/>
      <c r="C43"/>
      <c r="D43" s="25"/>
    </row>
    <row r="44" spans="2:4" x14ac:dyDescent="0.4">
      <c r="B44" s="25"/>
      <c r="C44"/>
      <c r="D44" s="25"/>
    </row>
    <row r="45" spans="2:4" x14ac:dyDescent="0.4">
      <c r="B45" s="25"/>
      <c r="C45"/>
      <c r="D45" s="25"/>
    </row>
    <row r="46" spans="2:4" x14ac:dyDescent="0.4">
      <c r="B46" s="25"/>
      <c r="C46"/>
      <c r="D46" s="25"/>
    </row>
    <row r="47" spans="2:4" x14ac:dyDescent="0.4">
      <c r="D47" s="25"/>
    </row>
  </sheetData>
  <mergeCells count="1">
    <mergeCell ref="B10:D10"/>
  </mergeCells>
  <conditionalFormatting sqref="D12:E23">
    <cfRule type="expression" dxfId="2" priority="1">
      <formula>SEARCH("eg:",D12)=1</formula>
    </cfRule>
  </conditionalFormatting>
  <dataValidations count="1">
    <dataValidation type="list" allowBlank="1" showInputMessage="1" showErrorMessage="1" sqref="B26 D26:E26">
      <formula1>INDIRECT("AvailableTemplates[Available templates:]")</formula1>
    </dataValidation>
  </dataValidations>
  <hyperlinks>
    <hyperlink ref="K8" r:id="rId2" display="\\ad.nsf.gov\NSF\Users\JSNOEYIN\Automation\scratch\output"/>
  </hyperlinks>
  <pageMargins left="0.25" right="0.25" top="0.75" bottom="0.75" header="0.3" footer="0.3"/>
  <pageSetup scale="8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7"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8"/>
    <tablePart r:id="rId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pageSetUpPr fitToPage="1"/>
  </sheetPr>
  <dimension ref="A1:EB92"/>
  <sheetViews>
    <sheetView tabSelected="1" workbookViewId="0">
      <selection activeCell="Q5" sqref="Q5"/>
    </sheetView>
  </sheetViews>
  <sheetFormatPr defaultRowHeight="14.6" x14ac:dyDescent="0.4"/>
  <cols>
    <col min="1" max="1" width="8.3828125" customWidth="1"/>
    <col min="2" max="2" width="13.84375" style="22" customWidth="1"/>
    <col min="3" max="3" width="11.4609375" style="22" customWidth="1"/>
    <col min="4" max="4" width="8.61328125" customWidth="1"/>
    <col min="5" max="5" width="4.69140625" style="5" customWidth="1"/>
    <col min="6" max="6" width="4.53515625" customWidth="1"/>
    <col min="7" max="7" width="4.69140625" customWidth="1"/>
    <col min="8" max="8" width="4.921875" customWidth="1"/>
    <col min="9" max="9" width="10.53515625" customWidth="1"/>
    <col min="10" max="10" width="9.3046875" bestFit="1" customWidth="1"/>
    <col min="11" max="11" width="13.4609375" style="22" bestFit="1" customWidth="1"/>
    <col min="12" max="12" width="3.3046875" customWidth="1"/>
    <col min="13" max="13" width="5.07421875" style="26" customWidth="1"/>
    <col min="14" max="16" width="4.15234375" customWidth="1"/>
    <col min="17" max="17" width="19.4609375" style="29" customWidth="1"/>
    <col min="18" max="18" width="20.53515625" style="29" customWidth="1"/>
    <col min="19" max="19" width="8.9218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3.23046875" style="26" customWidth="1"/>
    <col min="32" max="32" width="4.4609375" customWidth="1"/>
    <col min="33" max="33" width="3.4609375" customWidth="1"/>
    <col min="34" max="34" width="13.765625" style="30" customWidth="1"/>
    <col min="35" max="35" width="9.23046875" customWidth="1"/>
    <col min="36" max="37" width="12.69140625" style="13" customWidth="1"/>
    <col min="38" max="38" width="4.61328125" style="5" customWidth="1"/>
    <col min="39" max="39" width="9.23046875" customWidth="1"/>
    <col min="40" max="40" width="4.4609375" style="21" customWidth="1"/>
    <col min="41" max="41" width="72" style="21" bestFit="1" customWidth="1"/>
    <col min="42" max="42" width="3.3046875" customWidth="1"/>
    <col min="43" max="43" width="7.765625" customWidth="1"/>
    <col min="44" max="44" width="8.69140625" style="26" bestFit="1" customWidth="1"/>
    <col min="45" max="45" width="9.07421875" customWidth="1"/>
    <col min="46" max="46" width="13.3828125" style="21" customWidth="1"/>
    <col min="47" max="47" width="4.15234375" style="21" customWidth="1"/>
    <col min="48" max="48" width="17.61328125" style="21" customWidth="1"/>
    <col min="49" max="49" width="8.69140625" style="26" customWidth="1"/>
    <col min="50" max="50" width="11.61328125" style="21" customWidth="1"/>
    <col min="51" max="51" width="34.15234375" style="21" customWidth="1"/>
    <col min="52" max="52" width="4.4609375" style="21" customWidth="1"/>
    <col min="53" max="53" width="3.61328125" style="21" customWidth="1"/>
    <col min="54" max="57" width="2.84375" style="21" customWidth="1"/>
    <col min="58" max="58" width="2.84375" customWidth="1"/>
    <col min="59" max="66" width="2.84375" style="21" customWidth="1"/>
    <col min="67" max="67" width="2.84375" style="27" customWidth="1"/>
    <col min="68" max="71" width="2.84375" style="21" customWidth="1"/>
    <col min="72" max="72" width="10.53515625" bestFit="1" customWidth="1"/>
    <col min="73" max="73" width="14.4609375" style="21" customWidth="1"/>
    <col min="74" max="74" width="11.3828125" style="21" customWidth="1"/>
    <col min="75" max="75" width="24.61328125" style="21" bestFit="1" customWidth="1"/>
    <col min="76" max="76" width="12" bestFit="1" customWidth="1"/>
    <col min="77" max="77" width="12" customWidth="1"/>
    <col min="78" max="78" width="18.3828125" customWidth="1"/>
    <col min="79" max="82" width="2.765625" style="21" customWidth="1"/>
    <col min="83" max="85" width="2.765625" customWidth="1"/>
    <col min="86" max="89" width="2.765625" style="21" customWidth="1"/>
    <col min="90" max="92" width="2.765625" customWidth="1"/>
    <col min="93" max="96" width="2.765625" style="21" customWidth="1"/>
    <col min="97" max="99" width="2.765625" customWidth="1"/>
    <col min="100" max="103" width="2.765625" style="21" customWidth="1"/>
    <col min="104" max="106" width="2.765625" customWidth="1"/>
    <col min="107" max="110" width="2.765625" style="21" customWidth="1"/>
    <col min="111" max="113" width="2.765625" customWidth="1"/>
    <col min="114" max="117" width="2.765625" style="21" customWidth="1"/>
    <col min="118" max="120" width="2.765625" customWidth="1"/>
    <col min="121" max="121" width="36.61328125" customWidth="1"/>
    <col min="122" max="122" width="45.765625" customWidth="1"/>
    <col min="123" max="123" width="27.07421875" customWidth="1"/>
    <col min="124" max="124" width="15.23046875" customWidth="1"/>
    <col min="125" max="125" width="30" bestFit="1" customWidth="1"/>
    <col min="126" max="126" width="11.765625" customWidth="1"/>
    <col min="127" max="127" width="27.23046875" bestFit="1" customWidth="1"/>
    <col min="128" max="128" width="5.4609375" bestFit="1" customWidth="1"/>
    <col min="129" max="129" width="35.07421875" customWidth="1"/>
    <col min="130" max="130" width="13.4609375" style="22" bestFit="1" customWidth="1"/>
    <col min="131" max="131" width="29.3046875" hidden="1" customWidth="1"/>
    <col min="132" max="132" width="72" hidden="1" customWidth="1"/>
  </cols>
  <sheetData>
    <row r="1" spans="1:132" ht="41.6" customHeight="1" x14ac:dyDescent="0.4">
      <c r="A1" s="5" t="s">
        <v>87</v>
      </c>
      <c r="B1" s="22" t="s">
        <v>7</v>
      </c>
      <c r="C1" s="22" t="s">
        <v>8</v>
      </c>
      <c r="D1" s="30" t="s">
        <v>5</v>
      </c>
      <c r="E1" t="s">
        <v>4</v>
      </c>
      <c r="F1" t="s">
        <v>166</v>
      </c>
      <c r="G1" s="2" t="s">
        <v>168</v>
      </c>
      <c r="H1" t="s">
        <v>92</v>
      </c>
      <c r="I1" t="s">
        <v>17</v>
      </c>
      <c r="J1" t="s">
        <v>91</v>
      </c>
      <c r="K1" s="22" t="s">
        <v>16</v>
      </c>
      <c r="L1" t="s">
        <v>154</v>
      </c>
      <c r="M1" s="46" t="s">
        <v>182</v>
      </c>
      <c r="N1" t="s">
        <v>600</v>
      </c>
      <c r="O1" s="6" t="s">
        <v>601</v>
      </c>
      <c r="P1" s="6" t="s">
        <v>602</v>
      </c>
      <c r="Q1" s="93" t="s">
        <v>2173</v>
      </c>
      <c r="R1" s="93" t="s">
        <v>2174</v>
      </c>
      <c r="S1" s="93" t="s">
        <v>145</v>
      </c>
      <c r="T1" s="93" t="s">
        <v>2176</v>
      </c>
      <c r="U1" s="93" t="s">
        <v>144</v>
      </c>
      <c r="V1" s="93" t="s">
        <v>2175</v>
      </c>
      <c r="W1" s="94" t="s">
        <v>2178</v>
      </c>
      <c r="X1" s="95" t="s">
        <v>219</v>
      </c>
      <c r="Y1" s="95" t="s">
        <v>2180</v>
      </c>
      <c r="Z1" s="6" t="s">
        <v>146</v>
      </c>
      <c r="AA1" s="6" t="s">
        <v>9</v>
      </c>
      <c r="AB1" t="s">
        <v>140</v>
      </c>
      <c r="AC1" s="14" t="s">
        <v>149</v>
      </c>
      <c r="AD1" s="14" t="s">
        <v>390</v>
      </c>
      <c r="AE1" s="21" t="s">
        <v>603</v>
      </c>
      <c r="AF1" s="92" t="s">
        <v>23</v>
      </c>
      <c r="AG1" s="14" t="s">
        <v>604</v>
      </c>
      <c r="AH1" s="14" t="s">
        <v>389</v>
      </c>
      <c r="AI1" s="96" t="s">
        <v>150</v>
      </c>
      <c r="AJ1" s="97" t="s">
        <v>21</v>
      </c>
      <c r="AK1" s="13" t="s">
        <v>22</v>
      </c>
      <c r="AL1" t="s">
        <v>162</v>
      </c>
      <c r="AM1" s="96" t="s">
        <v>19</v>
      </c>
      <c r="AN1" s="21" t="s">
        <v>20</v>
      </c>
      <c r="AO1" s="21" t="s">
        <v>36</v>
      </c>
      <c r="AP1" s="21" t="s">
        <v>151</v>
      </c>
      <c r="AQ1" s="21" t="s">
        <v>152</v>
      </c>
      <c r="AR1" s="30" t="s">
        <v>153</v>
      </c>
      <c r="AS1" s="21" t="s">
        <v>24</v>
      </c>
      <c r="AT1" s="21" t="s">
        <v>27</v>
      </c>
      <c r="AU1" s="21" t="s">
        <v>25</v>
      </c>
      <c r="AV1" s="21" t="s">
        <v>26</v>
      </c>
      <c r="AW1" s="30" t="s">
        <v>156</v>
      </c>
      <c r="AX1" s="21" t="s">
        <v>157</v>
      </c>
      <c r="AY1" s="21" t="s">
        <v>605</v>
      </c>
      <c r="AZ1" s="98" t="s">
        <v>606</v>
      </c>
      <c r="BA1" s="21" t="s">
        <v>607</v>
      </c>
      <c r="BB1" s="21" t="s">
        <v>28</v>
      </c>
      <c r="BC1" s="21" t="s">
        <v>31</v>
      </c>
      <c r="BD1" s="21" t="s">
        <v>29</v>
      </c>
      <c r="BE1" s="21" t="s">
        <v>30</v>
      </c>
      <c r="BF1" s="27" t="s">
        <v>158</v>
      </c>
      <c r="BG1" s="21" t="s">
        <v>159</v>
      </c>
      <c r="BH1" s="21" t="s">
        <v>608</v>
      </c>
      <c r="BI1" s="21" t="s">
        <v>609</v>
      </c>
      <c r="BJ1" s="21" t="s">
        <v>610</v>
      </c>
      <c r="BK1" s="21" t="s">
        <v>32</v>
      </c>
      <c r="BL1" s="21" t="s">
        <v>35</v>
      </c>
      <c r="BM1" s="21" t="s">
        <v>33</v>
      </c>
      <c r="BN1" s="21" t="s">
        <v>34</v>
      </c>
      <c r="BO1" s="30" t="s">
        <v>160</v>
      </c>
      <c r="BP1" s="21" t="s">
        <v>161</v>
      </c>
      <c r="BQ1" s="21" t="s">
        <v>611</v>
      </c>
      <c r="BR1" s="21" t="s">
        <v>612</v>
      </c>
      <c r="BS1" s="21" t="s">
        <v>613</v>
      </c>
      <c r="BT1" t="s">
        <v>37</v>
      </c>
      <c r="BU1" s="21" t="s">
        <v>38</v>
      </c>
      <c r="BV1" s="21" t="s">
        <v>39</v>
      </c>
      <c r="BW1" s="21" t="s">
        <v>40</v>
      </c>
      <c r="BX1" s="13" t="s">
        <v>41</v>
      </c>
      <c r="BY1" s="13" t="s">
        <v>42</v>
      </c>
      <c r="BZ1" t="s">
        <v>43</v>
      </c>
      <c r="CA1" s="21" t="s">
        <v>44</v>
      </c>
      <c r="CB1" s="21" t="s">
        <v>45</v>
      </c>
      <c r="CC1" s="98" t="s">
        <v>46</v>
      </c>
      <c r="CD1" s="98" t="s">
        <v>47</v>
      </c>
      <c r="CE1" s="13" t="s">
        <v>48</v>
      </c>
      <c r="CF1" s="13" t="s">
        <v>49</v>
      </c>
      <c r="CG1" t="s">
        <v>50</v>
      </c>
      <c r="CH1" s="21" t="s">
        <v>51</v>
      </c>
      <c r="CI1" s="21" t="s">
        <v>52</v>
      </c>
      <c r="CJ1" s="98" t="s">
        <v>53</v>
      </c>
      <c r="CK1" s="98" t="s">
        <v>54</v>
      </c>
      <c r="CL1" s="13" t="s">
        <v>55</v>
      </c>
      <c r="CM1" s="13" t="s">
        <v>56</v>
      </c>
      <c r="CN1" t="s">
        <v>57</v>
      </c>
      <c r="CO1" s="21" t="s">
        <v>58</v>
      </c>
      <c r="CP1" s="21" t="s">
        <v>59</v>
      </c>
      <c r="CQ1" s="98" t="s">
        <v>60</v>
      </c>
      <c r="CR1" s="98" t="s">
        <v>61</v>
      </c>
      <c r="CS1" s="13" t="s">
        <v>62</v>
      </c>
      <c r="CT1" s="13" t="s">
        <v>63</v>
      </c>
      <c r="CU1" t="s">
        <v>64</v>
      </c>
      <c r="CV1" s="21" t="s">
        <v>65</v>
      </c>
      <c r="CW1" s="21" t="s">
        <v>66</v>
      </c>
      <c r="CX1" s="98" t="s">
        <v>67</v>
      </c>
      <c r="CY1" s="98" t="s">
        <v>68</v>
      </c>
      <c r="CZ1" s="13" t="s">
        <v>69</v>
      </c>
      <c r="DA1" s="13" t="s">
        <v>70</v>
      </c>
      <c r="DB1" t="s">
        <v>71</v>
      </c>
      <c r="DC1" s="21" t="s">
        <v>72</v>
      </c>
      <c r="DD1" s="21" t="s">
        <v>73</v>
      </c>
      <c r="DE1" s="98" t="s">
        <v>74</v>
      </c>
      <c r="DF1" s="98" t="s">
        <v>75</v>
      </c>
      <c r="DG1" s="13" t="s">
        <v>76</v>
      </c>
      <c r="DH1" s="13" t="s">
        <v>77</v>
      </c>
      <c r="DI1" t="s">
        <v>78</v>
      </c>
      <c r="DJ1" s="21" t="s">
        <v>79</v>
      </c>
      <c r="DK1" s="21" t="s">
        <v>80</v>
      </c>
      <c r="DL1" s="98" t="s">
        <v>81</v>
      </c>
      <c r="DM1" s="98" t="s">
        <v>82</v>
      </c>
      <c r="DN1" s="13" t="s">
        <v>83</v>
      </c>
      <c r="DO1" s="13" t="s">
        <v>84</v>
      </c>
      <c r="DP1" t="s">
        <v>85</v>
      </c>
      <c r="DQ1" t="s">
        <v>3</v>
      </c>
      <c r="DR1" t="s">
        <v>614</v>
      </c>
      <c r="DS1" t="s">
        <v>165</v>
      </c>
      <c r="DT1" t="s">
        <v>181</v>
      </c>
      <c r="DU1" t="s">
        <v>169</v>
      </c>
      <c r="DV1" t="s">
        <v>615</v>
      </c>
      <c r="DW1" t="s">
        <v>167</v>
      </c>
      <c r="DX1" t="s">
        <v>163</v>
      </c>
      <c r="DY1" t="s">
        <v>164</v>
      </c>
      <c r="DZ1" s="22" t="s">
        <v>147</v>
      </c>
      <c r="EA1" t="s">
        <v>148</v>
      </c>
      <c r="EB1" t="s">
        <v>86</v>
      </c>
    </row>
    <row r="2" spans="1:132" hidden="1" x14ac:dyDescent="0.4">
      <c r="A2" s="30">
        <v>36526</v>
      </c>
      <c r="B2" s="22">
        <v>36526</v>
      </c>
      <c r="C2" s="22" t="s">
        <v>2121</v>
      </c>
      <c r="D2" s="30" t="s">
        <v>2122</v>
      </c>
      <c r="E2" s="30" t="s">
        <v>2123</v>
      </c>
      <c r="F2" s="30" t="s">
        <v>2124</v>
      </c>
      <c r="G2" s="30" t="s">
        <v>2125</v>
      </c>
      <c r="H2" t="s">
        <v>2126</v>
      </c>
      <c r="I2" t="s">
        <v>2127</v>
      </c>
      <c r="J2" t="s">
        <v>2128</v>
      </c>
      <c r="K2" s="22">
        <v>36526</v>
      </c>
      <c r="L2">
        <v>0</v>
      </c>
      <c r="M2" s="26">
        <v>-0.99999998999999995</v>
      </c>
      <c r="N2" t="s">
        <v>684</v>
      </c>
      <c r="O2" t="s">
        <v>684</v>
      </c>
      <c r="P2" t="s">
        <v>684</v>
      </c>
      <c r="Q2" s="29" t="s">
        <v>2129</v>
      </c>
      <c r="R2" s="29" t="str">
        <f>IFERROR(MID(RADataTable[[#This Row],[RAtemplate]],1,LEN(RADataTable[[#This Row],[RAtemplate]])-8),"RA") &amp; " " &amp; RADataTable[[#This Row],[prop_id0]] &amp; " " &amp; RADataTable[[#This Row],[last0]]</f>
        <v>templateFilename_ 1234567 PI last name for format.</v>
      </c>
      <c r="U2" s="21" t="str">
        <f>IF(signer1="PD",IF(ISBLANK(RADataTable[[#This Row],[sign_blck_name]]),"",RADataTable[[#This Row],[sign_blck_name]]),IF(ISBLANK(signer1),"",signer1))</f>
        <v>Name for PO signature</v>
      </c>
      <c r="V2" s="29" t="str">
        <f t="shared" ref="V2:V33" si="0">signer2</f>
        <v>Cognisant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2130</v>
      </c>
      <c r="AA2" t="s">
        <v>685</v>
      </c>
      <c r="AB2">
        <v>0</v>
      </c>
      <c r="AC2">
        <v>0</v>
      </c>
      <c r="AD2">
        <v>0</v>
      </c>
      <c r="AE2" s="21">
        <v>1</v>
      </c>
      <c r="AF2" s="26">
        <v>4.5</v>
      </c>
      <c r="AG2">
        <v>9</v>
      </c>
      <c r="AH2" t="s">
        <v>686</v>
      </c>
      <c r="AI2" s="30">
        <v>36526</v>
      </c>
      <c r="AJ2" s="13">
        <v>99999999</v>
      </c>
      <c r="AK2" s="13">
        <v>99999999</v>
      </c>
      <c r="AL2">
        <v>0</v>
      </c>
      <c r="AM2" s="30">
        <v>36526</v>
      </c>
      <c r="AN2" s="21">
        <v>36</v>
      </c>
      <c r="AO2" s="21" t="s">
        <v>687</v>
      </c>
      <c r="AP2">
        <v>0</v>
      </c>
      <c r="AQ2" t="s">
        <v>218</v>
      </c>
      <c r="AR2" s="30">
        <v>36526</v>
      </c>
      <c r="AS2" t="s">
        <v>688</v>
      </c>
      <c r="AT2" s="21" t="s">
        <v>689</v>
      </c>
      <c r="AU2" s="21">
        <v>99</v>
      </c>
      <c r="AV2" s="21" t="s">
        <v>690</v>
      </c>
      <c r="AW2" s="30">
        <v>36526</v>
      </c>
      <c r="AX2" s="21" t="s">
        <v>686</v>
      </c>
      <c r="AY2" s="21" t="s">
        <v>691</v>
      </c>
      <c r="AZ2" s="21">
        <v>0</v>
      </c>
      <c r="BA2" s="21">
        <v>0</v>
      </c>
      <c r="BB2" s="21" t="s">
        <v>688</v>
      </c>
      <c r="BC2" s="21" t="s">
        <v>689</v>
      </c>
      <c r="BD2" s="21">
        <v>99</v>
      </c>
      <c r="BE2" s="21" t="s">
        <v>690</v>
      </c>
      <c r="BF2" s="30">
        <v>36526</v>
      </c>
      <c r="BG2" s="21" t="s">
        <v>686</v>
      </c>
      <c r="BH2" s="21" t="s">
        <v>691</v>
      </c>
      <c r="BI2" s="21">
        <v>0</v>
      </c>
      <c r="BJ2" s="21">
        <v>0</v>
      </c>
      <c r="BK2" s="21" t="s">
        <v>688</v>
      </c>
      <c r="BL2" s="21" t="s">
        <v>689</v>
      </c>
      <c r="BM2" s="21">
        <v>99</v>
      </c>
      <c r="BN2" s="21" t="s">
        <v>690</v>
      </c>
      <c r="BO2" s="30">
        <v>36526</v>
      </c>
      <c r="BP2" s="21" t="s">
        <v>686</v>
      </c>
      <c r="BQ2" s="21" t="s">
        <v>691</v>
      </c>
      <c r="BR2" s="21">
        <v>0</v>
      </c>
      <c r="BS2" s="21">
        <v>0</v>
      </c>
      <c r="BT2" t="s">
        <v>685</v>
      </c>
      <c r="BU2" s="21" t="s">
        <v>692</v>
      </c>
      <c r="BV2" s="21" t="s">
        <v>693</v>
      </c>
      <c r="BW2" s="21" t="s">
        <v>694</v>
      </c>
      <c r="BX2" s="31">
        <v>99999999</v>
      </c>
      <c r="BY2" s="31">
        <v>99999999</v>
      </c>
      <c r="BZ2" t="s">
        <v>695</v>
      </c>
      <c r="CA2" s="21" t="s">
        <v>685</v>
      </c>
      <c r="CB2" s="21" t="s">
        <v>692</v>
      </c>
      <c r="CC2" s="21" t="s">
        <v>693</v>
      </c>
      <c r="CD2" s="21" t="s">
        <v>694</v>
      </c>
      <c r="CE2" s="31">
        <v>99999999</v>
      </c>
      <c r="CF2" s="31">
        <v>99999999</v>
      </c>
      <c r="CG2" t="s">
        <v>695</v>
      </c>
      <c r="CH2" s="21" t="s">
        <v>685</v>
      </c>
      <c r="CI2" s="21" t="s">
        <v>692</v>
      </c>
      <c r="CJ2" s="21" t="s">
        <v>693</v>
      </c>
      <c r="CK2" s="21" t="s">
        <v>694</v>
      </c>
      <c r="CL2" s="31">
        <v>99999999</v>
      </c>
      <c r="CM2" s="31">
        <v>99999999</v>
      </c>
      <c r="CN2" t="s">
        <v>695</v>
      </c>
      <c r="CO2" s="21" t="s">
        <v>685</v>
      </c>
      <c r="CP2" s="21" t="s">
        <v>692</v>
      </c>
      <c r="CQ2" s="21" t="s">
        <v>693</v>
      </c>
      <c r="CR2" s="21" t="s">
        <v>694</v>
      </c>
      <c r="CS2" s="31">
        <v>99999999</v>
      </c>
      <c r="CT2" s="31">
        <v>99999999</v>
      </c>
      <c r="CU2" t="s">
        <v>695</v>
      </c>
      <c r="CV2" s="21" t="s">
        <v>685</v>
      </c>
      <c r="CW2" s="21" t="s">
        <v>692</v>
      </c>
      <c r="CX2" s="21" t="s">
        <v>693</v>
      </c>
      <c r="CY2" s="21" t="s">
        <v>694</v>
      </c>
      <c r="CZ2" s="31">
        <v>99999999</v>
      </c>
      <c r="DA2" s="31">
        <v>99999999</v>
      </c>
      <c r="DB2" t="s">
        <v>695</v>
      </c>
      <c r="DC2" s="21" t="s">
        <v>685</v>
      </c>
      <c r="DD2" s="21" t="s">
        <v>692</v>
      </c>
      <c r="DE2" s="21" t="s">
        <v>693</v>
      </c>
      <c r="DF2" s="21" t="s">
        <v>694</v>
      </c>
      <c r="DG2" s="31">
        <v>99999999</v>
      </c>
      <c r="DH2" s="31">
        <v>99999999</v>
      </c>
      <c r="DI2" t="s">
        <v>695</v>
      </c>
      <c r="DJ2" s="21" t="s">
        <v>685</v>
      </c>
      <c r="DK2" s="21" t="s">
        <v>692</v>
      </c>
      <c r="DL2" s="21" t="s">
        <v>693</v>
      </c>
      <c r="DM2" s="21" t="s">
        <v>694</v>
      </c>
      <c r="DN2" s="31">
        <v>99999999</v>
      </c>
      <c r="DO2" s="31">
        <v>99999999</v>
      </c>
      <c r="DP2" t="s">
        <v>695</v>
      </c>
      <c r="DQ2" t="s">
        <v>696</v>
      </c>
      <c r="DR2" t="s">
        <v>697</v>
      </c>
      <c r="DS2" t="s">
        <v>698</v>
      </c>
      <c r="DT2" s="29" t="s">
        <v>2131</v>
      </c>
      <c r="DU2" t="s">
        <v>699</v>
      </c>
      <c r="DV2" t="s">
        <v>700</v>
      </c>
      <c r="DW2" t="s">
        <v>701</v>
      </c>
      <c r="DX2" t="s">
        <v>702</v>
      </c>
      <c r="DY2" t="s">
        <v>703</v>
      </c>
      <c r="DZ2" s="22">
        <v>36526</v>
      </c>
      <c r="EA2" t="s">
        <v>704</v>
      </c>
      <c r="EB2" t="s">
        <v>705</v>
      </c>
    </row>
    <row r="3" spans="1:132" x14ac:dyDescent="0.4">
      <c r="A3" s="30">
        <v>42724.488344907404</v>
      </c>
      <c r="B3" s="22">
        <v>42571.592361111114</v>
      </c>
      <c r="C3" s="22" t="s">
        <v>975</v>
      </c>
      <c r="D3" s="30" t="s">
        <v>222</v>
      </c>
      <c r="E3" s="30" t="s">
        <v>405</v>
      </c>
      <c r="F3" s="30" t="s">
        <v>172</v>
      </c>
      <c r="G3" s="30" t="s">
        <v>992</v>
      </c>
      <c r="H3" t="s">
        <v>94</v>
      </c>
      <c r="I3" t="s">
        <v>974</v>
      </c>
      <c r="J3" t="s">
        <v>422</v>
      </c>
      <c r="K3" s="22">
        <v>42723.459907407407</v>
      </c>
      <c r="L3">
        <v>1</v>
      </c>
      <c r="M3" s="26">
        <v>1.01</v>
      </c>
      <c r="N3" t="s">
        <v>257</v>
      </c>
      <c r="Q3" s="29" t="s">
        <v>13</v>
      </c>
      <c r="R3" s="29" t="str">
        <f>IFERROR(MID(RADataTable[[#This Row],[RAtemplate]],1,LEN(RADataTable[[#This Row],[RAtemplate]])-8),"RA") &amp; " " &amp; RADataTable[[#This Row],[prop_id0]] &amp; " " &amp; RADataTable[[#This Row],[last0]]</f>
        <v>RA 1652303 Saha</v>
      </c>
      <c r="U3" s="21" t="str">
        <f>IF(signer1="PD",IF(ISBLANK(RADataTable[[#This Row],[sign_blck_name]]),"",RADataTable[[#This Row],[sign_blck_name]]),IF(ISBLANK(signer1),"",signer1))</f>
        <v>Rahul Shah</v>
      </c>
      <c r="V3" s="29" t="str">
        <f t="shared" si="0"/>
        <v>Cognisant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barna@cs.umass.edu</v>
      </c>
      <c r="Y3" s="15" t="str">
        <f>HYPERLINK("mailto:"&amp;RADataTable[[#This Row],[allPIemail]]&amp;"&amp;subject=NSF Proposal:  "&amp;RADataTable[[#This Row],[Div]]&amp;" "&amp;RADataTable[[#This Row],[prop_id0]], "PIs@")</f>
        <v>PIs@</v>
      </c>
      <c r="Z3" t="s">
        <v>224</v>
      </c>
      <c r="AA3" t="s">
        <v>1072</v>
      </c>
      <c r="AB3">
        <v>4</v>
      </c>
      <c r="AD3"/>
      <c r="AE3" s="21">
        <v>7</v>
      </c>
      <c r="AF3" s="26">
        <v>7.75</v>
      </c>
      <c r="AG3">
        <v>8</v>
      </c>
      <c r="AH3" t="s">
        <v>1077</v>
      </c>
      <c r="AI3" s="30">
        <v>42659.771527777775</v>
      </c>
      <c r="AJ3" s="13">
        <v>597084</v>
      </c>
      <c r="AK3" s="13">
        <v>549986</v>
      </c>
      <c r="AL3">
        <v>1</v>
      </c>
      <c r="AM3" s="30">
        <v>42917</v>
      </c>
      <c r="AN3" s="21">
        <v>60</v>
      </c>
      <c r="AO3" s="21" t="s">
        <v>1078</v>
      </c>
      <c r="AP3">
        <v>1</v>
      </c>
      <c r="AQ3" t="s">
        <v>2013</v>
      </c>
      <c r="AR3" s="30">
        <v>42656.044444444444</v>
      </c>
      <c r="AS3" t="s">
        <v>1425</v>
      </c>
      <c r="AT3" s="21" t="s">
        <v>259</v>
      </c>
      <c r="AU3" s="21">
        <v>1</v>
      </c>
      <c r="AV3" s="21" t="s">
        <v>2008</v>
      </c>
      <c r="AW3" s="30">
        <v>42661</v>
      </c>
      <c r="AX3" s="21" t="s">
        <v>2016</v>
      </c>
      <c r="AY3" s="21" t="s">
        <v>2010</v>
      </c>
      <c r="AZ3" s="21">
        <v>12</v>
      </c>
      <c r="BA3" s="21">
        <v>2</v>
      </c>
      <c r="BF3" s="30"/>
      <c r="BI3" s="21">
        <v>12</v>
      </c>
      <c r="BJ3" s="21">
        <v>2</v>
      </c>
      <c r="BO3" s="30"/>
      <c r="BR3" s="21">
        <v>12</v>
      </c>
      <c r="BS3" s="21">
        <v>2</v>
      </c>
      <c r="BT3" t="s">
        <v>1072</v>
      </c>
      <c r="BU3" s="21" t="s">
        <v>1073</v>
      </c>
      <c r="BV3" s="21" t="s">
        <v>1074</v>
      </c>
      <c r="BW3" s="21" t="s">
        <v>1075</v>
      </c>
      <c r="BX3" s="31">
        <v>597084</v>
      </c>
      <c r="BY3" s="31">
        <v>549986</v>
      </c>
      <c r="BZ3" t="s">
        <v>411</v>
      </c>
      <c r="CE3" s="31"/>
      <c r="CF3" s="31"/>
      <c r="CL3" s="31"/>
      <c r="CM3" s="31"/>
      <c r="CS3" s="31"/>
      <c r="CT3" s="31"/>
      <c r="CZ3" s="31"/>
      <c r="DA3" s="31"/>
      <c r="DG3" s="31"/>
      <c r="DH3" s="31"/>
      <c r="DN3" s="31"/>
      <c r="DO3" s="31"/>
      <c r="DQ3" t="s">
        <v>260</v>
      </c>
      <c r="DR3" t="s">
        <v>225</v>
      </c>
      <c r="DS3" t="s">
        <v>621</v>
      </c>
      <c r="DT3" s="29" t="s">
        <v>627</v>
      </c>
      <c r="DU3" t="s">
        <v>991</v>
      </c>
      <c r="DV3" t="s">
        <v>622</v>
      </c>
      <c r="DW3" t="s">
        <v>173</v>
      </c>
      <c r="DX3" t="s">
        <v>170</v>
      </c>
      <c r="DY3" t="s">
        <v>171</v>
      </c>
      <c r="DZ3" s="22">
        <v>43073.921863425923</v>
      </c>
      <c r="EA3" t="s">
        <v>1076</v>
      </c>
      <c r="EB3" t="s">
        <v>2040</v>
      </c>
    </row>
    <row r="4" spans="1:132" x14ac:dyDescent="0.4">
      <c r="A4" s="30">
        <v>42933.413645833331</v>
      </c>
      <c r="B4" s="22">
        <v>42809.683333333334</v>
      </c>
      <c r="C4" s="22" t="s">
        <v>1136</v>
      </c>
      <c r="D4" s="30" t="s">
        <v>222</v>
      </c>
      <c r="E4" s="30" t="s">
        <v>1137</v>
      </c>
      <c r="F4" s="30" t="s">
        <v>172</v>
      </c>
      <c r="G4" s="30" t="s">
        <v>992</v>
      </c>
      <c r="H4" t="s">
        <v>94</v>
      </c>
      <c r="I4" t="s">
        <v>1135</v>
      </c>
      <c r="J4" t="s">
        <v>451</v>
      </c>
      <c r="K4" s="22">
        <v>42929.446134259262</v>
      </c>
      <c r="L4">
        <v>1</v>
      </c>
      <c r="M4" s="26">
        <v>1.01</v>
      </c>
      <c r="N4" t="s">
        <v>1947</v>
      </c>
      <c r="Q4" s="29" t="s">
        <v>13</v>
      </c>
      <c r="R4" s="29" t="str">
        <f>IFERROR(MID(RADataTable[[#This Row],[RAtemplate]],1,LEN(RADataTable[[#This Row],[RAtemplate]])-8),"RA") &amp; " " &amp; RADataTable[[#This Row],[prop_id0]] &amp; " " &amp; RADataTable[[#This Row],[last0]]</f>
        <v>RA 1740822 Weinberger</v>
      </c>
      <c r="U4" s="21" t="str">
        <f>IF(signer1="PD",IF(ISBLANK(RADataTable[[#This Row],[sign_blck_name]]),"",RADataTable[[#This Row],[sign_blck_name]]),IF(ISBLANK(signer1),"",signer1))</f>
        <v>Tracy J. Kimbrel</v>
      </c>
      <c r="V4" s="29" t="str">
        <f t="shared" si="0"/>
        <v>Cognisant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kilianweinberger@cornell.edu</v>
      </c>
      <c r="Y4" s="15" t="str">
        <f>HYPERLINK("mailto:"&amp;RADataTable[[#This Row],[allPIemail]]&amp;"&amp;subject=NSF Proposal:  "&amp;RADataTable[[#This Row],[Div]]&amp;" "&amp;RADataTable[[#This Row],[prop_id0]], "PIs@")</f>
        <v>PIs@</v>
      </c>
      <c r="Z4" t="s">
        <v>224</v>
      </c>
      <c r="AA4" t="s">
        <v>1343</v>
      </c>
      <c r="AB4">
        <v>3</v>
      </c>
      <c r="AD4"/>
      <c r="AE4" s="21">
        <v>8</v>
      </c>
      <c r="AF4" s="26">
        <v>8.6666666666666661</v>
      </c>
      <c r="AG4">
        <v>9</v>
      </c>
      <c r="AH4" t="s">
        <v>1348</v>
      </c>
      <c r="AI4" s="30">
        <v>42870.640972222223</v>
      </c>
      <c r="AJ4" s="13">
        <v>1497238</v>
      </c>
      <c r="AK4" s="13">
        <v>1496655</v>
      </c>
      <c r="AL4">
        <v>1</v>
      </c>
      <c r="AM4" s="30">
        <v>43009</v>
      </c>
      <c r="AN4" s="21">
        <v>36</v>
      </c>
      <c r="AO4" s="21" t="s">
        <v>1349</v>
      </c>
      <c r="AR4" s="30"/>
      <c r="AS4" t="s">
        <v>1789</v>
      </c>
      <c r="AT4" s="21" t="s">
        <v>1946</v>
      </c>
      <c r="AU4" s="21">
        <v>1</v>
      </c>
      <c r="AV4" s="21" t="s">
        <v>2067</v>
      </c>
      <c r="AW4" s="30">
        <v>42872</v>
      </c>
      <c r="AX4" s="21" t="s">
        <v>2106</v>
      </c>
      <c r="AY4" s="21" t="s">
        <v>2068</v>
      </c>
      <c r="AZ4" s="21">
        <v>12</v>
      </c>
      <c r="BA4" s="21">
        <v>1</v>
      </c>
      <c r="BF4" s="30"/>
      <c r="BI4" s="21">
        <v>12</v>
      </c>
      <c r="BJ4" s="21">
        <v>1</v>
      </c>
      <c r="BO4" s="30"/>
      <c r="BR4" s="21">
        <v>12</v>
      </c>
      <c r="BS4" s="21">
        <v>1</v>
      </c>
      <c r="BT4" t="s">
        <v>1343</v>
      </c>
      <c r="BU4" s="21" t="s">
        <v>1344</v>
      </c>
      <c r="BV4" s="21" t="s">
        <v>1345</v>
      </c>
      <c r="BW4" s="21" t="s">
        <v>1346</v>
      </c>
      <c r="BX4" s="31">
        <v>1497238</v>
      </c>
      <c r="BY4" s="31">
        <v>1496655</v>
      </c>
      <c r="BZ4" t="s">
        <v>1142</v>
      </c>
      <c r="CE4" s="31"/>
      <c r="CF4" s="31"/>
      <c r="CL4" s="31"/>
      <c r="CM4" s="31"/>
      <c r="CS4" s="31"/>
      <c r="CT4" s="31"/>
      <c r="CZ4" s="31"/>
      <c r="DA4" s="31"/>
      <c r="DG4" s="31"/>
      <c r="DH4" s="31"/>
      <c r="DN4" s="31"/>
      <c r="DO4" s="31"/>
      <c r="DQ4" t="s">
        <v>2069</v>
      </c>
      <c r="DR4" t="s">
        <v>225</v>
      </c>
      <c r="DS4" t="s">
        <v>2070</v>
      </c>
      <c r="DT4" s="29" t="s">
        <v>638</v>
      </c>
      <c r="DU4" t="s">
        <v>991</v>
      </c>
      <c r="DV4" t="s">
        <v>622</v>
      </c>
      <c r="DW4" t="s">
        <v>173</v>
      </c>
      <c r="DX4" t="s">
        <v>170</v>
      </c>
      <c r="DY4" t="s">
        <v>171</v>
      </c>
      <c r="DZ4" s="22">
        <v>43073.921863425923</v>
      </c>
      <c r="EA4" t="s">
        <v>1347</v>
      </c>
      <c r="EB4" t="s">
        <v>2107</v>
      </c>
    </row>
    <row r="5" spans="1:132" x14ac:dyDescent="0.4">
      <c r="A5" s="30"/>
      <c r="B5" s="22">
        <v>42933.820138888892</v>
      </c>
      <c r="C5" s="22" t="s">
        <v>256</v>
      </c>
      <c r="D5" s="30" t="s">
        <v>222</v>
      </c>
      <c r="E5" s="30" t="s">
        <v>405</v>
      </c>
      <c r="F5" s="30" t="s">
        <v>172</v>
      </c>
      <c r="G5" s="30" t="s">
        <v>174</v>
      </c>
      <c r="H5" t="s">
        <v>94</v>
      </c>
      <c r="I5" t="s">
        <v>404</v>
      </c>
      <c r="J5" t="s">
        <v>406</v>
      </c>
      <c r="L5">
        <v>1</v>
      </c>
      <c r="M5" s="26">
        <v>1.01</v>
      </c>
      <c r="N5" t="s">
        <v>257</v>
      </c>
      <c r="Q5" s="29" t="s">
        <v>176</v>
      </c>
      <c r="R5" s="29" t="str">
        <f>IFERROR(MID(RADataTable[[#This Row],[RAtemplate]],1,LEN(RADataTable[[#This Row],[RAtemplate]])-8),"RA") &amp; " " &amp; RADataTable[[#This Row],[prop_id0]] &amp; " " &amp; RADataTable[[#This Row],[last0]]</f>
        <v>Awd  1749609 Lee</v>
      </c>
      <c r="U5" s="21" t="str">
        <f>IF(signer1="PD",IF(ISBLANK(RADataTable[[#This Row],[sign_blck_name]]),"",RADataTable[[#This Row],[sign_blck_name]]),IF(ISBLANK(signer1),"",signer1))</f>
        <v>Jack Snoeyink</v>
      </c>
      <c r="V5" s="29" t="str">
        <f t="shared" si="0"/>
        <v>Cognisant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yintat@uw.edu</v>
      </c>
      <c r="Y5" s="15" t="str">
        <f>HYPERLINK("mailto:"&amp;RADataTable[[#This Row],[allPIemail]]&amp;"&amp;subject=NSF Proposal:  "&amp;RADataTable[[#This Row],[Div]]&amp;" "&amp;RADataTable[[#This Row],[prop_id0]], "PIs@")</f>
        <v>PIs@</v>
      </c>
      <c r="Z5" t="s">
        <v>224</v>
      </c>
      <c r="AA5" t="s">
        <v>358</v>
      </c>
      <c r="AB5">
        <v>4</v>
      </c>
      <c r="AC5">
        <v>4</v>
      </c>
      <c r="AD5"/>
      <c r="AE5" s="21">
        <v>6</v>
      </c>
      <c r="AF5" s="26">
        <v>8</v>
      </c>
      <c r="AG5">
        <v>9</v>
      </c>
      <c r="AH5" t="s">
        <v>437</v>
      </c>
      <c r="AI5" s="30">
        <v>43031.375694444447</v>
      </c>
      <c r="AJ5" s="13">
        <v>549841</v>
      </c>
      <c r="AK5" s="13">
        <v>549841</v>
      </c>
      <c r="AL5">
        <v>0</v>
      </c>
      <c r="AM5" s="30">
        <v>43175</v>
      </c>
      <c r="AN5" s="21">
        <v>60</v>
      </c>
      <c r="AO5" s="21" t="s">
        <v>438</v>
      </c>
      <c r="AR5" s="30"/>
      <c r="AS5" t="s">
        <v>616</v>
      </c>
      <c r="AT5" s="21" t="s">
        <v>259</v>
      </c>
      <c r="AU5" s="21">
        <v>1</v>
      </c>
      <c r="AV5" s="21" t="s">
        <v>618</v>
      </c>
      <c r="AW5" s="30">
        <v>43032</v>
      </c>
      <c r="AX5" s="21" t="s">
        <v>631</v>
      </c>
      <c r="AY5" s="21" t="s">
        <v>620</v>
      </c>
      <c r="AZ5" s="21">
        <v>14</v>
      </c>
      <c r="BA5" s="21">
        <v>3</v>
      </c>
      <c r="BF5" s="30"/>
      <c r="BI5" s="21">
        <v>14</v>
      </c>
      <c r="BJ5" s="21">
        <v>3</v>
      </c>
      <c r="BO5" s="30"/>
      <c r="BR5" s="21">
        <v>14</v>
      </c>
      <c r="BS5" s="21">
        <v>3</v>
      </c>
      <c r="BT5" t="s">
        <v>358</v>
      </c>
      <c r="BU5" s="21" t="s">
        <v>434</v>
      </c>
      <c r="BV5" s="21" t="s">
        <v>435</v>
      </c>
      <c r="BW5" s="21" t="s">
        <v>258</v>
      </c>
      <c r="BX5" s="31">
        <v>549841</v>
      </c>
      <c r="BY5" s="31">
        <v>549841</v>
      </c>
      <c r="BZ5" t="s">
        <v>411</v>
      </c>
      <c r="CE5" s="31"/>
      <c r="CF5" s="31"/>
      <c r="CL5" s="31"/>
      <c r="CM5" s="31"/>
      <c r="CS5" s="31"/>
      <c r="CT5" s="31"/>
      <c r="CZ5" s="31"/>
      <c r="DA5" s="31"/>
      <c r="DG5" s="31"/>
      <c r="DH5" s="31"/>
      <c r="DN5" s="31"/>
      <c r="DO5" s="31"/>
      <c r="DQ5" t="s">
        <v>260</v>
      </c>
      <c r="DR5" t="s">
        <v>225</v>
      </c>
      <c r="DS5" t="s">
        <v>621</v>
      </c>
      <c r="DT5" s="29" t="s">
        <v>214</v>
      </c>
      <c r="DU5" t="s">
        <v>175</v>
      </c>
      <c r="DV5" t="s">
        <v>622</v>
      </c>
      <c r="DW5" t="s">
        <v>173</v>
      </c>
      <c r="DX5" t="s">
        <v>170</v>
      </c>
      <c r="DY5" t="s">
        <v>171</v>
      </c>
      <c r="DZ5" s="22">
        <v>43073.921863425923</v>
      </c>
      <c r="EA5" t="s">
        <v>436</v>
      </c>
      <c r="EB5" t="s">
        <v>632</v>
      </c>
    </row>
    <row r="6" spans="1:132" x14ac:dyDescent="0.4">
      <c r="A6" s="30"/>
      <c r="B6" s="22">
        <v>42935.488888888889</v>
      </c>
      <c r="C6" s="22" t="s">
        <v>256</v>
      </c>
      <c r="D6" s="30" t="s">
        <v>222</v>
      </c>
      <c r="E6" s="30" t="s">
        <v>405</v>
      </c>
      <c r="F6" s="30" t="s">
        <v>172</v>
      </c>
      <c r="G6" s="30" t="s">
        <v>174</v>
      </c>
      <c r="H6" t="s">
        <v>94</v>
      </c>
      <c r="I6" t="s">
        <v>404</v>
      </c>
      <c r="J6" t="s">
        <v>422</v>
      </c>
      <c r="L6">
        <v>1</v>
      </c>
      <c r="M6" s="26">
        <v>1.01</v>
      </c>
      <c r="N6" t="s">
        <v>257</v>
      </c>
      <c r="Q6" s="29" t="s">
        <v>176</v>
      </c>
      <c r="R6" s="29" t="str">
        <f>IFERROR(MID(RADataTable[[#This Row],[RAtemplate]],1,LEN(RADataTable[[#This Row],[RAtemplate]])-8),"RA") &amp; " " &amp; RADataTable[[#This Row],[prop_id0]] &amp; " " &amp; RADataTable[[#This Row],[last0]]</f>
        <v>Awd  1750333 Ene</v>
      </c>
      <c r="U6" s="21" t="str">
        <f>IF(signer1="PD",IF(ISBLANK(RADataTable[[#This Row],[sign_blck_name]]),"",RADataTable[[#This Row],[sign_blck_name]]),IF(ISBLANK(signer1),"",signer1))</f>
        <v>Rahul Shah</v>
      </c>
      <c r="V6" s="29" t="str">
        <f t="shared" si="0"/>
        <v>Cognisant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aene@bu.edu</v>
      </c>
      <c r="Y6" s="15" t="str">
        <f>HYPERLINK("mailto:"&amp;RADataTable[[#This Row],[allPIemail]]&amp;"&amp;subject=NSF Proposal:  "&amp;RADataTable[[#This Row],[Div]]&amp;" "&amp;RADataTable[[#This Row],[prop_id0]], "PIs@")</f>
        <v>PIs@</v>
      </c>
      <c r="Z6" t="s">
        <v>224</v>
      </c>
      <c r="AA6" t="s">
        <v>369</v>
      </c>
      <c r="AB6">
        <v>4</v>
      </c>
      <c r="AC6">
        <v>4</v>
      </c>
      <c r="AD6"/>
      <c r="AE6" s="21">
        <v>5</v>
      </c>
      <c r="AF6" s="26">
        <v>7.5</v>
      </c>
      <c r="AG6">
        <v>9</v>
      </c>
      <c r="AH6" t="s">
        <v>503</v>
      </c>
      <c r="AI6" s="30">
        <v>43032.52847222222</v>
      </c>
      <c r="AJ6" s="13">
        <v>507423</v>
      </c>
      <c r="AK6" s="13">
        <v>507423</v>
      </c>
      <c r="AL6">
        <v>0</v>
      </c>
      <c r="AM6" s="30">
        <v>43101</v>
      </c>
      <c r="AN6" s="21">
        <v>60</v>
      </c>
      <c r="AO6" s="21" t="s">
        <v>504</v>
      </c>
      <c r="AR6" s="30"/>
      <c r="AS6" t="s">
        <v>616</v>
      </c>
      <c r="AT6" s="21" t="s">
        <v>259</v>
      </c>
      <c r="AU6" s="21">
        <v>1</v>
      </c>
      <c r="AV6" s="21" t="s">
        <v>618</v>
      </c>
      <c r="AW6" s="30">
        <v>43032</v>
      </c>
      <c r="AX6" s="21" t="s">
        <v>653</v>
      </c>
      <c r="AY6" s="21" t="s">
        <v>620</v>
      </c>
      <c r="AZ6" s="21">
        <v>14</v>
      </c>
      <c r="BA6" s="21">
        <v>1</v>
      </c>
      <c r="BF6" s="30"/>
      <c r="BI6" s="21">
        <v>14</v>
      </c>
      <c r="BJ6" s="21">
        <v>1</v>
      </c>
      <c r="BO6" s="30"/>
      <c r="BR6" s="21">
        <v>14</v>
      </c>
      <c r="BS6" s="21">
        <v>1</v>
      </c>
      <c r="BT6" t="s">
        <v>369</v>
      </c>
      <c r="BU6" s="21" t="s">
        <v>499</v>
      </c>
      <c r="BV6" s="21" t="s">
        <v>500</v>
      </c>
      <c r="BW6" s="21" t="s">
        <v>501</v>
      </c>
      <c r="BX6" s="31">
        <v>507423</v>
      </c>
      <c r="BY6" s="31">
        <v>507423</v>
      </c>
      <c r="BZ6" t="s">
        <v>411</v>
      </c>
      <c r="CE6" s="31"/>
      <c r="CF6" s="31"/>
      <c r="CL6" s="31"/>
      <c r="CM6" s="31"/>
      <c r="CS6" s="31"/>
      <c r="CT6" s="31"/>
      <c r="CZ6" s="31"/>
      <c r="DA6" s="31"/>
      <c r="DG6" s="31"/>
      <c r="DH6" s="31"/>
      <c r="DN6" s="31"/>
      <c r="DO6" s="31"/>
      <c r="DQ6" t="s">
        <v>260</v>
      </c>
      <c r="DR6" t="s">
        <v>225</v>
      </c>
      <c r="DS6" t="s">
        <v>621</v>
      </c>
      <c r="DT6" s="29" t="s">
        <v>627</v>
      </c>
      <c r="DU6" t="s">
        <v>175</v>
      </c>
      <c r="DV6" t="s">
        <v>622</v>
      </c>
      <c r="DW6" t="s">
        <v>173</v>
      </c>
      <c r="DX6" t="s">
        <v>170</v>
      </c>
      <c r="DY6" t="s">
        <v>171</v>
      </c>
      <c r="DZ6" s="22">
        <v>43073.921863425923</v>
      </c>
      <c r="EA6" t="s">
        <v>502</v>
      </c>
      <c r="EB6" t="s">
        <v>654</v>
      </c>
    </row>
    <row r="7" spans="1:132" x14ac:dyDescent="0.4">
      <c r="A7" s="30"/>
      <c r="B7" s="22">
        <v>42956.581944444442</v>
      </c>
      <c r="C7" s="22" t="s">
        <v>549</v>
      </c>
      <c r="D7" s="30" t="s">
        <v>222</v>
      </c>
      <c r="E7" s="30" t="s">
        <v>550</v>
      </c>
      <c r="F7" s="30" t="s">
        <v>172</v>
      </c>
      <c r="G7" s="30" t="s">
        <v>174</v>
      </c>
      <c r="H7" t="s">
        <v>94</v>
      </c>
      <c r="I7" t="s">
        <v>548</v>
      </c>
      <c r="J7" t="s">
        <v>422</v>
      </c>
      <c r="L7">
        <v>1</v>
      </c>
      <c r="M7" s="26">
        <v>1.01</v>
      </c>
      <c r="N7" t="s">
        <v>257</v>
      </c>
      <c r="Q7" s="29" t="s">
        <v>176</v>
      </c>
      <c r="R7" s="29" t="str">
        <f>IFERROR(MID(RADataTable[[#This Row],[RAtemplate]],1,LEN(RADataTable[[#This Row],[RAtemplate]])-8),"RA") &amp; " " &amp; RADataTable[[#This Row],[prop_id0]] &amp; " " &amp; RADataTable[[#This Row],[last0]]</f>
        <v>Awd  1755791 Goswami</v>
      </c>
      <c r="U7" s="21" t="str">
        <f>IF(signer1="PD",IF(ISBLANK(RADataTable[[#This Row],[sign_blck_name]]),"",RADataTable[[#This Row],[sign_blck_name]]),IF(ISBLANK(signer1),"",signer1))</f>
        <v>Rahul Shah</v>
      </c>
      <c r="V7" s="29" t="str">
        <f t="shared" si="0"/>
        <v>Cognisant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Mayank.Goswami@qc.cuny.edu</v>
      </c>
      <c r="Y7" s="15" t="str">
        <f>HYPERLINK("mailto:"&amp;RADataTable[[#This Row],[allPIemail]]&amp;"&amp;subject=NSF Proposal:  "&amp;RADataTable[[#This Row],[Div]]&amp;" "&amp;RADataTable[[#This Row],[prop_id0]], "PIs@")</f>
        <v>PIs@</v>
      </c>
      <c r="Z7" t="s">
        <v>224</v>
      </c>
      <c r="AA7" t="s">
        <v>379</v>
      </c>
      <c r="AB7">
        <v>3</v>
      </c>
      <c r="AC7">
        <v>3</v>
      </c>
      <c r="AD7"/>
      <c r="AE7" s="21">
        <v>7</v>
      </c>
      <c r="AF7" s="26">
        <v>7</v>
      </c>
      <c r="AG7">
        <v>7</v>
      </c>
      <c r="AH7" t="s">
        <v>568</v>
      </c>
      <c r="AI7" s="30">
        <v>43031.369444444441</v>
      </c>
      <c r="AJ7" s="13">
        <v>175000</v>
      </c>
      <c r="AK7" s="13">
        <v>175000</v>
      </c>
      <c r="AL7">
        <v>0</v>
      </c>
      <c r="AM7" s="30">
        <v>43344</v>
      </c>
      <c r="AN7" s="21">
        <v>24</v>
      </c>
      <c r="AO7" s="21" t="s">
        <v>569</v>
      </c>
      <c r="AR7" s="30"/>
      <c r="AS7" t="s">
        <v>616</v>
      </c>
      <c r="AT7" s="21" t="s">
        <v>259</v>
      </c>
      <c r="AU7" s="21">
        <v>1</v>
      </c>
      <c r="AV7" s="21" t="s">
        <v>618</v>
      </c>
      <c r="AW7" s="30">
        <v>43032</v>
      </c>
      <c r="AX7" s="21" t="s">
        <v>672</v>
      </c>
      <c r="AY7" s="21" t="s">
        <v>620</v>
      </c>
      <c r="AZ7" s="21">
        <v>14</v>
      </c>
      <c r="BA7" s="21">
        <v>1</v>
      </c>
      <c r="BF7" s="30"/>
      <c r="BI7" s="21">
        <v>14</v>
      </c>
      <c r="BJ7" s="21">
        <v>1</v>
      </c>
      <c r="BO7" s="30"/>
      <c r="BR7" s="21">
        <v>14</v>
      </c>
      <c r="BS7" s="21">
        <v>1</v>
      </c>
      <c r="BT7" t="s">
        <v>379</v>
      </c>
      <c r="BU7" s="21" t="s">
        <v>564</v>
      </c>
      <c r="BV7" s="21" t="s">
        <v>565</v>
      </c>
      <c r="BW7" s="21" t="s">
        <v>566</v>
      </c>
      <c r="BX7" s="31">
        <v>175000</v>
      </c>
      <c r="BY7" s="31">
        <v>175000</v>
      </c>
      <c r="BZ7" t="s">
        <v>554</v>
      </c>
      <c r="CE7" s="31"/>
      <c r="CF7" s="31"/>
      <c r="CL7" s="31"/>
      <c r="CM7" s="31"/>
      <c r="CS7" s="31"/>
      <c r="CT7" s="31"/>
      <c r="CZ7" s="31"/>
      <c r="DA7" s="31"/>
      <c r="DG7" s="31"/>
      <c r="DH7" s="31"/>
      <c r="DN7" s="31"/>
      <c r="DO7" s="31"/>
      <c r="DQ7" t="s">
        <v>667</v>
      </c>
      <c r="DR7" t="s">
        <v>225</v>
      </c>
      <c r="DS7" t="s">
        <v>668</v>
      </c>
      <c r="DT7" s="29" t="s">
        <v>627</v>
      </c>
      <c r="DU7" t="s">
        <v>175</v>
      </c>
      <c r="DV7" t="s">
        <v>622</v>
      </c>
      <c r="DW7" t="s">
        <v>173</v>
      </c>
      <c r="DX7" t="s">
        <v>170</v>
      </c>
      <c r="DY7" t="s">
        <v>171</v>
      </c>
      <c r="DZ7" s="22">
        <v>43073.921863425923</v>
      </c>
      <c r="EA7" t="s">
        <v>567</v>
      </c>
      <c r="EB7" t="s">
        <v>673</v>
      </c>
    </row>
    <row r="8" spans="1:132" x14ac:dyDescent="0.4">
      <c r="A8" s="30">
        <v>42724.509884259256</v>
      </c>
      <c r="B8" s="22">
        <v>42570.840277777781</v>
      </c>
      <c r="C8" s="22" t="s">
        <v>975</v>
      </c>
      <c r="D8" s="30" t="s">
        <v>222</v>
      </c>
      <c r="E8" s="30" t="s">
        <v>405</v>
      </c>
      <c r="F8" s="30" t="s">
        <v>172</v>
      </c>
      <c r="G8" s="30" t="s">
        <v>992</v>
      </c>
      <c r="H8" t="s">
        <v>94</v>
      </c>
      <c r="I8" t="s">
        <v>974</v>
      </c>
      <c r="J8" t="s">
        <v>422</v>
      </c>
      <c r="K8" s="22">
        <v>42724.508750000001</v>
      </c>
      <c r="L8">
        <v>1</v>
      </c>
      <c r="M8" s="26">
        <v>1.02</v>
      </c>
      <c r="N8" t="s">
        <v>257</v>
      </c>
      <c r="Q8" s="29" t="s">
        <v>13</v>
      </c>
      <c r="R8" s="29" t="str">
        <f>IFERROR(MID(RADataTable[[#This Row],[RAtemplate]],1,LEN(RADataTable[[#This Row],[RAtemplate]])-8),"RA") &amp; " " &amp; RADataTable[[#This Row],[prop_id0]] &amp; " " &amp; RADataTable[[#This Row],[last0]]</f>
        <v>RA 1651861 Rothvoss</v>
      </c>
      <c r="U8" s="21" t="str">
        <f>IF(signer1="PD",IF(ISBLANK(RADataTable[[#This Row],[sign_blck_name]]),"",RADataTable[[#This Row],[sign_blck_name]]),IF(ISBLANK(signer1),"",signer1))</f>
        <v>Rahul Shah</v>
      </c>
      <c r="V8" s="29" t="str">
        <f t="shared" si="0"/>
        <v>Cognisant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rothvoss@uw.edu</v>
      </c>
      <c r="Y8" s="15" t="str">
        <f>HYPERLINK("mailto:"&amp;RADataTable[[#This Row],[allPIemail]]&amp;"&amp;subject=NSF Proposal:  "&amp;RADataTable[[#This Row],[Div]]&amp;" "&amp;RADataTable[[#This Row],[prop_id0]], "PIs@")</f>
        <v>PIs@</v>
      </c>
      <c r="Z8" t="s">
        <v>224</v>
      </c>
      <c r="AA8" t="s">
        <v>999</v>
      </c>
      <c r="AB8">
        <v>4</v>
      </c>
      <c r="AD8"/>
      <c r="AE8" s="21">
        <v>5</v>
      </c>
      <c r="AF8" s="26">
        <v>7.75</v>
      </c>
      <c r="AG8">
        <v>9</v>
      </c>
      <c r="AH8" t="s">
        <v>1003</v>
      </c>
      <c r="AI8" s="30">
        <v>42660.116666666669</v>
      </c>
      <c r="AJ8" s="13">
        <v>522239</v>
      </c>
      <c r="AK8" s="13">
        <v>522239</v>
      </c>
      <c r="AL8">
        <v>0</v>
      </c>
      <c r="AM8" s="30">
        <v>42917</v>
      </c>
      <c r="AN8" s="21">
        <v>60</v>
      </c>
      <c r="AO8" s="21" t="s">
        <v>1004</v>
      </c>
      <c r="AP8">
        <v>1</v>
      </c>
      <c r="AQ8" t="s">
        <v>2007</v>
      </c>
      <c r="AR8" s="30">
        <v>42652.911111111112</v>
      </c>
      <c r="AS8" t="s">
        <v>1425</v>
      </c>
      <c r="AT8" s="21" t="s">
        <v>259</v>
      </c>
      <c r="AU8" s="21">
        <v>2</v>
      </c>
      <c r="AV8" s="21" t="s">
        <v>2008</v>
      </c>
      <c r="AW8" s="30">
        <v>42661</v>
      </c>
      <c r="AX8" s="21" t="s">
        <v>2020</v>
      </c>
      <c r="AY8" s="21" t="s">
        <v>2010</v>
      </c>
      <c r="AZ8" s="21">
        <v>12</v>
      </c>
      <c r="BA8" s="21">
        <v>0</v>
      </c>
      <c r="BF8" s="30"/>
      <c r="BI8" s="21">
        <v>12</v>
      </c>
      <c r="BJ8" s="21">
        <v>0</v>
      </c>
      <c r="BO8" s="30"/>
      <c r="BR8" s="21">
        <v>12</v>
      </c>
      <c r="BS8" s="21">
        <v>0</v>
      </c>
      <c r="BT8" t="s">
        <v>999</v>
      </c>
      <c r="BU8" s="21" t="s">
        <v>1000</v>
      </c>
      <c r="BV8" s="21" t="s">
        <v>1001</v>
      </c>
      <c r="BW8" s="21" t="s">
        <v>258</v>
      </c>
      <c r="BX8" s="31">
        <v>522239</v>
      </c>
      <c r="BY8" s="31">
        <v>522239</v>
      </c>
      <c r="BZ8" t="s">
        <v>411</v>
      </c>
      <c r="CE8" s="31"/>
      <c r="CF8" s="31"/>
      <c r="CL8" s="31"/>
      <c r="CM8" s="31"/>
      <c r="CS8" s="31"/>
      <c r="CT8" s="31"/>
      <c r="CZ8" s="31"/>
      <c r="DA8" s="31"/>
      <c r="DG8" s="31"/>
      <c r="DH8" s="31"/>
      <c r="DN8" s="31"/>
      <c r="DO8" s="31"/>
      <c r="DQ8" t="s">
        <v>260</v>
      </c>
      <c r="DR8" t="s">
        <v>225</v>
      </c>
      <c r="DS8" t="s">
        <v>621</v>
      </c>
      <c r="DT8" s="29" t="s">
        <v>627</v>
      </c>
      <c r="DU8" t="s">
        <v>991</v>
      </c>
      <c r="DV8" t="s">
        <v>622</v>
      </c>
      <c r="DW8" t="s">
        <v>173</v>
      </c>
      <c r="DX8" t="s">
        <v>170</v>
      </c>
      <c r="DY8" t="s">
        <v>171</v>
      </c>
      <c r="DZ8" s="22">
        <v>43073.921863425923</v>
      </c>
      <c r="EA8" t="s">
        <v>1002</v>
      </c>
      <c r="EB8" t="s">
        <v>2021</v>
      </c>
    </row>
    <row r="9" spans="1:132" x14ac:dyDescent="0.4">
      <c r="A9" s="30">
        <v>42740.404988425929</v>
      </c>
      <c r="B9" s="22">
        <v>42571.563888888886</v>
      </c>
      <c r="C9" s="22" t="s">
        <v>975</v>
      </c>
      <c r="D9" s="30" t="s">
        <v>222</v>
      </c>
      <c r="E9" s="30" t="s">
        <v>405</v>
      </c>
      <c r="F9" s="30" t="s">
        <v>172</v>
      </c>
      <c r="G9" s="30" t="s">
        <v>992</v>
      </c>
      <c r="H9" t="s">
        <v>94</v>
      </c>
      <c r="I9" t="s">
        <v>974</v>
      </c>
      <c r="J9" t="s">
        <v>406</v>
      </c>
      <c r="K9" s="22">
        <v>42738.658738425926</v>
      </c>
      <c r="L9">
        <v>1</v>
      </c>
      <c r="M9" s="26">
        <v>1.02</v>
      </c>
      <c r="N9" t="s">
        <v>257</v>
      </c>
      <c r="Q9" s="29" t="s">
        <v>13</v>
      </c>
      <c r="R9" s="29" t="str">
        <f>IFERROR(MID(RADataTable[[#This Row],[RAtemplate]],1,LEN(RADataTable[[#This Row],[RAtemplate]])-8),"RA") &amp; " " &amp; RADataTable[[#This Row],[prop_id0]] &amp; " " &amp; RADataTable[[#This Row],[last0]]</f>
        <v>RA 1652218 Sheehy</v>
      </c>
      <c r="U9" s="21" t="str">
        <f>IF(signer1="PD",IF(ISBLANK(RADataTable[[#This Row],[sign_blck_name]]),"",RADataTable[[#This Row],[sign_blck_name]]),IF(ISBLANK(signer1),"",signer1))</f>
        <v>Jack Snoeyink</v>
      </c>
      <c r="V9" s="29" t="str">
        <f t="shared" si="0"/>
        <v>Cognisant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donald@engr.uconn.edu</v>
      </c>
      <c r="Y9" s="15" t="str">
        <f>HYPERLINK("mailto:"&amp;RADataTable[[#This Row],[allPIemail]]&amp;"&amp;subject=NSF Proposal:  "&amp;RADataTable[[#This Row],[Div]]&amp;" "&amp;RADataTable[[#This Row],[prop_id0]], "PIs@")</f>
        <v>PIs@</v>
      </c>
      <c r="Z9" t="s">
        <v>224</v>
      </c>
      <c r="AA9" t="s">
        <v>1049</v>
      </c>
      <c r="AB9">
        <v>4</v>
      </c>
      <c r="AD9"/>
      <c r="AE9" s="21">
        <v>8</v>
      </c>
      <c r="AF9" s="26">
        <v>8</v>
      </c>
      <c r="AG9">
        <v>8</v>
      </c>
      <c r="AH9" t="s">
        <v>1055</v>
      </c>
      <c r="AI9" s="30">
        <v>42661.31527777778</v>
      </c>
      <c r="AJ9" s="13">
        <v>511429</v>
      </c>
      <c r="AK9" s="13">
        <v>511429</v>
      </c>
      <c r="AL9">
        <v>0</v>
      </c>
      <c r="AM9" s="30">
        <v>42767</v>
      </c>
      <c r="AN9" s="21">
        <v>60</v>
      </c>
      <c r="AO9" s="21" t="s">
        <v>1056</v>
      </c>
      <c r="AP9">
        <v>1</v>
      </c>
      <c r="AQ9" t="s">
        <v>2013</v>
      </c>
      <c r="AR9" s="30">
        <v>42654.726388888892</v>
      </c>
      <c r="AS9" t="s">
        <v>1425</v>
      </c>
      <c r="AT9" s="21" t="s">
        <v>259</v>
      </c>
      <c r="AU9" s="21">
        <v>2</v>
      </c>
      <c r="AV9" s="21" t="s">
        <v>2008</v>
      </c>
      <c r="AW9" s="30">
        <v>42661</v>
      </c>
      <c r="AX9" s="21" t="s">
        <v>2034</v>
      </c>
      <c r="AY9" s="21" t="s">
        <v>2010</v>
      </c>
      <c r="AZ9" s="21">
        <v>12</v>
      </c>
      <c r="BA9" s="21">
        <v>0</v>
      </c>
      <c r="BF9" s="30"/>
      <c r="BI9" s="21">
        <v>12</v>
      </c>
      <c r="BJ9" s="21">
        <v>0</v>
      </c>
      <c r="BO9" s="30"/>
      <c r="BR9" s="21">
        <v>12</v>
      </c>
      <c r="BS9" s="21">
        <v>0</v>
      </c>
      <c r="BT9" t="s">
        <v>1049</v>
      </c>
      <c r="BU9" s="21" t="s">
        <v>1050</v>
      </c>
      <c r="BV9" s="21" t="s">
        <v>1051</v>
      </c>
      <c r="BW9" s="21" t="s">
        <v>1052</v>
      </c>
      <c r="BX9" s="31">
        <v>511429</v>
      </c>
      <c r="BY9" s="31">
        <v>511429</v>
      </c>
      <c r="BZ9" t="s">
        <v>419</v>
      </c>
      <c r="CE9" s="31"/>
      <c r="CF9" s="31"/>
      <c r="CL9" s="31"/>
      <c r="CM9" s="31"/>
      <c r="CS9" s="31"/>
      <c r="CT9" s="31"/>
      <c r="CZ9" s="31"/>
      <c r="DA9" s="31"/>
      <c r="DG9" s="31"/>
      <c r="DH9" s="31"/>
      <c r="DN9" s="31"/>
      <c r="DO9" s="31"/>
      <c r="DQ9" t="s">
        <v>260</v>
      </c>
      <c r="DR9" t="s">
        <v>225</v>
      </c>
      <c r="DS9" t="s">
        <v>621</v>
      </c>
      <c r="DT9" s="29" t="s">
        <v>214</v>
      </c>
      <c r="DU9" t="s">
        <v>991</v>
      </c>
      <c r="DV9" t="s">
        <v>622</v>
      </c>
      <c r="DW9" t="s">
        <v>173</v>
      </c>
      <c r="DX9" t="s">
        <v>170</v>
      </c>
      <c r="DY9" t="s">
        <v>171</v>
      </c>
      <c r="DZ9" s="22">
        <v>43073.921863425923</v>
      </c>
      <c r="EA9" t="s">
        <v>1054</v>
      </c>
      <c r="EB9" t="s">
        <v>2035</v>
      </c>
    </row>
    <row r="10" spans="1:132" x14ac:dyDescent="0.4">
      <c r="A10" s="30">
        <v>42930.561608796299</v>
      </c>
      <c r="B10" s="22">
        <v>42809.702777777777</v>
      </c>
      <c r="C10" s="22" t="s">
        <v>1136</v>
      </c>
      <c r="D10" s="30" t="s">
        <v>222</v>
      </c>
      <c r="E10" s="30" t="s">
        <v>1137</v>
      </c>
      <c r="F10" s="30" t="s">
        <v>172</v>
      </c>
      <c r="G10" s="30" t="s">
        <v>992</v>
      </c>
      <c r="H10" t="s">
        <v>94</v>
      </c>
      <c r="I10" t="s">
        <v>1135</v>
      </c>
      <c r="J10" t="s">
        <v>1241</v>
      </c>
      <c r="K10" s="22">
        <v>42929.336412037039</v>
      </c>
      <c r="L10">
        <v>1</v>
      </c>
      <c r="M10" s="26">
        <v>1.02</v>
      </c>
      <c r="N10" t="s">
        <v>1947</v>
      </c>
      <c r="Q10" s="29" t="s">
        <v>13</v>
      </c>
      <c r="R10" s="29" t="str">
        <f>IFERROR(MID(RADataTable[[#This Row],[RAtemplate]],1,LEN(RADataTable[[#This Row],[RAtemplate]])-8),"RA") &amp; " " &amp; RADataTable[[#This Row],[prop_id0]] &amp; " " &amp; RADataTable[[#This Row],[last0]]</f>
        <v>RA 1740833 Wright</v>
      </c>
      <c r="U10" s="21" t="str">
        <f>IF(signer1="PD",IF(ISBLANK(RADataTable[[#This Row],[sign_blck_name]]),"",RADataTable[[#This Row],[sign_blck_name]]),IF(ISBLANK(signer1),"",signer1))</f>
        <v>Nandini Kannan</v>
      </c>
      <c r="V10" s="29" t="str">
        <f t="shared" si="0"/>
        <v>Cognisant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jw2966@columbia.edu</v>
      </c>
      <c r="Y10" s="15" t="str">
        <f>HYPERLINK("mailto:"&amp;RADataTable[[#This Row],[allPIemail]]&amp;"&amp;subject=NSF Proposal:  "&amp;RADataTable[[#This Row],[Div]]&amp;" "&amp;RADataTable[[#This Row],[prop_id0]], "PIs@")</f>
        <v>PIs@</v>
      </c>
      <c r="Z10" t="s">
        <v>224</v>
      </c>
      <c r="AA10" t="s">
        <v>1373</v>
      </c>
      <c r="AB10">
        <v>3</v>
      </c>
      <c r="AD10"/>
      <c r="AE10" s="21">
        <v>5</v>
      </c>
      <c r="AF10" s="26">
        <v>7</v>
      </c>
      <c r="AG10">
        <v>8</v>
      </c>
      <c r="AH10" t="s">
        <v>1376</v>
      </c>
      <c r="AI10" s="30">
        <v>42872.532638888886</v>
      </c>
      <c r="AJ10" s="13">
        <v>1500000</v>
      </c>
      <c r="AK10" s="13">
        <v>1500000</v>
      </c>
      <c r="AL10">
        <v>0</v>
      </c>
      <c r="AM10" s="30">
        <v>42979</v>
      </c>
      <c r="AN10" s="21">
        <v>36</v>
      </c>
      <c r="AO10" s="21" t="s">
        <v>1377</v>
      </c>
      <c r="AR10" s="30"/>
      <c r="AS10" t="s">
        <v>1789</v>
      </c>
      <c r="AT10" s="21" t="s">
        <v>1946</v>
      </c>
      <c r="AU10" s="21">
        <v>2</v>
      </c>
      <c r="AV10" s="21" t="s">
        <v>2067</v>
      </c>
      <c r="AW10" s="30">
        <v>42872</v>
      </c>
      <c r="AX10" s="21" t="s">
        <v>2115</v>
      </c>
      <c r="AY10" s="21" t="s">
        <v>2068</v>
      </c>
      <c r="AZ10" s="21">
        <v>12</v>
      </c>
      <c r="BA10" s="21">
        <v>0</v>
      </c>
      <c r="BF10" s="30"/>
      <c r="BI10" s="21">
        <v>12</v>
      </c>
      <c r="BJ10" s="21">
        <v>0</v>
      </c>
      <c r="BO10" s="30"/>
      <c r="BR10" s="21">
        <v>12</v>
      </c>
      <c r="BS10" s="21">
        <v>0</v>
      </c>
      <c r="BT10" t="s">
        <v>1373</v>
      </c>
      <c r="BU10" s="21" t="s">
        <v>1374</v>
      </c>
      <c r="BV10" s="21" t="s">
        <v>1214</v>
      </c>
      <c r="BW10" s="21" t="s">
        <v>1220</v>
      </c>
      <c r="BX10" s="31">
        <v>1500000</v>
      </c>
      <c r="BY10" s="31">
        <v>1500000</v>
      </c>
      <c r="BZ10" t="s">
        <v>1142</v>
      </c>
      <c r="CE10" s="31"/>
      <c r="CF10" s="31"/>
      <c r="CL10" s="31"/>
      <c r="CM10" s="31"/>
      <c r="CS10" s="31"/>
      <c r="CT10" s="31"/>
      <c r="CZ10" s="31"/>
      <c r="DA10" s="31"/>
      <c r="DG10" s="31"/>
      <c r="DH10" s="31"/>
      <c r="DN10" s="31"/>
      <c r="DO10" s="31"/>
      <c r="DQ10" t="s">
        <v>2069</v>
      </c>
      <c r="DR10" t="s">
        <v>225</v>
      </c>
      <c r="DS10" t="s">
        <v>2070</v>
      </c>
      <c r="DT10" s="29" t="s">
        <v>2087</v>
      </c>
      <c r="DU10" t="s">
        <v>991</v>
      </c>
      <c r="DV10" t="s">
        <v>622</v>
      </c>
      <c r="DW10" t="s">
        <v>173</v>
      </c>
      <c r="DX10" t="s">
        <v>170</v>
      </c>
      <c r="DY10" t="s">
        <v>171</v>
      </c>
      <c r="DZ10" s="22">
        <v>43073.921863425923</v>
      </c>
      <c r="EA10" t="s">
        <v>1375</v>
      </c>
      <c r="EB10" t="s">
        <v>2116</v>
      </c>
    </row>
    <row r="11" spans="1:132" x14ac:dyDescent="0.4">
      <c r="A11" s="30"/>
      <c r="B11" s="22">
        <v>42956.621527777781</v>
      </c>
      <c r="C11" s="22" t="s">
        <v>549</v>
      </c>
      <c r="D11" s="30" t="s">
        <v>222</v>
      </c>
      <c r="E11" s="30" t="s">
        <v>550</v>
      </c>
      <c r="F11" s="30" t="s">
        <v>172</v>
      </c>
      <c r="G11" s="30" t="s">
        <v>174</v>
      </c>
      <c r="H11" t="s">
        <v>94</v>
      </c>
      <c r="I11" t="s">
        <v>548</v>
      </c>
      <c r="J11" t="s">
        <v>451</v>
      </c>
      <c r="L11">
        <v>1</v>
      </c>
      <c r="M11" s="26">
        <v>2.02</v>
      </c>
      <c r="N11" t="s">
        <v>213</v>
      </c>
      <c r="Q11" s="29" t="s">
        <v>13</v>
      </c>
      <c r="R11" s="29" t="str">
        <f>IFERROR(MID(RADataTable[[#This Row],[RAtemplate]],1,LEN(RADataTable[[#This Row],[RAtemplate]])-8),"RA") &amp; " " &amp; RADataTable[[#This Row],[prop_id0]] &amp; " " &amp; RADataTable[[#This Row],[last0]]</f>
        <v>RA 1755847 Sun</v>
      </c>
      <c r="U11" s="21" t="str">
        <f>IF(signer1="PD",IF(ISBLANK(RADataTable[[#This Row],[sign_blck_name]]),"",RADataTable[[#This Row],[sign_blck_name]]),IF(ISBLANK(signer1),"",signer1))</f>
        <v>Tracy J. Kimbrel</v>
      </c>
      <c r="V11" s="29" t="str">
        <f t="shared" si="0"/>
        <v>Cognisant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ruoyus@illinois.edu</v>
      </c>
      <c r="Y11" s="15" t="str">
        <f>HYPERLINK("mailto:"&amp;RADataTable[[#This Row],[allPIemail]]&amp;"&amp;subject=NSF Proposal:  "&amp;RADataTable[[#This Row],[Div]]&amp;" "&amp;RADataTable[[#This Row],[prop_id0]], "PIs@")</f>
        <v>PIs@</v>
      </c>
      <c r="Z11" t="s">
        <v>224</v>
      </c>
      <c r="AA11" t="s">
        <v>380</v>
      </c>
      <c r="AB11">
        <v>3</v>
      </c>
      <c r="AC11">
        <v>3</v>
      </c>
      <c r="AD11"/>
      <c r="AE11" s="21">
        <v>6</v>
      </c>
      <c r="AF11" s="26">
        <v>6.333333333333333</v>
      </c>
      <c r="AG11">
        <v>7</v>
      </c>
      <c r="AH11" t="s">
        <v>574</v>
      </c>
      <c r="AI11" s="30">
        <v>43031.767361111109</v>
      </c>
      <c r="AJ11" s="13">
        <v>175000</v>
      </c>
      <c r="AK11" s="13">
        <v>175000</v>
      </c>
      <c r="AL11">
        <v>0</v>
      </c>
      <c r="AM11" s="30">
        <v>43282</v>
      </c>
      <c r="AN11" s="21">
        <v>24</v>
      </c>
      <c r="AO11" s="21" t="s">
        <v>575</v>
      </c>
      <c r="AR11" s="30"/>
      <c r="AS11" t="s">
        <v>616</v>
      </c>
      <c r="AT11" s="21" t="s">
        <v>212</v>
      </c>
      <c r="AU11" s="21">
        <v>2</v>
      </c>
      <c r="AV11" s="21" t="s">
        <v>618</v>
      </c>
      <c r="AW11" s="30">
        <v>43032</v>
      </c>
      <c r="AX11" s="21" t="s">
        <v>674</v>
      </c>
      <c r="AY11" s="21" t="s">
        <v>620</v>
      </c>
      <c r="AZ11" s="21">
        <v>14</v>
      </c>
      <c r="BA11" s="21">
        <v>2</v>
      </c>
      <c r="BF11" s="30"/>
      <c r="BI11" s="21">
        <v>14</v>
      </c>
      <c r="BJ11" s="21">
        <v>2</v>
      </c>
      <c r="BO11" s="30"/>
      <c r="BR11" s="21">
        <v>14</v>
      </c>
      <c r="BS11" s="21">
        <v>2</v>
      </c>
      <c r="BT11" t="s">
        <v>380</v>
      </c>
      <c r="BU11" s="21" t="s">
        <v>570</v>
      </c>
      <c r="BV11" s="21" t="s">
        <v>571</v>
      </c>
      <c r="BW11" s="21" t="s">
        <v>454</v>
      </c>
      <c r="BX11" s="31">
        <v>175000</v>
      </c>
      <c r="BY11" s="31">
        <v>175000</v>
      </c>
      <c r="BZ11" t="s">
        <v>573</v>
      </c>
      <c r="CE11" s="31"/>
      <c r="CF11" s="31"/>
      <c r="CL11" s="31"/>
      <c r="CM11" s="31"/>
      <c r="CS11" s="31"/>
      <c r="CT11" s="31"/>
      <c r="CZ11" s="31"/>
      <c r="DA11" s="31"/>
      <c r="DG11" s="31"/>
      <c r="DH11" s="31"/>
      <c r="DN11" s="31"/>
      <c r="DO11" s="31"/>
      <c r="DQ11" t="s">
        <v>667</v>
      </c>
      <c r="DR11" t="s">
        <v>225</v>
      </c>
      <c r="DS11" t="s">
        <v>668</v>
      </c>
      <c r="DT11" s="29" t="s">
        <v>638</v>
      </c>
      <c r="DU11" t="s">
        <v>175</v>
      </c>
      <c r="DV11" t="s">
        <v>622</v>
      </c>
      <c r="DW11" t="s">
        <v>173</v>
      </c>
      <c r="DX11" t="s">
        <v>170</v>
      </c>
      <c r="DY11" t="s">
        <v>171</v>
      </c>
      <c r="DZ11" s="22">
        <v>43073.921863425923</v>
      </c>
      <c r="EA11" t="s">
        <v>572</v>
      </c>
      <c r="EB11" t="s">
        <v>675</v>
      </c>
    </row>
    <row r="12" spans="1:132" x14ac:dyDescent="0.4">
      <c r="A12" s="30">
        <v>42933.475868055553</v>
      </c>
      <c r="B12" s="22">
        <v>42809.474999999999</v>
      </c>
      <c r="C12" s="22" t="s">
        <v>1136</v>
      </c>
      <c r="D12" s="30" t="s">
        <v>222</v>
      </c>
      <c r="E12" s="30" t="s">
        <v>1137</v>
      </c>
      <c r="F12" s="30" t="s">
        <v>172</v>
      </c>
      <c r="G12" s="30" t="s">
        <v>992</v>
      </c>
      <c r="H12" t="s">
        <v>94</v>
      </c>
      <c r="I12" t="s">
        <v>1135</v>
      </c>
      <c r="J12" t="s">
        <v>406</v>
      </c>
      <c r="K12" s="22">
        <v>42927.466689814813</v>
      </c>
      <c r="L12">
        <v>1</v>
      </c>
      <c r="M12" s="26">
        <v>2.0299999999999998</v>
      </c>
      <c r="N12" t="s">
        <v>178</v>
      </c>
      <c r="Q12" s="29" t="s">
        <v>13</v>
      </c>
      <c r="R12" s="29" t="str">
        <f>IFERROR(MID(RADataTable[[#This Row],[RAtemplate]],1,LEN(RADataTable[[#This Row],[RAtemplate]])-8),"RA") &amp; " " &amp; RADataTable[[#This Row],[prop_id0]] &amp; " " &amp; RADataTable[[#This Row],[last0]]</f>
        <v>RA 1740741 Brock</v>
      </c>
      <c r="U12" s="21" t="str">
        <f>IF(signer1="PD",IF(ISBLANK(RADataTable[[#This Row],[sign_blck_name]]),"",RADataTable[[#This Row],[sign_blck_name]]),IF(ISBLANK(signer1),"",signer1))</f>
        <v>Jack Snoeyink</v>
      </c>
      <c r="V12" s="29" t="str">
        <f t="shared" si="0"/>
        <v>Cognisant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Jeff_Brock@brown.edu</v>
      </c>
      <c r="Y12" s="15" t="str">
        <f>HYPERLINK("mailto:"&amp;RADataTable[[#This Row],[allPIemail]]&amp;"&amp;subject=NSF Proposal:  "&amp;RADataTable[[#This Row],[Div]]&amp;" "&amp;RADataTable[[#This Row],[prop_id0]], "PIs@")</f>
        <v>PIs@</v>
      </c>
      <c r="Z12" t="s">
        <v>224</v>
      </c>
      <c r="AA12" t="s">
        <v>1199</v>
      </c>
      <c r="AB12">
        <v>3</v>
      </c>
      <c r="AD12"/>
      <c r="AE12" s="21">
        <v>7</v>
      </c>
      <c r="AF12" s="26">
        <v>7.333333333333333</v>
      </c>
      <c r="AG12">
        <v>8</v>
      </c>
      <c r="AH12" t="s">
        <v>1205</v>
      </c>
      <c r="AI12" s="30">
        <v>42872.390277777777</v>
      </c>
      <c r="AJ12" s="13">
        <v>1482177</v>
      </c>
      <c r="AK12" s="13">
        <v>1482177</v>
      </c>
      <c r="AL12">
        <v>0</v>
      </c>
      <c r="AM12" s="30">
        <v>42979</v>
      </c>
      <c r="AN12" s="21">
        <v>36</v>
      </c>
      <c r="AO12" s="21" t="s">
        <v>1206</v>
      </c>
      <c r="AR12" s="30"/>
      <c r="AS12" t="s">
        <v>1789</v>
      </c>
      <c r="AT12" s="21" t="s">
        <v>1841</v>
      </c>
      <c r="AU12" s="21">
        <v>3</v>
      </c>
      <c r="AV12" s="21" t="s">
        <v>2067</v>
      </c>
      <c r="AW12" s="30">
        <v>42872</v>
      </c>
      <c r="AX12" s="21" t="s">
        <v>2079</v>
      </c>
      <c r="AY12" s="21" t="s">
        <v>2068</v>
      </c>
      <c r="AZ12" s="21">
        <v>12</v>
      </c>
      <c r="BA12" s="21">
        <v>0</v>
      </c>
      <c r="BF12" s="30"/>
      <c r="BI12" s="21">
        <v>12</v>
      </c>
      <c r="BJ12" s="21">
        <v>0</v>
      </c>
      <c r="BO12" s="30"/>
      <c r="BR12" s="21">
        <v>12</v>
      </c>
      <c r="BS12" s="21">
        <v>0</v>
      </c>
      <c r="BT12" t="s">
        <v>1199</v>
      </c>
      <c r="BU12" s="21" t="s">
        <v>1200</v>
      </c>
      <c r="BV12" s="21" t="s">
        <v>1201</v>
      </c>
      <c r="BW12" s="21" t="s">
        <v>1202</v>
      </c>
      <c r="BX12" s="31">
        <v>1482177</v>
      </c>
      <c r="BY12" s="31">
        <v>1482177</v>
      </c>
      <c r="BZ12" t="s">
        <v>1204</v>
      </c>
      <c r="CE12" s="31"/>
      <c r="CF12" s="31"/>
      <c r="CL12" s="31"/>
      <c r="CM12" s="31"/>
      <c r="CS12" s="31"/>
      <c r="CT12" s="31"/>
      <c r="CZ12" s="31"/>
      <c r="DA12" s="31"/>
      <c r="DG12" s="31"/>
      <c r="DH12" s="31"/>
      <c r="DN12" s="31"/>
      <c r="DO12" s="31"/>
      <c r="DQ12" t="s">
        <v>2069</v>
      </c>
      <c r="DR12" t="s">
        <v>225</v>
      </c>
      <c r="DS12" t="s">
        <v>2070</v>
      </c>
      <c r="DT12" s="29" t="s">
        <v>214</v>
      </c>
      <c r="DU12" t="s">
        <v>991</v>
      </c>
      <c r="DV12" t="s">
        <v>622</v>
      </c>
      <c r="DW12" t="s">
        <v>173</v>
      </c>
      <c r="DX12" t="s">
        <v>170</v>
      </c>
      <c r="DY12" t="s">
        <v>171</v>
      </c>
      <c r="DZ12" s="22">
        <v>43073.921863425923</v>
      </c>
      <c r="EA12" t="s">
        <v>1203</v>
      </c>
      <c r="EB12" t="s">
        <v>2080</v>
      </c>
    </row>
    <row r="13" spans="1:132" x14ac:dyDescent="0.4">
      <c r="A13" s="30">
        <v>42930.452893518515</v>
      </c>
      <c r="B13" s="22">
        <v>42809.593055555553</v>
      </c>
      <c r="C13" s="22" t="s">
        <v>1136</v>
      </c>
      <c r="D13" s="30" t="s">
        <v>222</v>
      </c>
      <c r="E13" s="30" t="s">
        <v>1137</v>
      </c>
      <c r="F13" s="30" t="s">
        <v>172</v>
      </c>
      <c r="G13" s="30" t="s">
        <v>992</v>
      </c>
      <c r="H13" t="s">
        <v>94</v>
      </c>
      <c r="I13" t="s">
        <v>1135</v>
      </c>
      <c r="J13" t="s">
        <v>1241</v>
      </c>
      <c r="K13" s="22">
        <v>42926.717858796299</v>
      </c>
      <c r="L13">
        <v>1</v>
      </c>
      <c r="M13" s="26">
        <v>2.0299999999999998</v>
      </c>
      <c r="N13" t="s">
        <v>178</v>
      </c>
      <c r="Q13" s="29" t="s">
        <v>13</v>
      </c>
      <c r="R13" s="29" t="str">
        <f>IFERROR(MID(RADataTable[[#This Row],[RAtemplate]],1,LEN(RADataTable[[#This Row],[RAtemplate]])-8),"RA") &amp; " " &amp; RADataTable[[#This Row],[prop_id0]] &amp; " " &amp; RADataTable[[#This Row],[last0]]</f>
        <v>RA 1740776 Huo</v>
      </c>
      <c r="U13" s="21" t="str">
        <f>IF(signer1="PD",IF(ISBLANK(RADataTable[[#This Row],[sign_blck_name]]),"",RADataTable[[#This Row],[sign_blck_name]]),IF(ISBLANK(signer1),"",signer1))</f>
        <v>Nandini Kannan</v>
      </c>
      <c r="V13" s="29" t="str">
        <f t="shared" si="0"/>
        <v>Cognisant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xiaoming@isye.gatech.edu</v>
      </c>
      <c r="Y13" s="15" t="str">
        <f>HYPERLINK("mailto:"&amp;RADataTable[[#This Row],[allPIemail]]&amp;"&amp;subject=NSF Proposal:  "&amp;RADataTable[[#This Row],[Div]]&amp;" "&amp;RADataTable[[#This Row],[prop_id0]], "PIs@")</f>
        <v>PIs@</v>
      </c>
      <c r="Z13" t="s">
        <v>224</v>
      </c>
      <c r="AA13" t="s">
        <v>1242</v>
      </c>
      <c r="AB13">
        <v>3</v>
      </c>
      <c r="AD13"/>
      <c r="AE13" s="21">
        <v>6</v>
      </c>
      <c r="AF13" s="26">
        <v>7</v>
      </c>
      <c r="AG13">
        <v>8</v>
      </c>
      <c r="AH13" t="s">
        <v>1226</v>
      </c>
      <c r="AI13" s="30">
        <v>42871.888888888891</v>
      </c>
      <c r="AJ13" s="13">
        <v>1500000</v>
      </c>
      <c r="AK13" s="13">
        <v>1500000</v>
      </c>
      <c r="AL13">
        <v>0</v>
      </c>
      <c r="AM13" s="30">
        <v>42979</v>
      </c>
      <c r="AN13" s="21">
        <v>36</v>
      </c>
      <c r="AO13" s="21" t="s">
        <v>1246</v>
      </c>
      <c r="AR13" s="30"/>
      <c r="AS13" t="s">
        <v>1789</v>
      </c>
      <c r="AT13" s="21" t="s">
        <v>1841</v>
      </c>
      <c r="AU13" s="21">
        <v>3</v>
      </c>
      <c r="AV13" s="21" t="s">
        <v>2067</v>
      </c>
      <c r="AW13" s="30">
        <v>42872</v>
      </c>
      <c r="AX13" s="21" t="s">
        <v>2009</v>
      </c>
      <c r="AY13" s="21" t="s">
        <v>2068</v>
      </c>
      <c r="AZ13" s="21">
        <v>12</v>
      </c>
      <c r="BA13" s="21">
        <v>1</v>
      </c>
      <c r="BF13" s="30"/>
      <c r="BI13" s="21">
        <v>12</v>
      </c>
      <c r="BJ13" s="21">
        <v>1</v>
      </c>
      <c r="BO13" s="30"/>
      <c r="BR13" s="21">
        <v>12</v>
      </c>
      <c r="BS13" s="21">
        <v>1</v>
      </c>
      <c r="BT13" t="s">
        <v>1242</v>
      </c>
      <c r="BU13" s="21" t="s">
        <v>1243</v>
      </c>
      <c r="BV13" s="21" t="s">
        <v>1244</v>
      </c>
      <c r="BW13" s="21" t="s">
        <v>1040</v>
      </c>
      <c r="BX13" s="31">
        <v>1500000</v>
      </c>
      <c r="BY13" s="31">
        <v>1500000</v>
      </c>
      <c r="BZ13" t="s">
        <v>1142</v>
      </c>
      <c r="CE13" s="31"/>
      <c r="CF13" s="31"/>
      <c r="CL13" s="31"/>
      <c r="CM13" s="31"/>
      <c r="CS13" s="31"/>
      <c r="CT13" s="31"/>
      <c r="CZ13" s="31"/>
      <c r="DA13" s="31"/>
      <c r="DG13" s="31"/>
      <c r="DH13" s="31"/>
      <c r="DN13" s="31"/>
      <c r="DO13" s="31"/>
      <c r="DQ13" t="s">
        <v>2069</v>
      </c>
      <c r="DR13" t="s">
        <v>225</v>
      </c>
      <c r="DS13" t="s">
        <v>2070</v>
      </c>
      <c r="DT13" s="29" t="s">
        <v>2087</v>
      </c>
      <c r="DU13" t="s">
        <v>991</v>
      </c>
      <c r="DV13" t="s">
        <v>622</v>
      </c>
      <c r="DW13" t="s">
        <v>173</v>
      </c>
      <c r="DX13" t="s">
        <v>170</v>
      </c>
      <c r="DY13" t="s">
        <v>171</v>
      </c>
      <c r="DZ13" s="22">
        <v>43073.921863425923</v>
      </c>
      <c r="EA13" t="s">
        <v>1245</v>
      </c>
      <c r="EB13" t="s">
        <v>2088</v>
      </c>
    </row>
    <row r="14" spans="1:132" x14ac:dyDescent="0.4">
      <c r="A14" s="30">
        <v>42936.692673611113</v>
      </c>
      <c r="B14" s="22">
        <v>42809.64166666667</v>
      </c>
      <c r="C14" s="22" t="s">
        <v>1136</v>
      </c>
      <c r="D14" s="30" t="s">
        <v>222</v>
      </c>
      <c r="E14" s="30" t="s">
        <v>1137</v>
      </c>
      <c r="F14" s="30" t="s">
        <v>172</v>
      </c>
      <c r="G14" s="30" t="s">
        <v>992</v>
      </c>
      <c r="H14" t="s">
        <v>94</v>
      </c>
      <c r="I14" t="s">
        <v>1135</v>
      </c>
      <c r="J14" t="s">
        <v>406</v>
      </c>
      <c r="K14" s="22">
        <v>42934.612986111111</v>
      </c>
      <c r="L14">
        <v>1</v>
      </c>
      <c r="M14" s="26">
        <v>2.0299999999999998</v>
      </c>
      <c r="N14" t="s">
        <v>178</v>
      </c>
      <c r="Q14" s="29" t="s">
        <v>13</v>
      </c>
      <c r="R14" s="29" t="str">
        <f>IFERROR(MID(RADataTable[[#This Row],[RAtemplate]],1,LEN(RADataTable[[#This Row],[RAtemplate]])-8),"RA") &amp; " " &amp; RADataTable[[#This Row],[prop_id0]] &amp; " " &amp; RADataTable[[#This Row],[last0]]</f>
        <v>RA 1740796 Scheinberg</v>
      </c>
      <c r="U14" s="21" t="str">
        <f>IF(signer1="PD",IF(ISBLANK(RADataTable[[#This Row],[sign_blck_name]]),"",RADataTable[[#This Row],[sign_blck_name]]),IF(ISBLANK(signer1),"",signer1))</f>
        <v>Jack Snoeyink</v>
      </c>
      <c r="V14" s="29" t="str">
        <f t="shared" si="0"/>
        <v>Cognisant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kas410@lehigh.edu</v>
      </c>
      <c r="Y14" s="15" t="str">
        <f>HYPERLINK("mailto:"&amp;RADataTable[[#This Row],[allPIemail]]&amp;"&amp;subject=NSF Proposal:  "&amp;RADataTable[[#This Row],[Div]]&amp;" "&amp;RADataTable[[#This Row],[prop_id0]], "PIs@")</f>
        <v>PIs@</v>
      </c>
      <c r="Z14" t="s">
        <v>224</v>
      </c>
      <c r="AA14" t="s">
        <v>1281</v>
      </c>
      <c r="AB14">
        <v>3</v>
      </c>
      <c r="AD14"/>
      <c r="AE14" s="21">
        <v>6</v>
      </c>
      <c r="AF14" s="26">
        <v>6.666666666666667</v>
      </c>
      <c r="AG14">
        <v>7</v>
      </c>
      <c r="AH14" t="s">
        <v>1285</v>
      </c>
      <c r="AI14" s="30">
        <v>42872.496527777781</v>
      </c>
      <c r="AJ14" s="13">
        <v>1484152</v>
      </c>
      <c r="AK14" s="13">
        <v>1484152</v>
      </c>
      <c r="AL14">
        <v>1</v>
      </c>
      <c r="AM14" s="30">
        <v>43101</v>
      </c>
      <c r="AN14" s="21">
        <v>36</v>
      </c>
      <c r="AO14" s="21" t="s">
        <v>1286</v>
      </c>
      <c r="AR14" s="30"/>
      <c r="AS14" t="s">
        <v>1789</v>
      </c>
      <c r="AT14" s="21" t="s">
        <v>1841</v>
      </c>
      <c r="AU14" s="21">
        <v>3</v>
      </c>
      <c r="AV14" s="21" t="s">
        <v>2067</v>
      </c>
      <c r="AW14" s="30">
        <v>42872</v>
      </c>
      <c r="AX14" s="21" t="s">
        <v>2022</v>
      </c>
      <c r="AY14" s="21" t="s">
        <v>2068</v>
      </c>
      <c r="AZ14" s="21">
        <v>12</v>
      </c>
      <c r="BA14" s="21">
        <v>1</v>
      </c>
      <c r="BF14" s="30"/>
      <c r="BI14" s="21">
        <v>12</v>
      </c>
      <c r="BJ14" s="21">
        <v>1</v>
      </c>
      <c r="BO14" s="30"/>
      <c r="BR14" s="21">
        <v>12</v>
      </c>
      <c r="BS14" s="21">
        <v>1</v>
      </c>
      <c r="BT14" t="s">
        <v>1281</v>
      </c>
      <c r="BU14" s="21" t="s">
        <v>1282</v>
      </c>
      <c r="BV14" s="21" t="s">
        <v>1283</v>
      </c>
      <c r="BW14" s="21" t="s">
        <v>1231</v>
      </c>
      <c r="BX14" s="31">
        <v>895670</v>
      </c>
      <c r="BY14" s="31">
        <v>895670</v>
      </c>
      <c r="BZ14" t="s">
        <v>1176</v>
      </c>
      <c r="CA14" s="21" t="s">
        <v>1287</v>
      </c>
      <c r="CB14" s="21" t="s">
        <v>1288</v>
      </c>
      <c r="CC14" s="21" t="s">
        <v>1289</v>
      </c>
      <c r="CD14" s="21" t="s">
        <v>1060</v>
      </c>
      <c r="CE14" s="31">
        <v>300000</v>
      </c>
      <c r="CF14" s="31">
        <v>300000</v>
      </c>
      <c r="CG14" t="s">
        <v>1142</v>
      </c>
      <c r="CH14" s="21" t="s">
        <v>1292</v>
      </c>
      <c r="CI14" s="21" t="s">
        <v>1293</v>
      </c>
      <c r="CJ14" s="21" t="s">
        <v>1294</v>
      </c>
      <c r="CK14" s="21" t="s">
        <v>1295</v>
      </c>
      <c r="CL14" s="31">
        <v>288482</v>
      </c>
      <c r="CM14" s="31">
        <v>288482</v>
      </c>
      <c r="CN14" t="s">
        <v>1142</v>
      </c>
      <c r="CS14" s="31"/>
      <c r="CT14" s="31"/>
      <c r="CZ14" s="31"/>
      <c r="DA14" s="31"/>
      <c r="DG14" s="31"/>
      <c r="DH14" s="31"/>
      <c r="DN14" s="31"/>
      <c r="DO14" s="31"/>
      <c r="DQ14" t="s">
        <v>2069</v>
      </c>
      <c r="DR14" t="s">
        <v>225</v>
      </c>
      <c r="DS14" t="s">
        <v>2070</v>
      </c>
      <c r="DT14" s="29" t="s">
        <v>214</v>
      </c>
      <c r="DU14" t="s">
        <v>991</v>
      </c>
      <c r="DV14" t="s">
        <v>622</v>
      </c>
      <c r="DW14" t="s">
        <v>173</v>
      </c>
      <c r="DX14" t="s">
        <v>170</v>
      </c>
      <c r="DY14" t="s">
        <v>171</v>
      </c>
      <c r="DZ14" s="22">
        <v>43073.921863425923</v>
      </c>
      <c r="EA14" t="s">
        <v>1284</v>
      </c>
      <c r="EB14" t="s">
        <v>2093</v>
      </c>
    </row>
    <row r="15" spans="1:132" x14ac:dyDescent="0.4">
      <c r="A15" s="30"/>
      <c r="B15" s="22">
        <v>42933.713888888888</v>
      </c>
      <c r="C15" s="22" t="s">
        <v>256</v>
      </c>
      <c r="D15" s="30" t="s">
        <v>222</v>
      </c>
      <c r="E15" s="30" t="s">
        <v>405</v>
      </c>
      <c r="F15" s="30" t="s">
        <v>172</v>
      </c>
      <c r="G15" s="30" t="s">
        <v>174</v>
      </c>
      <c r="H15" t="s">
        <v>94</v>
      </c>
      <c r="I15" t="s">
        <v>404</v>
      </c>
      <c r="J15" t="s">
        <v>406</v>
      </c>
      <c r="L15">
        <v>1</v>
      </c>
      <c r="M15" s="26">
        <v>2.0299999999999998</v>
      </c>
      <c r="N15" t="s">
        <v>213</v>
      </c>
      <c r="Q15" s="29" t="s">
        <v>13</v>
      </c>
      <c r="R15" s="29" t="str">
        <f>IFERROR(MID(RADataTable[[#This Row],[RAtemplate]],1,LEN(RADataTable[[#This Row],[RAtemplate]])-8),"RA") &amp; " " &amp; RADataTable[[#This Row],[prop_id0]] &amp; " " &amp; RADataTable[[#This Row],[last0]]</f>
        <v>RA 1749563 Del Pia</v>
      </c>
      <c r="U15" s="21" t="str">
        <f>IF(signer1="PD",IF(ISBLANK(RADataTable[[#This Row],[sign_blck_name]]),"",RADataTable[[#This Row],[sign_blck_name]]),IF(ISBLANK(signer1),"",signer1))</f>
        <v>Jack Snoeyink</v>
      </c>
      <c r="V15" s="29" t="str">
        <f t="shared" si="0"/>
        <v>Cognisant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delpia@wisc.edu</v>
      </c>
      <c r="Y15" s="15" t="str">
        <f>HYPERLINK("mailto:"&amp;RADataTable[[#This Row],[allPIemail]]&amp;"&amp;subject=NSF Proposal:  "&amp;RADataTable[[#This Row],[Div]]&amp;" "&amp;RADataTable[[#This Row],[prop_id0]], "PIs@")</f>
        <v>PIs@</v>
      </c>
      <c r="Z15" t="s">
        <v>224</v>
      </c>
      <c r="AA15" t="s">
        <v>357</v>
      </c>
      <c r="AB15">
        <v>4</v>
      </c>
      <c r="AC15">
        <v>4</v>
      </c>
      <c r="AD15"/>
      <c r="AE15" s="21">
        <v>6</v>
      </c>
      <c r="AF15" s="26">
        <v>7</v>
      </c>
      <c r="AG15">
        <v>8</v>
      </c>
      <c r="AH15" t="s">
        <v>432</v>
      </c>
      <c r="AI15" s="30">
        <v>43031.584027777775</v>
      </c>
      <c r="AJ15" s="13">
        <v>500000</v>
      </c>
      <c r="AK15" s="13">
        <v>500000</v>
      </c>
      <c r="AL15">
        <v>0</v>
      </c>
      <c r="AM15" s="30">
        <v>43344</v>
      </c>
      <c r="AN15" s="21">
        <v>60</v>
      </c>
      <c r="AO15" s="21" t="s">
        <v>433</v>
      </c>
      <c r="AR15" s="30"/>
      <c r="AS15" t="s">
        <v>616</v>
      </c>
      <c r="AT15" s="21" t="s">
        <v>212</v>
      </c>
      <c r="AU15" s="21">
        <v>3</v>
      </c>
      <c r="AV15" s="21" t="s">
        <v>618</v>
      </c>
      <c r="AW15" s="30">
        <v>43032</v>
      </c>
      <c r="AX15" s="21" t="s">
        <v>629</v>
      </c>
      <c r="AY15" s="21" t="s">
        <v>620</v>
      </c>
      <c r="AZ15" s="21">
        <v>14</v>
      </c>
      <c r="BA15" s="21">
        <v>0</v>
      </c>
      <c r="BF15" s="30"/>
      <c r="BI15" s="21">
        <v>14</v>
      </c>
      <c r="BJ15" s="21">
        <v>0</v>
      </c>
      <c r="BO15" s="30"/>
      <c r="BR15" s="21">
        <v>14</v>
      </c>
      <c r="BS15" s="21">
        <v>0</v>
      </c>
      <c r="BT15" t="s">
        <v>357</v>
      </c>
      <c r="BU15" s="21" t="s">
        <v>429</v>
      </c>
      <c r="BV15" s="21" t="s">
        <v>430</v>
      </c>
      <c r="BW15" s="21" t="s">
        <v>261</v>
      </c>
      <c r="BX15" s="31">
        <v>500000</v>
      </c>
      <c r="BY15" s="31">
        <v>500000</v>
      </c>
      <c r="BZ15" t="s">
        <v>411</v>
      </c>
      <c r="CE15" s="31"/>
      <c r="CF15" s="31"/>
      <c r="CL15" s="31"/>
      <c r="CM15" s="31"/>
      <c r="CS15" s="31"/>
      <c r="CT15" s="31"/>
      <c r="CZ15" s="31"/>
      <c r="DA15" s="31"/>
      <c r="DG15" s="31"/>
      <c r="DH15" s="31"/>
      <c r="DN15" s="31"/>
      <c r="DO15" s="31"/>
      <c r="DQ15" t="s">
        <v>260</v>
      </c>
      <c r="DR15" t="s">
        <v>225</v>
      </c>
      <c r="DS15" t="s">
        <v>621</v>
      </c>
      <c r="DT15" s="29" t="s">
        <v>214</v>
      </c>
      <c r="DU15" t="s">
        <v>175</v>
      </c>
      <c r="DV15" t="s">
        <v>622</v>
      </c>
      <c r="DW15" t="s">
        <v>173</v>
      </c>
      <c r="DX15" t="s">
        <v>170</v>
      </c>
      <c r="DY15" t="s">
        <v>171</v>
      </c>
      <c r="DZ15" s="22">
        <v>43073.921863425923</v>
      </c>
      <c r="EA15" t="s">
        <v>431</v>
      </c>
      <c r="EB15" t="s">
        <v>630</v>
      </c>
    </row>
    <row r="16" spans="1:132" x14ac:dyDescent="0.4">
      <c r="A16" s="30"/>
      <c r="B16" s="22">
        <v>42935.387499999997</v>
      </c>
      <c r="C16" s="22" t="s">
        <v>256</v>
      </c>
      <c r="D16" s="30" t="s">
        <v>222</v>
      </c>
      <c r="E16" s="30" t="s">
        <v>405</v>
      </c>
      <c r="F16" s="30" t="s">
        <v>172</v>
      </c>
      <c r="G16" s="30" t="s">
        <v>174</v>
      </c>
      <c r="H16" t="s">
        <v>94</v>
      </c>
      <c r="I16" t="s">
        <v>404</v>
      </c>
      <c r="J16" t="s">
        <v>422</v>
      </c>
      <c r="L16">
        <v>1</v>
      </c>
      <c r="M16" s="26">
        <v>2.0299999999999998</v>
      </c>
      <c r="N16" t="s">
        <v>213</v>
      </c>
      <c r="Q16" s="29" t="s">
        <v>13</v>
      </c>
      <c r="R16" s="29" t="str">
        <f>IFERROR(MID(RADataTable[[#This Row],[RAtemplate]],1,LEN(RADataTable[[#This Row],[RAtemplate]])-8),"RA") &amp; " " &amp; RADataTable[[#This Row],[prop_id0]] &amp; " " &amp; RADataTable[[#This Row],[last0]]</f>
        <v>RA 1750140 Panigrahi</v>
      </c>
      <c r="U16" s="21" t="str">
        <f>IF(signer1="PD",IF(ISBLANK(RADataTable[[#This Row],[sign_blck_name]]),"",RADataTable[[#This Row],[sign_blck_name]]),IF(ISBLANK(signer1),"",signer1))</f>
        <v>Rahul Shah</v>
      </c>
      <c r="V16" s="29" t="str">
        <f t="shared" si="0"/>
        <v>Cognisant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debmalya.panigrahi@gmail.com</v>
      </c>
      <c r="Y16" s="15" t="str">
        <f>HYPERLINK("mailto:"&amp;RADataTable[[#This Row],[allPIemail]]&amp;"&amp;subject=NSF Proposal:  "&amp;RADataTable[[#This Row],[Div]]&amp;" "&amp;RADataTable[[#This Row],[prop_id0]], "PIs@")</f>
        <v>PIs@</v>
      </c>
      <c r="Z16" t="s">
        <v>224</v>
      </c>
      <c r="AA16" t="s">
        <v>367</v>
      </c>
      <c r="AB16">
        <v>4</v>
      </c>
      <c r="AC16">
        <v>4</v>
      </c>
      <c r="AD16"/>
      <c r="AE16" s="21">
        <v>7</v>
      </c>
      <c r="AF16" s="26">
        <v>7.75</v>
      </c>
      <c r="AG16">
        <v>9</v>
      </c>
      <c r="AH16" t="s">
        <v>271</v>
      </c>
      <c r="AI16" s="30">
        <v>43032.520138888889</v>
      </c>
      <c r="AJ16" s="13">
        <v>602288</v>
      </c>
      <c r="AK16" s="13">
        <v>602288</v>
      </c>
      <c r="AL16">
        <v>0</v>
      </c>
      <c r="AM16" s="30">
        <v>43160</v>
      </c>
      <c r="AN16" s="21">
        <v>60</v>
      </c>
      <c r="AO16" s="21" t="s">
        <v>493</v>
      </c>
      <c r="AR16" s="30"/>
      <c r="AS16" t="s">
        <v>616</v>
      </c>
      <c r="AT16" s="21" t="s">
        <v>212</v>
      </c>
      <c r="AU16" s="21">
        <v>3</v>
      </c>
      <c r="AV16" s="21" t="s">
        <v>618</v>
      </c>
      <c r="AW16" s="30">
        <v>43032</v>
      </c>
      <c r="AX16" s="21" t="s">
        <v>272</v>
      </c>
      <c r="AY16" s="21" t="s">
        <v>620</v>
      </c>
      <c r="AZ16" s="21">
        <v>14</v>
      </c>
      <c r="BA16" s="21">
        <v>2</v>
      </c>
      <c r="BF16" s="30"/>
      <c r="BI16" s="21">
        <v>14</v>
      </c>
      <c r="BJ16" s="21">
        <v>2</v>
      </c>
      <c r="BO16" s="30"/>
      <c r="BR16" s="21">
        <v>14</v>
      </c>
      <c r="BS16" s="21">
        <v>2</v>
      </c>
      <c r="BT16" t="s">
        <v>367</v>
      </c>
      <c r="BU16" s="21" t="s">
        <v>488</v>
      </c>
      <c r="BV16" s="21" t="s">
        <v>489</v>
      </c>
      <c r="BW16" s="21" t="s">
        <v>490</v>
      </c>
      <c r="BX16" s="31">
        <v>602288</v>
      </c>
      <c r="BY16" s="31">
        <v>602288</v>
      </c>
      <c r="BZ16" t="s">
        <v>411</v>
      </c>
      <c r="CE16" s="31"/>
      <c r="CF16" s="31"/>
      <c r="CL16" s="31"/>
      <c r="CM16" s="31"/>
      <c r="CS16" s="31"/>
      <c r="CT16" s="31"/>
      <c r="CZ16" s="31"/>
      <c r="DA16" s="31"/>
      <c r="DG16" s="31"/>
      <c r="DH16" s="31"/>
      <c r="DN16" s="31"/>
      <c r="DO16" s="31"/>
      <c r="DQ16" t="s">
        <v>260</v>
      </c>
      <c r="DR16" t="s">
        <v>225</v>
      </c>
      <c r="DS16" t="s">
        <v>621</v>
      </c>
      <c r="DT16" s="29" t="s">
        <v>627</v>
      </c>
      <c r="DU16" t="s">
        <v>175</v>
      </c>
      <c r="DV16" t="s">
        <v>622</v>
      </c>
      <c r="DW16" t="s">
        <v>173</v>
      </c>
      <c r="DX16" t="s">
        <v>170</v>
      </c>
      <c r="DY16" t="s">
        <v>171</v>
      </c>
      <c r="DZ16" s="22">
        <v>43073.921863425923</v>
      </c>
      <c r="EA16" t="s">
        <v>492</v>
      </c>
      <c r="EB16" t="s">
        <v>650</v>
      </c>
    </row>
    <row r="17" spans="1:132" x14ac:dyDescent="0.4">
      <c r="A17" s="30"/>
      <c r="B17" s="22">
        <v>42956.746527777781</v>
      </c>
      <c r="C17" s="22" t="s">
        <v>549</v>
      </c>
      <c r="D17" s="30" t="s">
        <v>222</v>
      </c>
      <c r="E17" s="30" t="s">
        <v>550</v>
      </c>
      <c r="F17" s="30" t="s">
        <v>172</v>
      </c>
      <c r="G17" s="30" t="s">
        <v>174</v>
      </c>
      <c r="H17" t="s">
        <v>94</v>
      </c>
      <c r="I17" t="s">
        <v>548</v>
      </c>
      <c r="J17" t="s">
        <v>422</v>
      </c>
      <c r="L17">
        <v>1</v>
      </c>
      <c r="M17" s="26">
        <v>2.0299999999999998</v>
      </c>
      <c r="N17" t="s">
        <v>213</v>
      </c>
      <c r="Q17" s="29" t="s">
        <v>13</v>
      </c>
      <c r="R17" s="29" t="str">
        <f>IFERROR(MID(RADataTable[[#This Row],[RAtemplate]],1,LEN(RADataTable[[#This Row],[RAtemplate]])-8),"RA") &amp; " " &amp; RADataTable[[#This Row],[prop_id0]] &amp; " " &amp; RADataTable[[#This Row],[last0]]</f>
        <v>RA 1756014 Chen</v>
      </c>
      <c r="U17" s="21" t="str">
        <f>IF(signer1="PD",IF(ISBLANK(RADataTable[[#This Row],[sign_blck_name]]),"",RADataTable[[#This Row],[sign_blck_name]]),IF(ISBLANK(signer1),"",signer1))</f>
        <v>Rahul Shah</v>
      </c>
      <c r="V17" s="29" t="str">
        <f t="shared" si="0"/>
        <v>Cognisant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lchen49@central.uh.edu</v>
      </c>
      <c r="Y17" s="15" t="str">
        <f>HYPERLINK("mailto:"&amp;RADataTable[[#This Row],[allPIemail]]&amp;"&amp;subject=NSF Proposal:  "&amp;RADataTable[[#This Row],[Div]]&amp;" "&amp;RADataTable[[#This Row],[prop_id0]], "PIs@")</f>
        <v>PIs@</v>
      </c>
      <c r="Z17" t="s">
        <v>224</v>
      </c>
      <c r="AA17" t="s">
        <v>384</v>
      </c>
      <c r="AB17">
        <v>3</v>
      </c>
      <c r="AC17">
        <v>3</v>
      </c>
      <c r="AD17"/>
      <c r="AE17" s="21">
        <v>5</v>
      </c>
      <c r="AF17" s="26">
        <v>6</v>
      </c>
      <c r="AG17">
        <v>7</v>
      </c>
      <c r="AH17" t="s">
        <v>598</v>
      </c>
      <c r="AI17" s="30">
        <v>43031.734027777777</v>
      </c>
      <c r="AJ17" s="13">
        <v>148477</v>
      </c>
      <c r="AK17" s="13">
        <v>148477</v>
      </c>
      <c r="AL17">
        <v>0</v>
      </c>
      <c r="AM17" s="30">
        <v>43252</v>
      </c>
      <c r="AN17" s="21">
        <v>24</v>
      </c>
      <c r="AO17" s="21" t="s">
        <v>599</v>
      </c>
      <c r="AR17" s="30"/>
      <c r="AS17" t="s">
        <v>616</v>
      </c>
      <c r="AT17" s="21" t="s">
        <v>212</v>
      </c>
      <c r="AU17" s="21">
        <v>3</v>
      </c>
      <c r="AV17" s="21" t="s">
        <v>618</v>
      </c>
      <c r="AW17" s="30">
        <v>43032</v>
      </c>
      <c r="AX17" s="21" t="s">
        <v>682</v>
      </c>
      <c r="AY17" s="21" t="s">
        <v>620</v>
      </c>
      <c r="AZ17" s="21">
        <v>14</v>
      </c>
      <c r="BA17" s="21">
        <v>0</v>
      </c>
      <c r="BF17" s="30"/>
      <c r="BI17" s="21">
        <v>14</v>
      </c>
      <c r="BJ17" s="21">
        <v>0</v>
      </c>
      <c r="BO17" s="30"/>
      <c r="BR17" s="21">
        <v>14</v>
      </c>
      <c r="BS17" s="21">
        <v>0</v>
      </c>
      <c r="BT17" t="s">
        <v>384</v>
      </c>
      <c r="BU17" s="21" t="s">
        <v>266</v>
      </c>
      <c r="BV17" s="21" t="s">
        <v>595</v>
      </c>
      <c r="BW17" s="21" t="s">
        <v>596</v>
      </c>
      <c r="BX17" s="31">
        <v>148477</v>
      </c>
      <c r="BY17" s="31">
        <v>148477</v>
      </c>
      <c r="BZ17" t="s">
        <v>554</v>
      </c>
      <c r="CE17" s="31"/>
      <c r="CF17" s="31"/>
      <c r="CL17" s="31"/>
      <c r="CM17" s="31"/>
      <c r="CS17" s="31"/>
      <c r="CT17" s="31"/>
      <c r="CZ17" s="31"/>
      <c r="DA17" s="31"/>
      <c r="DG17" s="31"/>
      <c r="DH17" s="31"/>
      <c r="DN17" s="31"/>
      <c r="DO17" s="31"/>
      <c r="DQ17" t="s">
        <v>667</v>
      </c>
      <c r="DR17" t="s">
        <v>225</v>
      </c>
      <c r="DS17" t="s">
        <v>668</v>
      </c>
      <c r="DT17" s="29" t="s">
        <v>627</v>
      </c>
      <c r="DU17" t="s">
        <v>175</v>
      </c>
      <c r="DV17" t="s">
        <v>622</v>
      </c>
      <c r="DW17" t="s">
        <v>173</v>
      </c>
      <c r="DX17" t="s">
        <v>170</v>
      </c>
      <c r="DY17" t="s">
        <v>171</v>
      </c>
      <c r="DZ17" s="22">
        <v>43073.921863425923</v>
      </c>
      <c r="EA17" t="s">
        <v>597</v>
      </c>
      <c r="EB17" t="s">
        <v>683</v>
      </c>
    </row>
    <row r="18" spans="1:132" x14ac:dyDescent="0.4">
      <c r="A18" s="30">
        <v>42724.644189814811</v>
      </c>
      <c r="B18" s="22">
        <v>42571.734027777777</v>
      </c>
      <c r="C18" s="22" t="s">
        <v>975</v>
      </c>
      <c r="D18" s="30" t="s">
        <v>222</v>
      </c>
      <c r="E18" s="30" t="s">
        <v>405</v>
      </c>
      <c r="F18" s="30" t="s">
        <v>172</v>
      </c>
      <c r="G18" s="30" t="s">
        <v>992</v>
      </c>
      <c r="H18" t="s">
        <v>94</v>
      </c>
      <c r="I18" t="s">
        <v>974</v>
      </c>
      <c r="J18" t="s">
        <v>451</v>
      </c>
      <c r="K18" s="22">
        <v>42719.660844907405</v>
      </c>
      <c r="L18">
        <v>1</v>
      </c>
      <c r="M18" s="26">
        <v>2.04</v>
      </c>
      <c r="N18" t="s">
        <v>213</v>
      </c>
      <c r="Q18" s="29" t="s">
        <v>13</v>
      </c>
      <c r="R18" s="29" t="str">
        <f>IFERROR(MID(RADataTable[[#This Row],[RAtemplate]],1,LEN(RADataTable[[#This Row],[RAtemplate]])-8),"RA") &amp; " " &amp; RADataTable[[#This Row],[prop_id0]] &amp; " " &amp; RADataTable[[#This Row],[last0]]</f>
        <v>RA 1652862 Diakonikolas</v>
      </c>
      <c r="U18" s="21" t="str">
        <f>IF(signer1="PD",IF(ISBLANK(RADataTable[[#This Row],[sign_blck_name]]),"",RADataTable[[#This Row],[sign_blck_name]]),IF(ISBLANK(signer1),"",signer1))</f>
        <v>Tracy J. Kimbrel</v>
      </c>
      <c r="V18" s="29" t="str">
        <f t="shared" si="0"/>
        <v>Cognisant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diakonik@usc.edu</v>
      </c>
      <c r="Y18" s="15" t="str">
        <f>HYPERLINK("mailto:"&amp;RADataTable[[#This Row],[allPIemail]]&amp;"&amp;subject=NSF Proposal:  "&amp;RADataTable[[#This Row],[Div]]&amp;" "&amp;RADataTable[[#This Row],[prop_id0]], "PIs@")</f>
        <v>PIs@</v>
      </c>
      <c r="Z18" t="s">
        <v>224</v>
      </c>
      <c r="AA18" t="s">
        <v>1108</v>
      </c>
      <c r="AB18">
        <v>4</v>
      </c>
      <c r="AD18"/>
      <c r="AE18" s="21">
        <v>6</v>
      </c>
      <c r="AF18" s="26">
        <v>7.5</v>
      </c>
      <c r="AG18">
        <v>9</v>
      </c>
      <c r="AH18" t="s">
        <v>984</v>
      </c>
      <c r="AI18" s="30">
        <v>42660.40902777778</v>
      </c>
      <c r="AJ18" s="13">
        <v>601594</v>
      </c>
      <c r="AK18" s="13">
        <v>540000</v>
      </c>
      <c r="AL18">
        <v>1</v>
      </c>
      <c r="AM18" s="30">
        <v>42767</v>
      </c>
      <c r="AN18" s="21">
        <v>60</v>
      </c>
      <c r="AO18" s="21" t="s">
        <v>1113</v>
      </c>
      <c r="AP18">
        <v>1</v>
      </c>
      <c r="AQ18" t="s">
        <v>2015</v>
      </c>
      <c r="AR18" s="30">
        <v>42651.351388888892</v>
      </c>
      <c r="AS18" t="s">
        <v>1425</v>
      </c>
      <c r="AT18" s="21" t="s">
        <v>212</v>
      </c>
      <c r="AU18" s="21">
        <v>4</v>
      </c>
      <c r="AV18" s="21" t="s">
        <v>2008</v>
      </c>
      <c r="AW18" s="30">
        <v>42661</v>
      </c>
      <c r="AX18" s="21" t="s">
        <v>2051</v>
      </c>
      <c r="AY18" s="21" t="s">
        <v>2010</v>
      </c>
      <c r="AZ18" s="21">
        <v>12</v>
      </c>
      <c r="BA18" s="21">
        <v>1</v>
      </c>
      <c r="BF18" s="30"/>
      <c r="BI18" s="21">
        <v>12</v>
      </c>
      <c r="BJ18" s="21">
        <v>1</v>
      </c>
      <c r="BO18" s="30"/>
      <c r="BR18" s="21">
        <v>12</v>
      </c>
      <c r="BS18" s="21">
        <v>1</v>
      </c>
      <c r="BT18" t="s">
        <v>1108</v>
      </c>
      <c r="BU18" s="21" t="s">
        <v>1109</v>
      </c>
      <c r="BV18" s="21" t="s">
        <v>1110</v>
      </c>
      <c r="BW18" s="21" t="s">
        <v>1111</v>
      </c>
      <c r="BX18" s="31">
        <v>601594</v>
      </c>
      <c r="BY18" s="31">
        <v>540000</v>
      </c>
      <c r="BZ18" t="s">
        <v>411</v>
      </c>
      <c r="CE18" s="31"/>
      <c r="CF18" s="31"/>
      <c r="CL18" s="31"/>
      <c r="CM18" s="31"/>
      <c r="CS18" s="31"/>
      <c r="CT18" s="31"/>
      <c r="CZ18" s="31"/>
      <c r="DA18" s="31"/>
      <c r="DG18" s="31"/>
      <c r="DH18" s="31"/>
      <c r="DN18" s="31"/>
      <c r="DO18" s="31"/>
      <c r="DQ18" t="s">
        <v>260</v>
      </c>
      <c r="DR18" t="s">
        <v>225</v>
      </c>
      <c r="DS18" t="s">
        <v>621</v>
      </c>
      <c r="DT18" s="29" t="s">
        <v>638</v>
      </c>
      <c r="DU18" t="s">
        <v>991</v>
      </c>
      <c r="DV18" t="s">
        <v>622</v>
      </c>
      <c r="DW18" t="s">
        <v>173</v>
      </c>
      <c r="DX18" t="s">
        <v>170</v>
      </c>
      <c r="DY18" t="s">
        <v>171</v>
      </c>
      <c r="DZ18" s="22">
        <v>43073.921863425923</v>
      </c>
      <c r="EA18" t="s">
        <v>1112</v>
      </c>
      <c r="EB18" t="s">
        <v>2052</v>
      </c>
    </row>
    <row r="19" spans="1:132" x14ac:dyDescent="0.4">
      <c r="A19" s="30">
        <v>42802.699930555558</v>
      </c>
      <c r="B19" s="22">
        <v>42571.640972222223</v>
      </c>
      <c r="C19" s="22" t="s">
        <v>975</v>
      </c>
      <c r="D19" s="30" t="s">
        <v>222</v>
      </c>
      <c r="E19" s="30" t="s">
        <v>405</v>
      </c>
      <c r="F19" s="30" t="s">
        <v>172</v>
      </c>
      <c r="G19" s="30" t="s">
        <v>992</v>
      </c>
      <c r="H19" t="s">
        <v>94</v>
      </c>
      <c r="I19" t="s">
        <v>974</v>
      </c>
      <c r="J19" t="s">
        <v>451</v>
      </c>
      <c r="K19" s="22">
        <v>42762.498981481483</v>
      </c>
      <c r="L19">
        <v>1</v>
      </c>
      <c r="M19" s="26">
        <v>2.0499999999999998</v>
      </c>
      <c r="N19" t="s">
        <v>213</v>
      </c>
      <c r="Q19" s="29" t="s">
        <v>13</v>
      </c>
      <c r="R19" s="29" t="str">
        <f>IFERROR(MID(RADataTable[[#This Row],[RAtemplate]],1,LEN(RADataTable[[#This Row],[RAtemplate]])-8),"RA") &amp; " " &amp; RADataTable[[#This Row],[prop_id0]] &amp; " " &amp; RADataTable[[#This Row],[last0]]</f>
        <v>RA 1652491 Vijayaraghavan</v>
      </c>
      <c r="U19" s="21" t="str">
        <f>IF(signer1="PD",IF(ISBLANK(RADataTable[[#This Row],[sign_blck_name]]),"",RADataTable[[#This Row],[sign_blck_name]]),IF(ISBLANK(signer1),"",signer1))</f>
        <v>Tracy J. Kimbrel</v>
      </c>
      <c r="V19" s="29" t="str">
        <f t="shared" si="0"/>
        <v>Cognisant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aravindv@northwestern.edu</v>
      </c>
      <c r="Y19" s="15" t="str">
        <f>HYPERLINK("mailto:"&amp;RADataTable[[#This Row],[allPIemail]]&amp;"&amp;subject=NSF Proposal:  "&amp;RADataTable[[#This Row],[Div]]&amp;" "&amp;RADataTable[[#This Row],[prop_id0]], "PIs@")</f>
        <v>PIs@</v>
      </c>
      <c r="Z19" t="s">
        <v>224</v>
      </c>
      <c r="AA19" t="s">
        <v>1085</v>
      </c>
      <c r="AB19">
        <v>4</v>
      </c>
      <c r="AD19"/>
      <c r="AE19" s="21">
        <v>7</v>
      </c>
      <c r="AF19" s="26">
        <v>7.5</v>
      </c>
      <c r="AG19">
        <v>8</v>
      </c>
      <c r="AH19" t="s">
        <v>989</v>
      </c>
      <c r="AI19" s="30">
        <v>42660.586111111108</v>
      </c>
      <c r="AJ19" s="13">
        <v>505251</v>
      </c>
      <c r="AK19" s="13">
        <v>505251</v>
      </c>
      <c r="AL19">
        <v>0</v>
      </c>
      <c r="AM19" s="30">
        <v>42736</v>
      </c>
      <c r="AN19" s="21">
        <v>60</v>
      </c>
      <c r="AO19" s="21" t="s">
        <v>1089</v>
      </c>
      <c r="AP19">
        <v>1</v>
      </c>
      <c r="AQ19" t="s">
        <v>2015</v>
      </c>
      <c r="AR19" s="30">
        <v>42650.038888888892</v>
      </c>
      <c r="AS19" t="s">
        <v>1425</v>
      </c>
      <c r="AT19" s="21" t="s">
        <v>212</v>
      </c>
      <c r="AU19" s="21">
        <v>5</v>
      </c>
      <c r="AV19" s="21" t="s">
        <v>2008</v>
      </c>
      <c r="AW19" s="30">
        <v>42661</v>
      </c>
      <c r="AX19" s="21" t="s">
        <v>2043</v>
      </c>
      <c r="AY19" s="21" t="s">
        <v>2010</v>
      </c>
      <c r="AZ19" s="21">
        <v>12</v>
      </c>
      <c r="BA19" s="21">
        <v>0</v>
      </c>
      <c r="BF19" s="30"/>
      <c r="BI19" s="21">
        <v>12</v>
      </c>
      <c r="BJ19" s="21">
        <v>0</v>
      </c>
      <c r="BO19" s="30"/>
      <c r="BR19" s="21">
        <v>12</v>
      </c>
      <c r="BS19" s="21">
        <v>0</v>
      </c>
      <c r="BT19" t="s">
        <v>1085</v>
      </c>
      <c r="BU19" s="21" t="s">
        <v>1086</v>
      </c>
      <c r="BV19" s="21" t="s">
        <v>1087</v>
      </c>
      <c r="BW19" s="21" t="s">
        <v>1060</v>
      </c>
      <c r="BX19" s="31">
        <v>505251</v>
      </c>
      <c r="BY19" s="31">
        <v>505251</v>
      </c>
      <c r="BZ19" t="s">
        <v>411</v>
      </c>
      <c r="CE19" s="31"/>
      <c r="CF19" s="31"/>
      <c r="CL19" s="31"/>
      <c r="CM19" s="31"/>
      <c r="CS19" s="31"/>
      <c r="CT19" s="31"/>
      <c r="CZ19" s="31"/>
      <c r="DA19" s="31"/>
      <c r="DG19" s="31"/>
      <c r="DH19" s="31"/>
      <c r="DN19" s="31"/>
      <c r="DO19" s="31"/>
      <c r="DQ19" t="s">
        <v>260</v>
      </c>
      <c r="DR19" t="s">
        <v>225</v>
      </c>
      <c r="DS19" t="s">
        <v>621</v>
      </c>
      <c r="DT19" s="29" t="s">
        <v>638</v>
      </c>
      <c r="DU19" t="s">
        <v>991</v>
      </c>
      <c r="DV19" t="s">
        <v>622</v>
      </c>
      <c r="DW19" t="s">
        <v>173</v>
      </c>
      <c r="DX19" t="s">
        <v>170</v>
      </c>
      <c r="DY19" t="s">
        <v>171</v>
      </c>
      <c r="DZ19" s="22">
        <v>43073.921863425923</v>
      </c>
      <c r="EA19" t="s">
        <v>1088</v>
      </c>
      <c r="EB19" t="s">
        <v>2044</v>
      </c>
    </row>
    <row r="20" spans="1:132" x14ac:dyDescent="0.4">
      <c r="A20" s="30"/>
      <c r="B20" s="22">
        <v>42935.374305555553</v>
      </c>
      <c r="C20" s="22" t="s">
        <v>256</v>
      </c>
      <c r="D20" s="30" t="s">
        <v>222</v>
      </c>
      <c r="E20" s="30" t="s">
        <v>405</v>
      </c>
      <c r="F20" s="30" t="s">
        <v>172</v>
      </c>
      <c r="G20" s="30" t="s">
        <v>174</v>
      </c>
      <c r="H20" t="s">
        <v>94</v>
      </c>
      <c r="I20" t="s">
        <v>404</v>
      </c>
      <c r="J20" t="s">
        <v>422</v>
      </c>
      <c r="L20">
        <v>1</v>
      </c>
      <c r="M20" s="26">
        <v>2.0499999999999998</v>
      </c>
      <c r="N20" t="s">
        <v>213</v>
      </c>
      <c r="Q20" s="29" t="s">
        <v>13</v>
      </c>
      <c r="R20" s="29" t="str">
        <f>IFERROR(MID(RADataTable[[#This Row],[RAtemplate]],1,LEN(RADataTable[[#This Row],[RAtemplate]])-8),"RA") &amp; " " &amp; RADataTable[[#This Row],[prop_id0]] &amp; " " &amp; RADataTable[[#This Row],[last0]]</f>
        <v>RA 1750127 Nagarajan</v>
      </c>
      <c r="U20" s="21" t="str">
        <f>IF(signer1="PD",IF(ISBLANK(RADataTable[[#This Row],[sign_blck_name]]),"",RADataTable[[#This Row],[sign_blck_name]]),IF(ISBLANK(signer1),"",signer1))</f>
        <v>Rahul Shah</v>
      </c>
      <c r="V20" s="29" t="str">
        <f t="shared" si="0"/>
        <v>Cognisant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viswa@umich.edu</v>
      </c>
      <c r="Y20" s="15" t="str">
        <f>HYPERLINK("mailto:"&amp;RADataTable[[#This Row],[allPIemail]]&amp;"&amp;subject=NSF Proposal:  "&amp;RADataTable[[#This Row],[Div]]&amp;" "&amp;RADataTable[[#This Row],[prop_id0]], "PIs@")</f>
        <v>PIs@</v>
      </c>
      <c r="Z20" t="s">
        <v>224</v>
      </c>
      <c r="AA20" t="s">
        <v>366</v>
      </c>
      <c r="AB20">
        <v>4</v>
      </c>
      <c r="AC20">
        <v>4</v>
      </c>
      <c r="AD20"/>
      <c r="AE20" s="21">
        <v>5</v>
      </c>
      <c r="AF20" s="26">
        <v>7</v>
      </c>
      <c r="AG20">
        <v>9</v>
      </c>
      <c r="AH20" t="s">
        <v>486</v>
      </c>
      <c r="AI20" s="30">
        <v>43032.519444444442</v>
      </c>
      <c r="AJ20" s="13">
        <v>524840</v>
      </c>
      <c r="AK20" s="13">
        <v>524840</v>
      </c>
      <c r="AL20">
        <v>0</v>
      </c>
      <c r="AM20" s="30">
        <v>43221</v>
      </c>
      <c r="AN20" s="21">
        <v>60</v>
      </c>
      <c r="AO20" s="21" t="s">
        <v>487</v>
      </c>
      <c r="AR20" s="30"/>
      <c r="AS20" t="s">
        <v>616</v>
      </c>
      <c r="AT20" s="21" t="s">
        <v>212</v>
      </c>
      <c r="AU20" s="21">
        <v>5</v>
      </c>
      <c r="AV20" s="21" t="s">
        <v>618</v>
      </c>
      <c r="AW20" s="30">
        <v>43032</v>
      </c>
      <c r="AX20" s="21" t="s">
        <v>648</v>
      </c>
      <c r="AY20" s="21" t="s">
        <v>620</v>
      </c>
      <c r="AZ20" s="21">
        <v>14</v>
      </c>
      <c r="BA20" s="21">
        <v>0</v>
      </c>
      <c r="BF20" s="30"/>
      <c r="BI20" s="21">
        <v>14</v>
      </c>
      <c r="BJ20" s="21">
        <v>0</v>
      </c>
      <c r="BO20" s="30"/>
      <c r="BR20" s="21">
        <v>14</v>
      </c>
      <c r="BS20" s="21">
        <v>0</v>
      </c>
      <c r="BT20" t="s">
        <v>366</v>
      </c>
      <c r="BU20" s="21" t="s">
        <v>481</v>
      </c>
      <c r="BV20" s="21" t="s">
        <v>482</v>
      </c>
      <c r="BW20" s="21" t="s">
        <v>483</v>
      </c>
      <c r="BX20" s="31">
        <v>524840</v>
      </c>
      <c r="BY20" s="31">
        <v>524840</v>
      </c>
      <c r="BZ20" t="s">
        <v>265</v>
      </c>
      <c r="CE20" s="31"/>
      <c r="CF20" s="31"/>
      <c r="CL20" s="31"/>
      <c r="CM20" s="31"/>
      <c r="CS20" s="31"/>
      <c r="CT20" s="31"/>
      <c r="CZ20" s="31"/>
      <c r="DA20" s="31"/>
      <c r="DG20" s="31"/>
      <c r="DH20" s="31"/>
      <c r="DN20" s="31"/>
      <c r="DO20" s="31"/>
      <c r="DQ20" t="s">
        <v>260</v>
      </c>
      <c r="DR20" t="s">
        <v>225</v>
      </c>
      <c r="DS20" t="s">
        <v>621</v>
      </c>
      <c r="DT20" s="29" t="s">
        <v>627</v>
      </c>
      <c r="DU20" t="s">
        <v>175</v>
      </c>
      <c r="DV20" t="s">
        <v>622</v>
      </c>
      <c r="DW20" t="s">
        <v>173</v>
      </c>
      <c r="DX20" t="s">
        <v>170</v>
      </c>
      <c r="DY20" t="s">
        <v>171</v>
      </c>
      <c r="DZ20" s="22">
        <v>43073.921863425923</v>
      </c>
      <c r="EA20" t="s">
        <v>485</v>
      </c>
      <c r="EB20" t="s">
        <v>649</v>
      </c>
    </row>
    <row r="21" spans="1:132" x14ac:dyDescent="0.4">
      <c r="A21" s="30">
        <v>42815.626736111109</v>
      </c>
      <c r="B21" s="22">
        <v>42570.777777777781</v>
      </c>
      <c r="C21" s="22" t="s">
        <v>975</v>
      </c>
      <c r="D21" s="30" t="s">
        <v>222</v>
      </c>
      <c r="E21" s="30" t="s">
        <v>405</v>
      </c>
      <c r="F21" s="30" t="s">
        <v>172</v>
      </c>
      <c r="G21" s="30" t="s">
        <v>992</v>
      </c>
      <c r="H21" t="s">
        <v>94</v>
      </c>
      <c r="I21" t="s">
        <v>974</v>
      </c>
      <c r="J21" t="s">
        <v>451</v>
      </c>
      <c r="K21" s="22">
        <v>42800.442499999997</v>
      </c>
      <c r="L21">
        <v>1</v>
      </c>
      <c r="M21" s="26">
        <v>2.06</v>
      </c>
      <c r="N21" t="s">
        <v>213</v>
      </c>
      <c r="Q21" s="29" t="s">
        <v>13</v>
      </c>
      <c r="R21" s="29" t="str">
        <f>IFERROR(MID(RADataTable[[#This Row],[RAtemplate]],1,LEN(RADataTable[[#This Row],[RAtemplate]])-8),"RA") &amp; " " &amp; RADataTable[[#This Row],[prop_id0]] &amp; " " &amp; RADataTable[[#This Row],[last0]]</f>
        <v>RA 1651838 Williams</v>
      </c>
      <c r="U21" s="21" t="str">
        <f>IF(signer1="PD",IF(ISBLANK(RADataTable[[#This Row],[sign_blck_name]]),"",RADataTable[[#This Row],[sign_blck_name]]),IF(ISBLANK(signer1),"",signer1))</f>
        <v>Tracy J. Kimbrel</v>
      </c>
      <c r="V21" s="29" t="str">
        <f t="shared" si="0"/>
        <v>Cognisant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virgi@mit.edu</v>
      </c>
      <c r="Y21" s="15" t="str">
        <f>HYPERLINK("mailto:"&amp;RADataTable[[#This Row],[allPIemail]]&amp;"&amp;subject=NSF Proposal:  "&amp;RADataTable[[#This Row],[Div]]&amp;" "&amp;RADataTable[[#This Row],[prop_id0]], "PIs@")</f>
        <v>PIs@</v>
      </c>
      <c r="Z21" t="s">
        <v>224</v>
      </c>
      <c r="AA21" t="s">
        <v>993</v>
      </c>
      <c r="AB21">
        <v>5</v>
      </c>
      <c r="AD21"/>
      <c r="AE21" s="21">
        <v>1</v>
      </c>
      <c r="AF21" s="26">
        <v>6.6</v>
      </c>
      <c r="AG21">
        <v>9</v>
      </c>
      <c r="AH21" t="s">
        <v>997</v>
      </c>
      <c r="AI21" s="30">
        <v>42660.406944444447</v>
      </c>
      <c r="AJ21" s="13">
        <v>550000</v>
      </c>
      <c r="AK21" s="13">
        <v>400000</v>
      </c>
      <c r="AL21">
        <v>1</v>
      </c>
      <c r="AM21" s="30">
        <v>42767</v>
      </c>
      <c r="AN21" s="21">
        <v>60</v>
      </c>
      <c r="AO21" s="21" t="s">
        <v>998</v>
      </c>
      <c r="AP21">
        <v>2</v>
      </c>
      <c r="AQ21" t="s">
        <v>2017</v>
      </c>
      <c r="AR21" s="30">
        <v>42655.757638888892</v>
      </c>
      <c r="AS21" t="s">
        <v>1425</v>
      </c>
      <c r="AT21" s="21" t="s">
        <v>212</v>
      </c>
      <c r="AU21" s="21">
        <v>6</v>
      </c>
      <c r="AV21" s="21" t="s">
        <v>2008</v>
      </c>
      <c r="AW21" s="30">
        <v>42661</v>
      </c>
      <c r="AX21" s="21" t="s">
        <v>2018</v>
      </c>
      <c r="AY21" s="21" t="s">
        <v>2010</v>
      </c>
      <c r="AZ21" s="21">
        <v>12</v>
      </c>
      <c r="BA21" s="21">
        <v>0</v>
      </c>
      <c r="BF21" s="30"/>
      <c r="BI21" s="21">
        <v>12</v>
      </c>
      <c r="BJ21" s="21">
        <v>0</v>
      </c>
      <c r="BO21" s="30"/>
      <c r="BR21" s="21">
        <v>12</v>
      </c>
      <c r="BS21" s="21">
        <v>0</v>
      </c>
      <c r="BT21" t="s">
        <v>993</v>
      </c>
      <c r="BU21" s="21" t="s">
        <v>994</v>
      </c>
      <c r="BV21" s="21" t="s">
        <v>995</v>
      </c>
      <c r="BW21" s="21" t="s">
        <v>223</v>
      </c>
      <c r="BX21" s="31">
        <v>550000</v>
      </c>
      <c r="BY21" s="31">
        <v>400000</v>
      </c>
      <c r="BZ21" t="s">
        <v>411</v>
      </c>
      <c r="CE21" s="31"/>
      <c r="CF21" s="31"/>
      <c r="CL21" s="31"/>
      <c r="CM21" s="31"/>
      <c r="CS21" s="31"/>
      <c r="CT21" s="31"/>
      <c r="CZ21" s="31"/>
      <c r="DA21" s="31"/>
      <c r="DG21" s="31"/>
      <c r="DH21" s="31"/>
      <c r="DN21" s="31"/>
      <c r="DO21" s="31"/>
      <c r="DQ21" t="s">
        <v>260</v>
      </c>
      <c r="DR21" t="s">
        <v>225</v>
      </c>
      <c r="DS21" t="s">
        <v>621</v>
      </c>
      <c r="DT21" s="29" t="s">
        <v>638</v>
      </c>
      <c r="DU21" t="s">
        <v>991</v>
      </c>
      <c r="DV21" t="s">
        <v>622</v>
      </c>
      <c r="DW21" t="s">
        <v>173</v>
      </c>
      <c r="DX21" t="s">
        <v>170</v>
      </c>
      <c r="DY21" t="s">
        <v>171</v>
      </c>
      <c r="DZ21" s="22">
        <v>43073.921863425923</v>
      </c>
      <c r="EA21" t="s">
        <v>996</v>
      </c>
      <c r="EB21" t="s">
        <v>2019</v>
      </c>
    </row>
    <row r="22" spans="1:132" x14ac:dyDescent="0.4">
      <c r="A22" s="30">
        <v>42934.47079861111</v>
      </c>
      <c r="B22" s="22">
        <v>42809.65902777778</v>
      </c>
      <c r="C22" s="22" t="s">
        <v>1136</v>
      </c>
      <c r="D22" s="30" t="s">
        <v>222</v>
      </c>
      <c r="E22" s="30" t="s">
        <v>1137</v>
      </c>
      <c r="F22" s="30" t="s">
        <v>172</v>
      </c>
      <c r="G22" s="30" t="s">
        <v>976</v>
      </c>
      <c r="H22" t="s">
        <v>94</v>
      </c>
      <c r="I22" t="s">
        <v>1135</v>
      </c>
      <c r="J22" t="s">
        <v>406</v>
      </c>
      <c r="K22" s="22">
        <v>42920.123148148145</v>
      </c>
      <c r="L22">
        <v>1</v>
      </c>
      <c r="M22" s="26">
        <v>2.06</v>
      </c>
      <c r="N22" t="s">
        <v>178</v>
      </c>
      <c r="Q22" s="29" t="s">
        <v>13</v>
      </c>
      <c r="R22" s="29" t="str">
        <f>IFERROR(MID(RADataTable[[#This Row],[RAtemplate]],1,LEN(RADataTable[[#This Row],[RAtemplate]])-8),"RA") &amp; " " &amp; RADataTable[[#This Row],[prop_id0]] &amp; " " &amp; RADataTable[[#This Row],[last0]]</f>
        <v>RA 1740807 Abbe</v>
      </c>
      <c r="U22" s="21" t="str">
        <f>IF(signer1="PD",IF(ISBLANK(RADataTable[[#This Row],[sign_blck_name]]),"",RADataTable[[#This Row],[sign_blck_name]]),IF(ISBLANK(signer1),"",signer1))</f>
        <v>Jack Snoeyink</v>
      </c>
      <c r="V22" s="29" t="str">
        <f t="shared" si="0"/>
        <v>Cognisant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eabbe@princeton.edu</v>
      </c>
      <c r="Y22" s="15" t="str">
        <f>HYPERLINK("mailto:"&amp;RADataTable[[#This Row],[allPIemail]]&amp;"&amp;subject=NSF Proposal:  "&amp;RADataTable[[#This Row],[Div]]&amp;" "&amp;RADataTable[[#This Row],[prop_id0]], "PIs@")</f>
        <v>PIs@</v>
      </c>
      <c r="Z22" t="s">
        <v>224</v>
      </c>
      <c r="AA22" t="s">
        <v>1313</v>
      </c>
      <c r="AB22">
        <v>3</v>
      </c>
      <c r="AD22"/>
      <c r="AE22" s="21">
        <v>6</v>
      </c>
      <c r="AF22" s="26">
        <v>7</v>
      </c>
      <c r="AG22">
        <v>8</v>
      </c>
      <c r="AH22" t="s">
        <v>1226</v>
      </c>
      <c r="AI22" s="30">
        <v>42872.395833333336</v>
      </c>
      <c r="AJ22" s="13">
        <v>1500000</v>
      </c>
      <c r="AK22" s="13">
        <v>1500000</v>
      </c>
      <c r="AL22">
        <v>0</v>
      </c>
      <c r="AM22" s="30">
        <v>42979</v>
      </c>
      <c r="AN22" s="21">
        <v>36</v>
      </c>
      <c r="AO22" s="21" t="s">
        <v>1319</v>
      </c>
      <c r="AR22" s="30"/>
      <c r="AS22" t="s">
        <v>1789</v>
      </c>
      <c r="AT22" s="21" t="s">
        <v>1841</v>
      </c>
      <c r="AU22" s="21">
        <v>6</v>
      </c>
      <c r="AV22" s="21" t="s">
        <v>2067</v>
      </c>
      <c r="AW22" s="30">
        <v>42872</v>
      </c>
      <c r="AX22" s="21" t="s">
        <v>2009</v>
      </c>
      <c r="AY22" s="21" t="s">
        <v>2068</v>
      </c>
      <c r="AZ22" s="21">
        <v>12</v>
      </c>
      <c r="BA22" s="21">
        <v>0</v>
      </c>
      <c r="BF22" s="30"/>
      <c r="BI22" s="21">
        <v>12</v>
      </c>
      <c r="BJ22" s="21">
        <v>0</v>
      </c>
      <c r="BO22" s="30"/>
      <c r="BR22" s="21">
        <v>12</v>
      </c>
      <c r="BS22" s="21">
        <v>0</v>
      </c>
      <c r="BT22" t="s">
        <v>1313</v>
      </c>
      <c r="BU22" s="21" t="s">
        <v>1314</v>
      </c>
      <c r="BV22" s="21" t="s">
        <v>1315</v>
      </c>
      <c r="BW22" s="21" t="s">
        <v>1316</v>
      </c>
      <c r="BX22" s="31">
        <v>1500000</v>
      </c>
      <c r="BY22" s="31">
        <v>1500000</v>
      </c>
      <c r="BZ22" t="s">
        <v>1142</v>
      </c>
      <c r="CE22" s="31"/>
      <c r="CF22" s="31"/>
      <c r="CL22" s="31"/>
      <c r="CM22" s="31"/>
      <c r="CS22" s="31"/>
      <c r="CT22" s="31"/>
      <c r="CZ22" s="31"/>
      <c r="DA22" s="31"/>
      <c r="DG22" s="31"/>
      <c r="DH22" s="31"/>
      <c r="DN22" s="31"/>
      <c r="DO22" s="31"/>
      <c r="DQ22" t="s">
        <v>2069</v>
      </c>
      <c r="DR22" t="s">
        <v>225</v>
      </c>
      <c r="DS22" t="s">
        <v>2070</v>
      </c>
      <c r="DT22" s="29" t="s">
        <v>214</v>
      </c>
      <c r="DU22" t="s">
        <v>973</v>
      </c>
      <c r="DV22" t="s">
        <v>622</v>
      </c>
      <c r="DW22" t="s">
        <v>173</v>
      </c>
      <c r="DX22" t="s">
        <v>170</v>
      </c>
      <c r="DY22" t="s">
        <v>171</v>
      </c>
      <c r="DZ22" s="22">
        <v>43073.921863425923</v>
      </c>
      <c r="EA22" t="s">
        <v>1318</v>
      </c>
      <c r="EB22" t="s">
        <v>2099</v>
      </c>
    </row>
    <row r="23" spans="1:132" x14ac:dyDescent="0.4">
      <c r="A23" s="30"/>
      <c r="B23" s="22">
        <v>42934.524305555555</v>
      </c>
      <c r="C23" s="22" t="s">
        <v>256</v>
      </c>
      <c r="D23" s="30" t="s">
        <v>222</v>
      </c>
      <c r="E23" s="30" t="s">
        <v>405</v>
      </c>
      <c r="F23" s="30" t="s">
        <v>172</v>
      </c>
      <c r="G23" s="30" t="s">
        <v>174</v>
      </c>
      <c r="H23" t="s">
        <v>94</v>
      </c>
      <c r="I23" t="s">
        <v>404</v>
      </c>
      <c r="J23" t="s">
        <v>451</v>
      </c>
      <c r="L23">
        <v>1</v>
      </c>
      <c r="M23" s="26">
        <v>2.06</v>
      </c>
      <c r="N23" t="s">
        <v>213</v>
      </c>
      <c r="Q23" s="29" t="s">
        <v>13</v>
      </c>
      <c r="R23" s="29" t="str">
        <f>IFERROR(MID(RADataTable[[#This Row],[RAtemplate]],1,LEN(RADataTable[[#This Row],[RAtemplate]])-8),"RA") &amp; " " &amp; RADataTable[[#This Row],[prop_id0]] &amp; " " &amp; RADataTable[[#This Row],[last0]]</f>
        <v>RA 1749748 Chandrasekaran</v>
      </c>
      <c r="U23" s="21" t="str">
        <f>IF(signer1="PD",IF(ISBLANK(RADataTable[[#This Row],[sign_blck_name]]),"",RADataTable[[#This Row],[sign_blck_name]]),IF(ISBLANK(signer1),"",signer1))</f>
        <v>Tracy J. Kimbrel</v>
      </c>
      <c r="V23" s="29" t="str">
        <f t="shared" si="0"/>
        <v>Cognisant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karthe@illinois.edu</v>
      </c>
      <c r="Y23" s="15" t="str">
        <f>HYPERLINK("mailto:"&amp;RADataTable[[#This Row],[allPIemail]]&amp;"&amp;subject=NSF Proposal:  "&amp;RADataTable[[#This Row],[Div]]&amp;" "&amp;RADataTable[[#This Row],[prop_id0]], "PIs@")</f>
        <v>PIs@</v>
      </c>
      <c r="Z23" t="s">
        <v>224</v>
      </c>
      <c r="AA23" t="s">
        <v>361</v>
      </c>
      <c r="AB23">
        <v>4</v>
      </c>
      <c r="AC23">
        <v>4</v>
      </c>
      <c r="AD23"/>
      <c r="AE23" s="21">
        <v>5</v>
      </c>
      <c r="AF23" s="26">
        <v>6.75</v>
      </c>
      <c r="AG23">
        <v>8</v>
      </c>
      <c r="AH23" t="s">
        <v>457</v>
      </c>
      <c r="AI23" s="30">
        <v>43030.722916666666</v>
      </c>
      <c r="AJ23" s="13">
        <v>446040</v>
      </c>
      <c r="AK23" s="13">
        <v>446040</v>
      </c>
      <c r="AL23">
        <v>0</v>
      </c>
      <c r="AM23" s="30">
        <v>43115</v>
      </c>
      <c r="AN23" s="21">
        <v>60</v>
      </c>
      <c r="AO23" s="21" t="s">
        <v>458</v>
      </c>
      <c r="AR23" s="30"/>
      <c r="AS23" t="s">
        <v>616</v>
      </c>
      <c r="AT23" s="21" t="s">
        <v>212</v>
      </c>
      <c r="AU23" s="21">
        <v>6</v>
      </c>
      <c r="AV23" s="21" t="s">
        <v>618</v>
      </c>
      <c r="AW23" s="30">
        <v>43032</v>
      </c>
      <c r="AX23" s="21" t="s">
        <v>637</v>
      </c>
      <c r="AY23" s="21" t="s">
        <v>620</v>
      </c>
      <c r="AZ23" s="21">
        <v>14</v>
      </c>
      <c r="BA23" s="21">
        <v>2</v>
      </c>
      <c r="BF23" s="30"/>
      <c r="BI23" s="21">
        <v>14</v>
      </c>
      <c r="BJ23" s="21">
        <v>2</v>
      </c>
      <c r="BO23" s="30"/>
      <c r="BR23" s="21">
        <v>14</v>
      </c>
      <c r="BS23" s="21">
        <v>2</v>
      </c>
      <c r="BT23" t="s">
        <v>361</v>
      </c>
      <c r="BU23" s="21" t="s">
        <v>452</v>
      </c>
      <c r="BV23" s="21" t="s">
        <v>453</v>
      </c>
      <c r="BW23" s="21" t="s">
        <v>454</v>
      </c>
      <c r="BX23" s="31">
        <v>446040</v>
      </c>
      <c r="BY23" s="31">
        <v>446040</v>
      </c>
      <c r="BZ23" t="s">
        <v>411</v>
      </c>
      <c r="CE23" s="31"/>
      <c r="CF23" s="31"/>
      <c r="CL23" s="31"/>
      <c r="CM23" s="31"/>
      <c r="CS23" s="31"/>
      <c r="CT23" s="31"/>
      <c r="CZ23" s="31"/>
      <c r="DA23" s="31"/>
      <c r="DG23" s="31"/>
      <c r="DH23" s="31"/>
      <c r="DN23" s="31"/>
      <c r="DO23" s="31"/>
      <c r="DQ23" t="s">
        <v>260</v>
      </c>
      <c r="DR23" t="s">
        <v>225</v>
      </c>
      <c r="DS23" t="s">
        <v>621</v>
      </c>
      <c r="DT23" s="29" t="s">
        <v>638</v>
      </c>
      <c r="DU23" t="s">
        <v>175</v>
      </c>
      <c r="DV23" t="s">
        <v>622</v>
      </c>
      <c r="DW23" t="s">
        <v>173</v>
      </c>
      <c r="DX23" t="s">
        <v>170</v>
      </c>
      <c r="DY23" t="s">
        <v>171</v>
      </c>
      <c r="DZ23" s="22">
        <v>43073.921863425923</v>
      </c>
      <c r="EA23" t="s">
        <v>456</v>
      </c>
      <c r="EB23" t="s">
        <v>639</v>
      </c>
    </row>
    <row r="24" spans="1:132" x14ac:dyDescent="0.4">
      <c r="A24" s="30">
        <v>42716.513449074075</v>
      </c>
      <c r="B24" s="22">
        <v>42570.572916666664</v>
      </c>
      <c r="C24" s="22" t="s">
        <v>975</v>
      </c>
      <c r="D24" s="30" t="s">
        <v>222</v>
      </c>
      <c r="E24" s="30" t="s">
        <v>405</v>
      </c>
      <c r="F24" s="30" t="s">
        <v>172</v>
      </c>
      <c r="G24" s="30" t="s">
        <v>976</v>
      </c>
      <c r="H24" t="s">
        <v>94</v>
      </c>
      <c r="I24" t="s">
        <v>974</v>
      </c>
      <c r="J24" t="s">
        <v>451</v>
      </c>
      <c r="K24" s="22">
        <v>42715.925185185188</v>
      </c>
      <c r="L24">
        <v>1</v>
      </c>
      <c r="M24" s="26">
        <v>2.0699999999999998</v>
      </c>
      <c r="N24" t="s">
        <v>213</v>
      </c>
      <c r="Q24" s="29" t="s">
        <v>13</v>
      </c>
      <c r="R24" s="29" t="str">
        <f>IFERROR(MID(RADataTable[[#This Row],[RAtemplate]],1,LEN(RADataTable[[#This Row],[RAtemplate]])-8),"RA") &amp; " " &amp; RADataTable[[#This Row],[prop_id0]] &amp; " " &amp; RADataTable[[#This Row],[last0]]</f>
        <v>RA 1651631 Ene</v>
      </c>
      <c r="U24" s="21" t="str">
        <f>IF(signer1="PD",IF(ISBLANK(RADataTable[[#This Row],[sign_blck_name]]),"",RADataTable[[#This Row],[sign_blck_name]]),IF(ISBLANK(signer1),"",signer1))</f>
        <v>Tracy J. Kimbrel</v>
      </c>
      <c r="V24" s="29" t="str">
        <f t="shared" si="0"/>
        <v>Cognisant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aene@bu.edu</v>
      </c>
      <c r="Y24" s="15" t="str">
        <f>HYPERLINK("mailto:"&amp;RADataTable[[#This Row],[allPIemail]]&amp;"&amp;subject=NSF Proposal:  "&amp;RADataTable[[#This Row],[Div]]&amp;" "&amp;RADataTable[[#This Row],[prop_id0]], "PIs@")</f>
        <v>PIs@</v>
      </c>
      <c r="Z24" t="s">
        <v>224</v>
      </c>
      <c r="AA24" t="s">
        <v>990</v>
      </c>
      <c r="AB24">
        <v>4</v>
      </c>
      <c r="AD24"/>
      <c r="AE24" s="21">
        <v>7</v>
      </c>
      <c r="AF24" s="26">
        <v>7.5</v>
      </c>
      <c r="AG24">
        <v>8</v>
      </c>
      <c r="AH24" t="s">
        <v>989</v>
      </c>
      <c r="AI24" s="30">
        <v>42660.115277777775</v>
      </c>
      <c r="AJ24" s="13">
        <v>504558</v>
      </c>
      <c r="AK24" s="13">
        <v>504558</v>
      </c>
      <c r="AL24">
        <v>0</v>
      </c>
      <c r="AM24" s="30">
        <v>42736</v>
      </c>
      <c r="AN24" s="21">
        <v>60</v>
      </c>
      <c r="AO24" s="21" t="s">
        <v>504</v>
      </c>
      <c r="AP24">
        <v>1</v>
      </c>
      <c r="AQ24" t="s">
        <v>2015</v>
      </c>
      <c r="AR24" s="30">
        <v>42650.745833333334</v>
      </c>
      <c r="AS24" t="s">
        <v>1425</v>
      </c>
      <c r="AT24" s="21" t="s">
        <v>212</v>
      </c>
      <c r="AU24" s="21">
        <v>7</v>
      </c>
      <c r="AV24" s="21" t="s">
        <v>2008</v>
      </c>
      <c r="AW24" s="30">
        <v>42661</v>
      </c>
      <c r="AX24" s="21" t="s">
        <v>2016</v>
      </c>
      <c r="AY24" s="21" t="s">
        <v>2010</v>
      </c>
      <c r="AZ24" s="21">
        <v>12</v>
      </c>
      <c r="BA24" s="21">
        <v>0</v>
      </c>
      <c r="BF24" s="30"/>
      <c r="BI24" s="21">
        <v>12</v>
      </c>
      <c r="BJ24" s="21">
        <v>0</v>
      </c>
      <c r="BO24" s="30"/>
      <c r="BR24" s="21">
        <v>12</v>
      </c>
      <c r="BS24" s="21">
        <v>0</v>
      </c>
      <c r="BT24" t="s">
        <v>990</v>
      </c>
      <c r="BU24" s="21" t="s">
        <v>499</v>
      </c>
      <c r="BV24" s="21" t="s">
        <v>500</v>
      </c>
      <c r="BW24" s="21" t="s">
        <v>501</v>
      </c>
      <c r="BX24" s="31">
        <v>504558</v>
      </c>
      <c r="BY24" s="31">
        <v>504558</v>
      </c>
      <c r="BZ24" t="s">
        <v>411</v>
      </c>
      <c r="CE24" s="31"/>
      <c r="CF24" s="31"/>
      <c r="CL24" s="31"/>
      <c r="CM24" s="31"/>
      <c r="CS24" s="31"/>
      <c r="CT24" s="31"/>
      <c r="CZ24" s="31"/>
      <c r="DA24" s="31"/>
      <c r="DG24" s="31"/>
      <c r="DH24" s="31"/>
      <c r="DN24" s="31"/>
      <c r="DO24" s="31"/>
      <c r="DQ24" t="s">
        <v>260</v>
      </c>
      <c r="DR24" t="s">
        <v>225</v>
      </c>
      <c r="DS24" t="s">
        <v>621</v>
      </c>
      <c r="DT24" s="29" t="s">
        <v>638</v>
      </c>
      <c r="DU24" t="s">
        <v>973</v>
      </c>
      <c r="DV24" t="s">
        <v>622</v>
      </c>
      <c r="DW24" t="s">
        <v>173</v>
      </c>
      <c r="DX24" t="s">
        <v>170</v>
      </c>
      <c r="DY24" t="s">
        <v>171</v>
      </c>
      <c r="DZ24" s="22">
        <v>43073.921863425923</v>
      </c>
      <c r="EA24" t="s">
        <v>502</v>
      </c>
      <c r="EB24" t="s">
        <v>654</v>
      </c>
    </row>
    <row r="25" spans="1:132" x14ac:dyDescent="0.4">
      <c r="A25" s="30">
        <v>42934.469247685185</v>
      </c>
      <c r="B25" s="22">
        <v>42809.688888888886</v>
      </c>
      <c r="C25" s="22" t="s">
        <v>1136</v>
      </c>
      <c r="D25" s="30" t="s">
        <v>222</v>
      </c>
      <c r="E25" s="30" t="s">
        <v>1137</v>
      </c>
      <c r="F25" s="30" t="s">
        <v>172</v>
      </c>
      <c r="G25" s="30" t="s">
        <v>976</v>
      </c>
      <c r="H25" t="s">
        <v>94</v>
      </c>
      <c r="I25" t="s">
        <v>1135</v>
      </c>
      <c r="J25" t="s">
        <v>406</v>
      </c>
      <c r="K25" s="22">
        <v>42920.120162037034</v>
      </c>
      <c r="L25">
        <v>1</v>
      </c>
      <c r="M25" s="26">
        <v>2.0699999999999998</v>
      </c>
      <c r="N25" t="s">
        <v>178</v>
      </c>
      <c r="Q25" s="29" t="s">
        <v>13</v>
      </c>
      <c r="R25" s="29" t="str">
        <f>IFERROR(MID(RADataTable[[#This Row],[RAtemplate]],1,LEN(RADataTable[[#This Row],[RAtemplate]])-8),"RA") &amp; " " &amp; RADataTable[[#This Row],[prop_id0]] &amp; " " &amp; RADataTable[[#This Row],[last0]]</f>
        <v>RA 1740825 Fernandez Granda</v>
      </c>
      <c r="U25" s="21" t="str">
        <f>IF(signer1="PD",IF(ISBLANK(RADataTable[[#This Row],[sign_blck_name]]),"",RADataTable[[#This Row],[sign_blck_name]]),IF(ISBLANK(signer1),"",signer1))</f>
        <v>Jack Snoeyink</v>
      </c>
      <c r="V25" s="29" t="str">
        <f t="shared" si="0"/>
        <v>Cognisant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cfg3@nyu.edu</v>
      </c>
      <c r="Y25" s="15" t="str">
        <f>HYPERLINK("mailto:"&amp;RADataTable[[#This Row],[allPIemail]]&amp;"&amp;subject=NSF Proposal:  "&amp;RADataTable[[#This Row],[Div]]&amp;" "&amp;RADataTable[[#This Row],[prop_id0]], "PIs@")</f>
        <v>PIs@</v>
      </c>
      <c r="Z25" t="s">
        <v>224</v>
      </c>
      <c r="AA25" t="s">
        <v>1350</v>
      </c>
      <c r="AB25">
        <v>3</v>
      </c>
      <c r="AD25"/>
      <c r="AE25" s="21">
        <v>5</v>
      </c>
      <c r="AF25" s="26">
        <v>6.333333333333333</v>
      </c>
      <c r="AG25">
        <v>8</v>
      </c>
      <c r="AH25" t="s">
        <v>1354</v>
      </c>
      <c r="AI25" s="30">
        <v>42873.537499999999</v>
      </c>
      <c r="AJ25" s="13">
        <v>1473414</v>
      </c>
      <c r="AK25" s="13">
        <v>1473414</v>
      </c>
      <c r="AL25">
        <v>0</v>
      </c>
      <c r="AM25" s="30">
        <v>42979</v>
      </c>
      <c r="AN25" s="21">
        <v>36</v>
      </c>
      <c r="AO25" s="21" t="s">
        <v>1355</v>
      </c>
      <c r="AR25" s="30"/>
      <c r="AS25" t="s">
        <v>1789</v>
      </c>
      <c r="AT25" s="21" t="s">
        <v>1841</v>
      </c>
      <c r="AU25" s="21">
        <v>7</v>
      </c>
      <c r="AV25" s="21" t="s">
        <v>2067</v>
      </c>
      <c r="AW25" s="30">
        <v>42872</v>
      </c>
      <c r="AX25" s="21" t="s">
        <v>2108</v>
      </c>
      <c r="AY25" s="21" t="s">
        <v>2068</v>
      </c>
      <c r="AZ25" s="21">
        <v>12</v>
      </c>
      <c r="BA25" s="21">
        <v>0</v>
      </c>
      <c r="BF25" s="30"/>
      <c r="BI25" s="21">
        <v>12</v>
      </c>
      <c r="BJ25" s="21">
        <v>0</v>
      </c>
      <c r="BO25" s="30"/>
      <c r="BR25" s="21">
        <v>12</v>
      </c>
      <c r="BS25" s="21">
        <v>0</v>
      </c>
      <c r="BT25" t="s">
        <v>1350</v>
      </c>
      <c r="BU25" s="21" t="s">
        <v>1351</v>
      </c>
      <c r="BV25" s="21" t="s">
        <v>1352</v>
      </c>
      <c r="BW25" s="21" t="s">
        <v>1329</v>
      </c>
      <c r="BX25" s="31">
        <v>1473414</v>
      </c>
      <c r="BY25" s="31">
        <v>1473414</v>
      </c>
      <c r="BZ25" t="s">
        <v>1176</v>
      </c>
      <c r="CE25" s="31"/>
      <c r="CF25" s="31"/>
      <c r="CL25" s="31"/>
      <c r="CM25" s="31"/>
      <c r="CS25" s="31"/>
      <c r="CT25" s="31"/>
      <c r="CZ25" s="31"/>
      <c r="DA25" s="31"/>
      <c r="DG25" s="31"/>
      <c r="DH25" s="31"/>
      <c r="DN25" s="31"/>
      <c r="DO25" s="31"/>
      <c r="DQ25" t="s">
        <v>2069</v>
      </c>
      <c r="DR25" t="s">
        <v>225</v>
      </c>
      <c r="DS25" t="s">
        <v>2070</v>
      </c>
      <c r="DT25" s="29" t="s">
        <v>214</v>
      </c>
      <c r="DU25" t="s">
        <v>973</v>
      </c>
      <c r="DV25" t="s">
        <v>622</v>
      </c>
      <c r="DW25" t="s">
        <v>173</v>
      </c>
      <c r="DX25" t="s">
        <v>170</v>
      </c>
      <c r="DY25" t="s">
        <v>171</v>
      </c>
      <c r="DZ25" s="22">
        <v>43073.921863425923</v>
      </c>
      <c r="EA25" t="s">
        <v>1353</v>
      </c>
      <c r="EB25" t="s">
        <v>2109</v>
      </c>
    </row>
    <row r="26" spans="1:132" x14ac:dyDescent="0.4">
      <c r="A26" s="30"/>
      <c r="B26" s="22">
        <v>42934.507638888892</v>
      </c>
      <c r="C26" s="22" t="s">
        <v>256</v>
      </c>
      <c r="D26" s="30" t="s">
        <v>222</v>
      </c>
      <c r="E26" s="30" t="s">
        <v>405</v>
      </c>
      <c r="F26" s="30" t="s">
        <v>172</v>
      </c>
      <c r="G26" s="30" t="s">
        <v>174</v>
      </c>
      <c r="H26" t="s">
        <v>94</v>
      </c>
      <c r="I26" t="s">
        <v>404</v>
      </c>
      <c r="J26" t="s">
        <v>422</v>
      </c>
      <c r="L26">
        <v>1</v>
      </c>
      <c r="M26" s="26">
        <v>2.0699999999999998</v>
      </c>
      <c r="N26" t="s">
        <v>213</v>
      </c>
      <c r="Q26" s="29" t="s">
        <v>13</v>
      </c>
      <c r="R26" s="29" t="str">
        <f>IFERROR(MID(RADataTable[[#This Row],[RAtemplate]],1,LEN(RADataTable[[#This Row],[RAtemplate]])-8),"RA") &amp; " " &amp; RADataTable[[#This Row],[prop_id0]] &amp; " " &amp; RADataTable[[#This Row],[last0]]</f>
        <v>RA 1749734 Sidford</v>
      </c>
      <c r="U26" s="21" t="str">
        <f>IF(signer1="PD",IF(ISBLANK(RADataTable[[#This Row],[sign_blck_name]]),"",RADataTable[[#This Row],[sign_blck_name]]),IF(ISBLANK(signer1),"",signer1))</f>
        <v>Rahul Shah</v>
      </c>
      <c r="V26" s="29" t="str">
        <f t="shared" si="0"/>
        <v>Cognisant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sidford@stanford.edu</v>
      </c>
      <c r="Y26" s="15" t="str">
        <f>HYPERLINK("mailto:"&amp;RADataTable[[#This Row],[allPIemail]]&amp;"&amp;subject=NSF Proposal:  "&amp;RADataTable[[#This Row],[Div]]&amp;" "&amp;RADataTable[[#This Row],[prop_id0]], "PIs@")</f>
        <v>PIs@</v>
      </c>
      <c r="Z26" t="s">
        <v>224</v>
      </c>
      <c r="AA26" t="s">
        <v>360</v>
      </c>
      <c r="AB26">
        <v>4</v>
      </c>
      <c r="AC26">
        <v>4</v>
      </c>
      <c r="AD26"/>
      <c r="AE26" s="21">
        <v>7</v>
      </c>
      <c r="AF26" s="26">
        <v>7.5</v>
      </c>
      <c r="AG26">
        <v>9</v>
      </c>
      <c r="AH26" t="s">
        <v>449</v>
      </c>
      <c r="AI26" s="30">
        <v>43032.515277777777</v>
      </c>
      <c r="AJ26" s="13">
        <v>500000</v>
      </c>
      <c r="AK26" s="13">
        <v>500000</v>
      </c>
      <c r="AL26">
        <v>0</v>
      </c>
      <c r="AM26" s="30">
        <v>43009</v>
      </c>
      <c r="AN26" s="21">
        <v>60</v>
      </c>
      <c r="AO26" s="21" t="s">
        <v>450</v>
      </c>
      <c r="AR26" s="30"/>
      <c r="AS26" t="s">
        <v>616</v>
      </c>
      <c r="AT26" s="21" t="s">
        <v>212</v>
      </c>
      <c r="AU26" s="21">
        <v>7</v>
      </c>
      <c r="AV26" s="21" t="s">
        <v>618</v>
      </c>
      <c r="AW26" s="30">
        <v>43032</v>
      </c>
      <c r="AX26" s="21" t="s">
        <v>635</v>
      </c>
      <c r="AY26" s="21" t="s">
        <v>620</v>
      </c>
      <c r="AZ26" s="21">
        <v>14</v>
      </c>
      <c r="BA26" s="21">
        <v>1</v>
      </c>
      <c r="BF26" s="30"/>
      <c r="BI26" s="21">
        <v>14</v>
      </c>
      <c r="BJ26" s="21">
        <v>1</v>
      </c>
      <c r="BO26" s="30"/>
      <c r="BR26" s="21">
        <v>14</v>
      </c>
      <c r="BS26" s="21">
        <v>1</v>
      </c>
      <c r="BT26" t="s">
        <v>360</v>
      </c>
      <c r="BU26" s="21" t="s">
        <v>445</v>
      </c>
      <c r="BV26" s="21" t="s">
        <v>446</v>
      </c>
      <c r="BW26" s="21" t="s">
        <v>447</v>
      </c>
      <c r="BX26" s="31">
        <v>500000</v>
      </c>
      <c r="BY26" s="31">
        <v>500000</v>
      </c>
      <c r="BZ26" t="s">
        <v>265</v>
      </c>
      <c r="CE26" s="31"/>
      <c r="CF26" s="31"/>
      <c r="CL26" s="31"/>
      <c r="CM26" s="31"/>
      <c r="CS26" s="31"/>
      <c r="CT26" s="31"/>
      <c r="CZ26" s="31"/>
      <c r="DA26" s="31"/>
      <c r="DG26" s="31"/>
      <c r="DH26" s="31"/>
      <c r="DN26" s="31"/>
      <c r="DO26" s="31"/>
      <c r="DQ26" t="s">
        <v>260</v>
      </c>
      <c r="DR26" t="s">
        <v>225</v>
      </c>
      <c r="DS26" t="s">
        <v>621</v>
      </c>
      <c r="DT26" s="29" t="s">
        <v>627</v>
      </c>
      <c r="DU26" t="s">
        <v>175</v>
      </c>
      <c r="DV26" t="s">
        <v>622</v>
      </c>
      <c r="DW26" t="s">
        <v>173</v>
      </c>
      <c r="DX26" t="s">
        <v>170</v>
      </c>
      <c r="DY26" t="s">
        <v>171</v>
      </c>
      <c r="DZ26" s="22">
        <v>43073.921863425923</v>
      </c>
      <c r="EA26" t="s">
        <v>448</v>
      </c>
      <c r="EB26" t="s">
        <v>636</v>
      </c>
    </row>
    <row r="27" spans="1:132" x14ac:dyDescent="0.4">
      <c r="A27" s="30"/>
      <c r="B27" s="22">
        <v>42935.633333333331</v>
      </c>
      <c r="C27" s="22" t="s">
        <v>256</v>
      </c>
      <c r="D27" s="30" t="s">
        <v>222</v>
      </c>
      <c r="E27" s="30" t="s">
        <v>405</v>
      </c>
      <c r="F27" s="30" t="s">
        <v>172</v>
      </c>
      <c r="G27" s="30" t="s">
        <v>174</v>
      </c>
      <c r="H27" t="s">
        <v>94</v>
      </c>
      <c r="I27" t="s">
        <v>404</v>
      </c>
      <c r="J27" t="s">
        <v>406</v>
      </c>
      <c r="L27">
        <v>1</v>
      </c>
      <c r="M27" s="26">
        <v>2.0699999999999998</v>
      </c>
      <c r="N27" t="s">
        <v>213</v>
      </c>
      <c r="Q27" s="29" t="s">
        <v>176</v>
      </c>
      <c r="R27" s="29" t="str">
        <f>IFERROR(MID(RADataTable[[#This Row],[RAtemplate]],1,LEN(RADataTable[[#This Row],[RAtemplate]])-8),"RA") &amp; " " &amp; RADataTable[[#This Row],[prop_id0]] &amp; " " &amp; RADataTable[[#This Row],[last0]]</f>
        <v>Awd  1750780 Raichel</v>
      </c>
      <c r="U27" s="21" t="str">
        <f>IF(signer1="PD",IF(ISBLANK(RADataTable[[#This Row],[sign_blck_name]]),"",RADataTable[[#This Row],[sign_blck_name]]),IF(ISBLANK(signer1),"",signer1))</f>
        <v>Jack Snoeyink</v>
      </c>
      <c r="V27" s="29" t="str">
        <f t="shared" si="0"/>
        <v>Cognisant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Benjamin.Raichel@utdallas.edu</v>
      </c>
      <c r="Y27" s="15" t="str">
        <f>HYPERLINK("mailto:"&amp;RADataTable[[#This Row],[allPIemail]]&amp;"&amp;subject=NSF Proposal:  "&amp;RADataTable[[#This Row],[Div]]&amp;" "&amp;RADataTable[[#This Row],[prop_id0]], "PIs@")</f>
        <v>PIs@</v>
      </c>
      <c r="Z27" t="s">
        <v>224</v>
      </c>
      <c r="AA27" t="s">
        <v>371</v>
      </c>
      <c r="AB27">
        <v>4</v>
      </c>
      <c r="AC27">
        <v>4</v>
      </c>
      <c r="AD27"/>
      <c r="AE27" s="21">
        <v>7</v>
      </c>
      <c r="AF27" s="26">
        <v>7.5</v>
      </c>
      <c r="AG27">
        <v>9</v>
      </c>
      <c r="AH27" t="s">
        <v>449</v>
      </c>
      <c r="AI27" s="30">
        <v>43030.181250000001</v>
      </c>
      <c r="AJ27" s="13">
        <v>582785</v>
      </c>
      <c r="AK27" s="13">
        <v>582785</v>
      </c>
      <c r="AL27">
        <v>0</v>
      </c>
      <c r="AM27" s="30">
        <v>43344</v>
      </c>
      <c r="AN27" s="21">
        <v>60</v>
      </c>
      <c r="AO27" s="21" t="s">
        <v>516</v>
      </c>
      <c r="AR27" s="30"/>
      <c r="AS27" t="s">
        <v>616</v>
      </c>
      <c r="AT27" s="21" t="s">
        <v>212</v>
      </c>
      <c r="AU27" s="21">
        <v>7</v>
      </c>
      <c r="AV27" s="21" t="s">
        <v>618</v>
      </c>
      <c r="AW27" s="30">
        <v>43032</v>
      </c>
      <c r="AX27" s="21" t="s">
        <v>635</v>
      </c>
      <c r="AY27" s="21" t="s">
        <v>620</v>
      </c>
      <c r="AZ27" s="21">
        <v>14</v>
      </c>
      <c r="BA27" s="21">
        <v>1</v>
      </c>
      <c r="BF27" s="30"/>
      <c r="BI27" s="21">
        <v>14</v>
      </c>
      <c r="BJ27" s="21">
        <v>1</v>
      </c>
      <c r="BO27" s="30"/>
      <c r="BR27" s="21">
        <v>14</v>
      </c>
      <c r="BS27" s="21">
        <v>1</v>
      </c>
      <c r="BT27" t="s">
        <v>371</v>
      </c>
      <c r="BU27" s="21" t="s">
        <v>512</v>
      </c>
      <c r="BV27" s="21" t="s">
        <v>262</v>
      </c>
      <c r="BW27" s="21" t="s">
        <v>513</v>
      </c>
      <c r="BX27" s="31">
        <v>582785</v>
      </c>
      <c r="BY27" s="31">
        <v>582785</v>
      </c>
      <c r="BZ27" t="s">
        <v>419</v>
      </c>
      <c r="CE27" s="31"/>
      <c r="CF27" s="31"/>
      <c r="CL27" s="31"/>
      <c r="CM27" s="31"/>
      <c r="CS27" s="31"/>
      <c r="CT27" s="31"/>
      <c r="CZ27" s="31"/>
      <c r="DA27" s="31"/>
      <c r="DG27" s="31"/>
      <c r="DH27" s="31"/>
      <c r="DN27" s="31"/>
      <c r="DO27" s="31"/>
      <c r="DQ27" t="s">
        <v>260</v>
      </c>
      <c r="DR27" t="s">
        <v>225</v>
      </c>
      <c r="DS27" t="s">
        <v>621</v>
      </c>
      <c r="DT27" s="29" t="s">
        <v>214</v>
      </c>
      <c r="DU27" t="s">
        <v>175</v>
      </c>
      <c r="DV27" t="s">
        <v>622</v>
      </c>
      <c r="DW27" t="s">
        <v>173</v>
      </c>
      <c r="DX27" t="s">
        <v>170</v>
      </c>
      <c r="DY27" t="s">
        <v>171</v>
      </c>
      <c r="DZ27" s="22">
        <v>43073.921863425923</v>
      </c>
      <c r="EA27" t="s">
        <v>515</v>
      </c>
      <c r="EB27" t="s">
        <v>657</v>
      </c>
    </row>
    <row r="28" spans="1:132" x14ac:dyDescent="0.4">
      <c r="A28" s="30">
        <v>42682.371863425928</v>
      </c>
      <c r="B28" s="22">
        <v>42571.449305555558</v>
      </c>
      <c r="C28" s="22" t="s">
        <v>975</v>
      </c>
      <c r="D28" s="30" t="s">
        <v>222</v>
      </c>
      <c r="E28" s="30" t="s">
        <v>405</v>
      </c>
      <c r="F28" s="30" t="s">
        <v>172</v>
      </c>
      <c r="G28" s="30" t="s">
        <v>976</v>
      </c>
      <c r="H28" t="s">
        <v>94</v>
      </c>
      <c r="I28" t="s">
        <v>974</v>
      </c>
      <c r="J28" t="s">
        <v>406</v>
      </c>
      <c r="K28" s="22">
        <v>42681.568692129629</v>
      </c>
      <c r="L28">
        <v>1</v>
      </c>
      <c r="M28" s="26">
        <v>2.08</v>
      </c>
      <c r="N28" t="s">
        <v>213</v>
      </c>
      <c r="Q28" s="29" t="s">
        <v>13</v>
      </c>
      <c r="R28" s="29" t="str">
        <f>IFERROR(MID(RADataTable[[#This Row],[RAtemplate]],1,LEN(RADataTable[[#This Row],[RAtemplate]])-8),"RA") &amp; " " &amp; RADataTable[[#This Row],[prop_id0]] &amp; " " &amp; RADataTable[[#This Row],[last0]]</f>
        <v>RA 1651987 Ge</v>
      </c>
      <c r="U28" s="21" t="str">
        <f>IF(signer1="PD",IF(ISBLANK(RADataTable[[#This Row],[sign_blck_name]]),"",RADataTable[[#This Row],[sign_blck_name]]),IF(ISBLANK(signer1),"",signer1))</f>
        <v>Jack Snoeyink</v>
      </c>
      <c r="V28" s="29" t="str">
        <f t="shared" si="0"/>
        <v>Cognisant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rongge@cs.duke.edu</v>
      </c>
      <c r="Y28" s="15" t="str">
        <f>HYPERLINK("mailto:"&amp;RADataTable[[#This Row],[allPIemail]]&amp;"&amp;subject=NSF Proposal:  "&amp;RADataTable[[#This Row],[Div]]&amp;" "&amp;RADataTable[[#This Row],[prop_id0]], "PIs@")</f>
        <v>PIs@</v>
      </c>
      <c r="Z28" t="s">
        <v>224</v>
      </c>
      <c r="AA28" t="s">
        <v>1031</v>
      </c>
      <c r="AB28">
        <v>4</v>
      </c>
      <c r="AD28"/>
      <c r="AE28" s="21">
        <v>5</v>
      </c>
      <c r="AF28" s="26">
        <v>7.25</v>
      </c>
      <c r="AG28">
        <v>9</v>
      </c>
      <c r="AH28" t="s">
        <v>1035</v>
      </c>
      <c r="AI28" s="30">
        <v>42661.406944444447</v>
      </c>
      <c r="AJ28" s="13">
        <v>521233</v>
      </c>
      <c r="AK28" s="13">
        <v>521233</v>
      </c>
      <c r="AL28">
        <v>0</v>
      </c>
      <c r="AM28" s="30">
        <v>42767</v>
      </c>
      <c r="AN28" s="21">
        <v>60</v>
      </c>
      <c r="AO28" s="21" t="s">
        <v>1036</v>
      </c>
      <c r="AP28">
        <v>1</v>
      </c>
      <c r="AQ28" t="s">
        <v>2015</v>
      </c>
      <c r="AR28" s="30">
        <v>42653.558333333334</v>
      </c>
      <c r="AS28" t="s">
        <v>1425</v>
      </c>
      <c r="AT28" s="21" t="s">
        <v>212</v>
      </c>
      <c r="AU28" s="21">
        <v>8</v>
      </c>
      <c r="AV28" s="21" t="s">
        <v>2008</v>
      </c>
      <c r="AW28" s="30">
        <v>42661</v>
      </c>
      <c r="AX28" s="21" t="s">
        <v>2029</v>
      </c>
      <c r="AY28" s="21" t="s">
        <v>2010</v>
      </c>
      <c r="AZ28" s="21">
        <v>12</v>
      </c>
      <c r="BA28" s="21">
        <v>0</v>
      </c>
      <c r="BF28" s="30"/>
      <c r="BI28" s="21">
        <v>12</v>
      </c>
      <c r="BJ28" s="21">
        <v>0</v>
      </c>
      <c r="BO28" s="30"/>
      <c r="BR28" s="21">
        <v>12</v>
      </c>
      <c r="BS28" s="21">
        <v>0</v>
      </c>
      <c r="BT28" t="s">
        <v>1031</v>
      </c>
      <c r="BU28" s="21" t="s">
        <v>1032</v>
      </c>
      <c r="BV28" s="21" t="s">
        <v>1033</v>
      </c>
      <c r="BW28" s="21" t="s">
        <v>490</v>
      </c>
      <c r="BX28" s="31">
        <v>521233</v>
      </c>
      <c r="BY28" s="31">
        <v>521233</v>
      </c>
      <c r="BZ28" t="s">
        <v>411</v>
      </c>
      <c r="CE28" s="31"/>
      <c r="CF28" s="31"/>
      <c r="CL28" s="31"/>
      <c r="CM28" s="31"/>
      <c r="CS28" s="31"/>
      <c r="CT28" s="31"/>
      <c r="CZ28" s="31"/>
      <c r="DA28" s="31"/>
      <c r="DG28" s="31"/>
      <c r="DH28" s="31"/>
      <c r="DN28" s="31"/>
      <c r="DO28" s="31"/>
      <c r="DQ28" t="s">
        <v>260</v>
      </c>
      <c r="DR28" t="s">
        <v>225</v>
      </c>
      <c r="DS28" t="s">
        <v>621</v>
      </c>
      <c r="DT28" s="29" t="s">
        <v>214</v>
      </c>
      <c r="DU28" t="s">
        <v>973</v>
      </c>
      <c r="DV28" t="s">
        <v>622</v>
      </c>
      <c r="DW28" t="s">
        <v>173</v>
      </c>
      <c r="DX28" t="s">
        <v>170</v>
      </c>
      <c r="DY28" t="s">
        <v>171</v>
      </c>
      <c r="DZ28" s="22">
        <v>43073.921863425923</v>
      </c>
      <c r="EA28" t="s">
        <v>1034</v>
      </c>
      <c r="EB28" t="s">
        <v>2030</v>
      </c>
    </row>
    <row r="29" spans="1:132" x14ac:dyDescent="0.4">
      <c r="A29" s="30">
        <v>42724.53979166667</v>
      </c>
      <c r="B29" s="22">
        <v>42571.576388888891</v>
      </c>
      <c r="C29" s="22" t="s">
        <v>975</v>
      </c>
      <c r="D29" s="30" t="s">
        <v>222</v>
      </c>
      <c r="E29" s="30" t="s">
        <v>405</v>
      </c>
      <c r="F29" s="30" t="s">
        <v>172</v>
      </c>
      <c r="G29" s="30" t="s">
        <v>992</v>
      </c>
      <c r="H29" t="s">
        <v>94</v>
      </c>
      <c r="I29" t="s">
        <v>974</v>
      </c>
      <c r="J29" t="s">
        <v>422</v>
      </c>
      <c r="K29" s="22">
        <v>42723.511550925927</v>
      </c>
      <c r="L29">
        <v>1</v>
      </c>
      <c r="M29" s="26">
        <v>2.08</v>
      </c>
      <c r="N29" t="s">
        <v>213</v>
      </c>
      <c r="Q29" s="29" t="s">
        <v>13</v>
      </c>
      <c r="R29" s="29" t="str">
        <f>IFERROR(MID(RADataTable[[#This Row],[RAtemplate]],1,LEN(RADataTable[[#This Row],[RAtemplate]])-8),"RA") &amp; " " &amp; RADataTable[[#This Row],[prop_id0]] &amp; " " &amp; RADataTable[[#This Row],[last0]]</f>
        <v>RA 1652257 Braverman</v>
      </c>
      <c r="U29" s="21" t="str">
        <f>IF(signer1="PD",IF(ISBLANK(RADataTable[[#This Row],[sign_blck_name]]),"",RADataTable[[#This Row],[sign_blck_name]]),IF(ISBLANK(signer1),"",signer1))</f>
        <v>Rahul Shah</v>
      </c>
      <c r="V29" s="29" t="str">
        <f t="shared" si="0"/>
        <v>Cognisant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vova@cs.jhu.edu</v>
      </c>
      <c r="Y29" s="15" t="str">
        <f>HYPERLINK("mailto:"&amp;RADataTable[[#This Row],[allPIemail]]&amp;"&amp;subject=NSF Proposal:  "&amp;RADataTable[[#This Row],[Div]]&amp;" "&amp;RADataTable[[#This Row],[prop_id0]], "PIs@")</f>
        <v>PIs@</v>
      </c>
      <c r="Z29" t="s">
        <v>224</v>
      </c>
      <c r="AA29" t="s">
        <v>1066</v>
      </c>
      <c r="AB29">
        <v>5</v>
      </c>
      <c r="AD29"/>
      <c r="AE29" s="21">
        <v>6</v>
      </c>
      <c r="AF29" s="26">
        <v>7</v>
      </c>
      <c r="AG29">
        <v>8</v>
      </c>
      <c r="AH29" t="s">
        <v>1070</v>
      </c>
      <c r="AI29" s="30">
        <v>42660.072916666664</v>
      </c>
      <c r="AJ29" s="13">
        <v>628332</v>
      </c>
      <c r="AK29" s="13">
        <v>500000</v>
      </c>
      <c r="AL29">
        <v>2</v>
      </c>
      <c r="AM29" s="30">
        <v>42948</v>
      </c>
      <c r="AN29" s="21">
        <v>60</v>
      </c>
      <c r="AO29" s="21" t="s">
        <v>1071</v>
      </c>
      <c r="AP29">
        <v>1</v>
      </c>
      <c r="AQ29" t="s">
        <v>2015</v>
      </c>
      <c r="AR29" s="30">
        <v>42660.072916666664</v>
      </c>
      <c r="AS29" t="s">
        <v>1425</v>
      </c>
      <c r="AT29" s="21" t="s">
        <v>212</v>
      </c>
      <c r="AU29" s="21">
        <v>8</v>
      </c>
      <c r="AV29" s="21" t="s">
        <v>2008</v>
      </c>
      <c r="AW29" s="30">
        <v>42661</v>
      </c>
      <c r="AX29" s="21" t="s">
        <v>2038</v>
      </c>
      <c r="AY29" s="21" t="s">
        <v>2010</v>
      </c>
      <c r="AZ29" s="21">
        <v>12</v>
      </c>
      <c r="BA29" s="21">
        <v>0</v>
      </c>
      <c r="BF29" s="30"/>
      <c r="BI29" s="21">
        <v>12</v>
      </c>
      <c r="BJ29" s="21">
        <v>0</v>
      </c>
      <c r="BO29" s="30"/>
      <c r="BR29" s="21">
        <v>12</v>
      </c>
      <c r="BS29" s="21">
        <v>0</v>
      </c>
      <c r="BT29" t="s">
        <v>1066</v>
      </c>
      <c r="BU29" s="21" t="s">
        <v>1067</v>
      </c>
      <c r="BV29" s="21" t="s">
        <v>1068</v>
      </c>
      <c r="BW29" s="21" t="s">
        <v>495</v>
      </c>
      <c r="BX29" s="31">
        <v>628332</v>
      </c>
      <c r="BY29" s="31">
        <v>500000</v>
      </c>
      <c r="BZ29" t="s">
        <v>411</v>
      </c>
      <c r="CE29" s="31"/>
      <c r="CF29" s="31"/>
      <c r="CL29" s="31"/>
      <c r="CM29" s="31"/>
      <c r="CS29" s="31"/>
      <c r="CT29" s="31"/>
      <c r="CZ29" s="31"/>
      <c r="DA29" s="31"/>
      <c r="DG29" s="31"/>
      <c r="DH29" s="31"/>
      <c r="DN29" s="31"/>
      <c r="DO29" s="31"/>
      <c r="DQ29" t="s">
        <v>260</v>
      </c>
      <c r="DR29" t="s">
        <v>225</v>
      </c>
      <c r="DS29" t="s">
        <v>621</v>
      </c>
      <c r="DT29" s="29" t="s">
        <v>627</v>
      </c>
      <c r="DU29" t="s">
        <v>991</v>
      </c>
      <c r="DV29" t="s">
        <v>622</v>
      </c>
      <c r="DW29" t="s">
        <v>173</v>
      </c>
      <c r="DX29" t="s">
        <v>170</v>
      </c>
      <c r="DY29" t="s">
        <v>171</v>
      </c>
      <c r="DZ29" s="22">
        <v>43073.921863425923</v>
      </c>
      <c r="EA29" t="s">
        <v>1069</v>
      </c>
      <c r="EB29" t="s">
        <v>2039</v>
      </c>
    </row>
    <row r="30" spans="1:132" x14ac:dyDescent="0.4">
      <c r="A30" s="30">
        <v>42716.515243055554</v>
      </c>
      <c r="B30" s="22">
        <v>42571.726388888892</v>
      </c>
      <c r="C30" s="22" t="s">
        <v>975</v>
      </c>
      <c r="D30" s="30" t="s">
        <v>222</v>
      </c>
      <c r="E30" s="30" t="s">
        <v>405</v>
      </c>
      <c r="F30" s="30" t="s">
        <v>172</v>
      </c>
      <c r="G30" s="30" t="s">
        <v>976</v>
      </c>
      <c r="H30" t="s">
        <v>94</v>
      </c>
      <c r="I30" t="s">
        <v>974</v>
      </c>
      <c r="J30" t="s">
        <v>451</v>
      </c>
      <c r="K30" s="22">
        <v>42715.928981481484</v>
      </c>
      <c r="L30">
        <v>1</v>
      </c>
      <c r="M30" s="26">
        <v>2.08</v>
      </c>
      <c r="N30" t="s">
        <v>213</v>
      </c>
      <c r="Q30" s="29" t="s">
        <v>13</v>
      </c>
      <c r="R30" s="29" t="str">
        <f>IFERROR(MID(RADataTable[[#This Row],[RAtemplate]],1,LEN(RADataTable[[#This Row],[RAtemplate]])-8),"RA") &amp; " " &amp; RADataTable[[#This Row],[prop_id0]] &amp; " " &amp; RADataTable[[#This Row],[last0]]</f>
        <v>RA 1652845 Price</v>
      </c>
      <c r="U30" s="21" t="str">
        <f>IF(signer1="PD",IF(ISBLANK(RADataTable[[#This Row],[sign_blck_name]]),"",RADataTable[[#This Row],[sign_blck_name]]),IF(ISBLANK(signer1),"",signer1))</f>
        <v>Tracy J. Kimbrel</v>
      </c>
      <c r="V30" s="29" t="str">
        <f t="shared" si="0"/>
        <v>Cognisant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ecprice@cs.utexas.edu</v>
      </c>
      <c r="Y30" s="15" t="str">
        <f>HYPERLINK("mailto:"&amp;RADataTable[[#This Row],[allPIemail]]&amp;"&amp;subject=NSF Proposal:  "&amp;RADataTable[[#This Row],[Div]]&amp;" "&amp;RADataTable[[#This Row],[prop_id0]], "PIs@")</f>
        <v>PIs@</v>
      </c>
      <c r="Z30" t="s">
        <v>224</v>
      </c>
      <c r="AA30" t="s">
        <v>1100</v>
      </c>
      <c r="AB30">
        <v>4</v>
      </c>
      <c r="AD30"/>
      <c r="AE30" s="21">
        <v>6</v>
      </c>
      <c r="AF30" s="26">
        <v>7.5</v>
      </c>
      <c r="AG30">
        <v>9</v>
      </c>
      <c r="AH30" t="s">
        <v>984</v>
      </c>
      <c r="AI30" s="30">
        <v>42660.275000000001</v>
      </c>
      <c r="AJ30" s="13">
        <v>499916</v>
      </c>
      <c r="AK30" s="13">
        <v>499916</v>
      </c>
      <c r="AL30">
        <v>0</v>
      </c>
      <c r="AM30" s="30">
        <v>42979</v>
      </c>
      <c r="AN30" s="21">
        <v>60</v>
      </c>
      <c r="AO30" s="21" t="s">
        <v>1104</v>
      </c>
      <c r="AP30">
        <v>1</v>
      </c>
      <c r="AQ30" t="s">
        <v>2007</v>
      </c>
      <c r="AR30" s="30">
        <v>42648.375</v>
      </c>
      <c r="AS30" t="s">
        <v>1425</v>
      </c>
      <c r="AT30" s="21" t="s">
        <v>212</v>
      </c>
      <c r="AU30" s="21">
        <v>8</v>
      </c>
      <c r="AV30" s="21" t="s">
        <v>2008</v>
      </c>
      <c r="AW30" s="30">
        <v>42661</v>
      </c>
      <c r="AX30" s="21" t="s">
        <v>2009</v>
      </c>
      <c r="AY30" s="21" t="s">
        <v>2010</v>
      </c>
      <c r="AZ30" s="21">
        <v>12</v>
      </c>
      <c r="BA30" s="21">
        <v>2</v>
      </c>
      <c r="BF30" s="30"/>
      <c r="BI30" s="21">
        <v>12</v>
      </c>
      <c r="BJ30" s="21">
        <v>2</v>
      </c>
      <c r="BO30" s="30"/>
      <c r="BR30" s="21">
        <v>12</v>
      </c>
      <c r="BS30" s="21">
        <v>2</v>
      </c>
      <c r="BT30" t="s">
        <v>1100</v>
      </c>
      <c r="BU30" s="21" t="s">
        <v>1101</v>
      </c>
      <c r="BV30" s="21" t="s">
        <v>1102</v>
      </c>
      <c r="BW30" s="21" t="s">
        <v>525</v>
      </c>
      <c r="BX30" s="31">
        <v>499916</v>
      </c>
      <c r="BY30" s="31">
        <v>499916</v>
      </c>
      <c r="BZ30" t="s">
        <v>411</v>
      </c>
      <c r="CE30" s="31"/>
      <c r="CF30" s="31"/>
      <c r="CL30" s="31"/>
      <c r="CM30" s="31"/>
      <c r="CS30" s="31"/>
      <c r="CT30" s="31"/>
      <c r="CZ30" s="31"/>
      <c r="DA30" s="31"/>
      <c r="DG30" s="31"/>
      <c r="DH30" s="31"/>
      <c r="DN30" s="31"/>
      <c r="DO30" s="31"/>
      <c r="DQ30" t="s">
        <v>260</v>
      </c>
      <c r="DR30" t="s">
        <v>225</v>
      </c>
      <c r="DS30" t="s">
        <v>621</v>
      </c>
      <c r="DT30" s="29" t="s">
        <v>638</v>
      </c>
      <c r="DU30" t="s">
        <v>973</v>
      </c>
      <c r="DV30" t="s">
        <v>622</v>
      </c>
      <c r="DW30" t="s">
        <v>173</v>
      </c>
      <c r="DX30" t="s">
        <v>170</v>
      </c>
      <c r="DY30" t="s">
        <v>171</v>
      </c>
      <c r="DZ30" s="22">
        <v>43073.921863425923</v>
      </c>
      <c r="EA30" t="s">
        <v>1103</v>
      </c>
      <c r="EB30" t="s">
        <v>2049</v>
      </c>
    </row>
    <row r="31" spans="1:132" x14ac:dyDescent="0.4">
      <c r="A31" s="30">
        <v>42934.517997685187</v>
      </c>
      <c r="B31" s="22">
        <v>42809.505555555559</v>
      </c>
      <c r="C31" s="22" t="s">
        <v>1136</v>
      </c>
      <c r="D31" s="30" t="s">
        <v>222</v>
      </c>
      <c r="E31" s="30" t="s">
        <v>1137</v>
      </c>
      <c r="F31" s="30" t="s">
        <v>172</v>
      </c>
      <c r="G31" s="30" t="s">
        <v>992</v>
      </c>
      <c r="H31" t="s">
        <v>94</v>
      </c>
      <c r="I31" t="s">
        <v>1135</v>
      </c>
      <c r="J31" t="s">
        <v>451</v>
      </c>
      <c r="K31" s="22">
        <v>42933.641435185185</v>
      </c>
      <c r="L31">
        <v>1</v>
      </c>
      <c r="M31" s="26">
        <v>2.08</v>
      </c>
      <c r="N31" t="s">
        <v>178</v>
      </c>
      <c r="Q31" s="29" t="s">
        <v>13</v>
      </c>
      <c r="R31" s="29" t="str">
        <f>IFERROR(MID(RADataTable[[#This Row],[RAtemplate]],1,LEN(RADataTable[[#This Row],[RAtemplate]])-8),"RA") &amp; " " &amp; RADataTable[[#This Row],[prop_id0]] &amp; " " &amp; RADataTable[[#This Row],[last0]]</f>
        <v>RA 1740751 Indyk</v>
      </c>
      <c r="U31" s="21" t="str">
        <f>IF(signer1="PD",IF(ISBLANK(RADataTable[[#This Row],[sign_blck_name]]),"",RADataTable[[#This Row],[sign_blck_name]]),IF(ISBLANK(signer1),"",signer1))</f>
        <v>Tracy J. Kimbrel</v>
      </c>
      <c r="V31" s="29" t="str">
        <f t="shared" si="0"/>
        <v>Cognisant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indyk@mit.edu</v>
      </c>
      <c r="Y31" s="15" t="str">
        <f>HYPERLINK("mailto:"&amp;RADataTable[[#This Row],[allPIemail]]&amp;"&amp;subject=NSF Proposal:  "&amp;RADataTable[[#This Row],[Div]]&amp;" "&amp;RADataTable[[#This Row],[prop_id0]], "PIs@")</f>
        <v>PIs@</v>
      </c>
      <c r="Z31" t="s">
        <v>224</v>
      </c>
      <c r="AA31" t="s">
        <v>1222</v>
      </c>
      <c r="AB31">
        <v>3</v>
      </c>
      <c r="AD31"/>
      <c r="AE31" s="21">
        <v>6</v>
      </c>
      <c r="AF31" s="26">
        <v>7</v>
      </c>
      <c r="AG31">
        <v>8</v>
      </c>
      <c r="AH31" t="s">
        <v>1226</v>
      </c>
      <c r="AI31" s="30">
        <v>42872.510416666664</v>
      </c>
      <c r="AJ31" s="13">
        <v>1500000</v>
      </c>
      <c r="AK31" s="13">
        <v>1368500</v>
      </c>
      <c r="AL31">
        <v>1</v>
      </c>
      <c r="AM31" s="30">
        <v>43009</v>
      </c>
      <c r="AN31" s="21">
        <v>36</v>
      </c>
      <c r="AO31" s="21" t="s">
        <v>1227</v>
      </c>
      <c r="AR31" s="30"/>
      <c r="AS31" t="s">
        <v>1789</v>
      </c>
      <c r="AT31" s="21" t="s">
        <v>1841</v>
      </c>
      <c r="AU31" s="21">
        <v>8</v>
      </c>
      <c r="AV31" s="21" t="s">
        <v>2067</v>
      </c>
      <c r="AW31" s="30">
        <v>42872</v>
      </c>
      <c r="AX31" s="21" t="s">
        <v>2009</v>
      </c>
      <c r="AY31" s="21" t="s">
        <v>2068</v>
      </c>
      <c r="AZ31" s="21">
        <v>12</v>
      </c>
      <c r="BA31" s="21">
        <v>2</v>
      </c>
      <c r="BF31" s="30"/>
      <c r="BI31" s="21">
        <v>12</v>
      </c>
      <c r="BJ31" s="21">
        <v>2</v>
      </c>
      <c r="BO31" s="30"/>
      <c r="BR31" s="21">
        <v>12</v>
      </c>
      <c r="BS31" s="21">
        <v>2</v>
      </c>
      <c r="BT31" t="s">
        <v>1222</v>
      </c>
      <c r="BU31" s="21" t="s">
        <v>1223</v>
      </c>
      <c r="BV31" s="21" t="s">
        <v>1224</v>
      </c>
      <c r="BW31" s="21" t="s">
        <v>223</v>
      </c>
      <c r="BX31" s="31">
        <v>1500000</v>
      </c>
      <c r="BY31" s="31">
        <v>1368500</v>
      </c>
      <c r="BZ31" t="s">
        <v>1142</v>
      </c>
      <c r="CE31" s="31"/>
      <c r="CF31" s="31"/>
      <c r="CL31" s="31"/>
      <c r="CM31" s="31"/>
      <c r="CS31" s="31"/>
      <c r="CT31" s="31"/>
      <c r="CZ31" s="31"/>
      <c r="DA31" s="31"/>
      <c r="DG31" s="31"/>
      <c r="DH31" s="31"/>
      <c r="DN31" s="31"/>
      <c r="DO31" s="31"/>
      <c r="DQ31" t="s">
        <v>2069</v>
      </c>
      <c r="DR31" t="s">
        <v>225</v>
      </c>
      <c r="DS31" t="s">
        <v>2070</v>
      </c>
      <c r="DT31" s="29" t="s">
        <v>638</v>
      </c>
      <c r="DU31" t="s">
        <v>991</v>
      </c>
      <c r="DV31" t="s">
        <v>622</v>
      </c>
      <c r="DW31" t="s">
        <v>173</v>
      </c>
      <c r="DX31" t="s">
        <v>170</v>
      </c>
      <c r="DY31" t="s">
        <v>171</v>
      </c>
      <c r="DZ31" s="22">
        <v>43073.921863425923</v>
      </c>
      <c r="EA31" t="s">
        <v>1225</v>
      </c>
      <c r="EB31" t="s">
        <v>2082</v>
      </c>
    </row>
    <row r="32" spans="1:132" x14ac:dyDescent="0.4">
      <c r="A32" s="30">
        <v>42934.468009259261</v>
      </c>
      <c r="B32" s="22">
        <v>42809.705555555556</v>
      </c>
      <c r="C32" s="22" t="s">
        <v>1136</v>
      </c>
      <c r="D32" s="30" t="s">
        <v>222</v>
      </c>
      <c r="E32" s="30" t="s">
        <v>1137</v>
      </c>
      <c r="F32" s="30" t="s">
        <v>172</v>
      </c>
      <c r="G32" s="30" t="s">
        <v>976</v>
      </c>
      <c r="H32" t="s">
        <v>94</v>
      </c>
      <c r="I32" t="s">
        <v>1135</v>
      </c>
      <c r="J32" t="s">
        <v>406</v>
      </c>
      <c r="K32" s="22">
        <v>42920.135023148148</v>
      </c>
      <c r="L32">
        <v>1</v>
      </c>
      <c r="M32" s="26">
        <v>2.09</v>
      </c>
      <c r="N32" t="s">
        <v>178</v>
      </c>
      <c r="Q32" s="29" t="s">
        <v>13</v>
      </c>
      <c r="R32" s="29" t="str">
        <f>IFERROR(MID(RADataTable[[#This Row],[RAtemplate]],1,LEN(RADataTable[[#This Row],[RAtemplate]])-8),"RA") &amp; " " &amp; RADataTable[[#This Row],[prop_id0]] &amp; " " &amp; RADataTable[[#This Row],[last0]]</f>
        <v>RA 1740834 Mischaikow</v>
      </c>
      <c r="U32" s="21" t="str">
        <f>IF(signer1="PD",IF(ISBLANK(RADataTable[[#This Row],[sign_blck_name]]),"",RADataTable[[#This Row],[sign_blck_name]]),IF(ISBLANK(signer1),"",signer1))</f>
        <v>Jack Snoeyink</v>
      </c>
      <c r="V32" s="29" t="str">
        <f t="shared" si="0"/>
        <v>Cognisant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mischaik@math.rutgers.edu</v>
      </c>
      <c r="Y32" s="15" t="str">
        <f>HYPERLINK("mailto:"&amp;RADataTable[[#This Row],[allPIemail]]&amp;"&amp;subject=NSF Proposal:  "&amp;RADataTable[[#This Row],[Div]]&amp;" "&amp;RADataTable[[#This Row],[prop_id0]], "PIs@")</f>
        <v>PIs@</v>
      </c>
      <c r="Z32" t="s">
        <v>224</v>
      </c>
      <c r="AA32" t="s">
        <v>1378</v>
      </c>
      <c r="AB32">
        <v>3</v>
      </c>
      <c r="AD32"/>
      <c r="AE32" s="21">
        <v>6</v>
      </c>
      <c r="AF32" s="26">
        <v>6</v>
      </c>
      <c r="AG32">
        <v>6</v>
      </c>
      <c r="AH32" t="s">
        <v>1279</v>
      </c>
      <c r="AI32" s="30">
        <v>42870.822916666664</v>
      </c>
      <c r="AJ32" s="13">
        <v>1499998</v>
      </c>
      <c r="AK32" s="13">
        <v>1499998</v>
      </c>
      <c r="AL32">
        <v>0</v>
      </c>
      <c r="AM32" s="30">
        <v>43009</v>
      </c>
      <c r="AN32" s="21">
        <v>36</v>
      </c>
      <c r="AO32" s="21" t="s">
        <v>1383</v>
      </c>
      <c r="AR32" s="30"/>
      <c r="AS32" t="s">
        <v>1789</v>
      </c>
      <c r="AT32" s="21" t="s">
        <v>1841</v>
      </c>
      <c r="AU32" s="21">
        <v>9</v>
      </c>
      <c r="AV32" s="21" t="s">
        <v>2067</v>
      </c>
      <c r="AW32" s="30">
        <v>42872</v>
      </c>
      <c r="AX32" s="21" t="s">
        <v>2091</v>
      </c>
      <c r="AY32" s="21" t="s">
        <v>2068</v>
      </c>
      <c r="AZ32" s="21">
        <v>12</v>
      </c>
      <c r="BA32" s="21">
        <v>2</v>
      </c>
      <c r="BF32" s="30"/>
      <c r="BI32" s="21">
        <v>12</v>
      </c>
      <c r="BJ32" s="21">
        <v>2</v>
      </c>
      <c r="BO32" s="30"/>
      <c r="BR32" s="21">
        <v>12</v>
      </c>
      <c r="BS32" s="21">
        <v>2</v>
      </c>
      <c r="BT32" t="s">
        <v>1378</v>
      </c>
      <c r="BU32" s="21" t="s">
        <v>1379</v>
      </c>
      <c r="BV32" s="21" t="s">
        <v>1380</v>
      </c>
      <c r="BW32" s="21" t="s">
        <v>1381</v>
      </c>
      <c r="BX32" s="31">
        <v>1499998</v>
      </c>
      <c r="BY32" s="31">
        <v>1499998</v>
      </c>
      <c r="BZ32" t="s">
        <v>1176</v>
      </c>
      <c r="CE32" s="31"/>
      <c r="CF32" s="31"/>
      <c r="CL32" s="31"/>
      <c r="CM32" s="31"/>
      <c r="CS32" s="31"/>
      <c r="CT32" s="31"/>
      <c r="CZ32" s="31"/>
      <c r="DA32" s="31"/>
      <c r="DG32" s="31"/>
      <c r="DH32" s="31"/>
      <c r="DN32" s="31"/>
      <c r="DO32" s="31"/>
      <c r="DQ32" t="s">
        <v>2069</v>
      </c>
      <c r="DR32" t="s">
        <v>225</v>
      </c>
      <c r="DS32" t="s">
        <v>2070</v>
      </c>
      <c r="DT32" s="29" t="s">
        <v>214</v>
      </c>
      <c r="DU32" t="s">
        <v>973</v>
      </c>
      <c r="DV32" t="s">
        <v>622</v>
      </c>
      <c r="DW32" t="s">
        <v>173</v>
      </c>
      <c r="DX32" t="s">
        <v>170</v>
      </c>
      <c r="DY32" t="s">
        <v>171</v>
      </c>
      <c r="DZ32" s="22">
        <v>43073.921863425923</v>
      </c>
      <c r="EA32" t="s">
        <v>1382</v>
      </c>
      <c r="EB32" t="s">
        <v>2117</v>
      </c>
    </row>
    <row r="33" spans="1:132" x14ac:dyDescent="0.4">
      <c r="A33" s="30"/>
      <c r="B33" s="22">
        <v>42935.723611111112</v>
      </c>
      <c r="C33" s="22" t="s">
        <v>256</v>
      </c>
      <c r="D33" s="30" t="s">
        <v>222</v>
      </c>
      <c r="E33" s="30" t="s">
        <v>405</v>
      </c>
      <c r="F33" s="30" t="s">
        <v>172</v>
      </c>
      <c r="G33" s="30" t="s">
        <v>174</v>
      </c>
      <c r="H33" t="s">
        <v>94</v>
      </c>
      <c r="I33" t="s">
        <v>404</v>
      </c>
      <c r="J33" t="s">
        <v>451</v>
      </c>
      <c r="L33">
        <v>1</v>
      </c>
      <c r="M33" s="26">
        <v>2.09</v>
      </c>
      <c r="N33" t="s">
        <v>213</v>
      </c>
      <c r="Q33" s="29" t="s">
        <v>177</v>
      </c>
      <c r="R33" s="29" t="str">
        <f>IFERROR(MID(RADataTable[[#This Row],[RAtemplate]],1,LEN(RADataTable[[#This Row],[RAtemplate]])-8),"RA") &amp; " " &amp; RADataTable[[#This Row],[prop_id0]] &amp; " " &amp; RADataTable[[#This Row],[last0]]</f>
        <v>Decline  1751254 Fasy</v>
      </c>
      <c r="U33" s="21" t="str">
        <f>IF(signer1="PD",IF(ISBLANK(RADataTable[[#This Row],[sign_blck_name]]),"",RADataTable[[#This Row],[sign_blck_name]]),IF(ISBLANK(signer1),"",signer1))</f>
        <v>Tracy J. Kimbrel</v>
      </c>
      <c r="V33" s="29" t="str">
        <f t="shared" si="0"/>
        <v>Cognisant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brittany@cs.montana.edu</v>
      </c>
      <c r="Y33" s="15" t="str">
        <f>HYPERLINK("mailto:"&amp;RADataTable[[#This Row],[allPIemail]]&amp;"&amp;subject=NSF Proposal:  "&amp;RADataTable[[#This Row],[Div]]&amp;" "&amp;RADataTable[[#This Row],[prop_id0]], "PIs@")</f>
        <v>PIs@</v>
      </c>
      <c r="Z33" t="s">
        <v>224</v>
      </c>
      <c r="AA33" t="s">
        <v>375</v>
      </c>
      <c r="AB33">
        <v>4</v>
      </c>
      <c r="AC33">
        <v>4</v>
      </c>
      <c r="AD33"/>
      <c r="AE33" s="21">
        <v>5</v>
      </c>
      <c r="AF33" s="26">
        <v>6.5</v>
      </c>
      <c r="AG33">
        <v>7</v>
      </c>
      <c r="AH33" t="s">
        <v>443</v>
      </c>
      <c r="AI33" s="30">
        <v>43031.43472222222</v>
      </c>
      <c r="AJ33" s="13">
        <v>552355</v>
      </c>
      <c r="AK33" s="13">
        <v>552355</v>
      </c>
      <c r="AL33">
        <v>0</v>
      </c>
      <c r="AM33" s="30">
        <v>43344</v>
      </c>
      <c r="AN33" s="21">
        <v>60</v>
      </c>
      <c r="AO33" s="21" t="s">
        <v>540</v>
      </c>
      <c r="AR33" s="30"/>
      <c r="AS33" t="s">
        <v>616</v>
      </c>
      <c r="AT33" s="21" t="s">
        <v>212</v>
      </c>
      <c r="AU33" s="21">
        <v>9</v>
      </c>
      <c r="AV33" s="21" t="s">
        <v>618</v>
      </c>
      <c r="AW33" s="30">
        <v>43032</v>
      </c>
      <c r="AX33" s="21" t="s">
        <v>633</v>
      </c>
      <c r="AY33" s="21" t="s">
        <v>620</v>
      </c>
      <c r="AZ33" s="21">
        <v>14</v>
      </c>
      <c r="BA33" s="21">
        <v>0</v>
      </c>
      <c r="BF33" s="30"/>
      <c r="BI33" s="21">
        <v>14</v>
      </c>
      <c r="BJ33" s="21">
        <v>0</v>
      </c>
      <c r="BO33" s="30"/>
      <c r="BR33" s="21">
        <v>14</v>
      </c>
      <c r="BS33" s="21">
        <v>0</v>
      </c>
      <c r="BT33" t="s">
        <v>375</v>
      </c>
      <c r="BU33" s="21" t="s">
        <v>535</v>
      </c>
      <c r="BV33" s="21" t="s">
        <v>536</v>
      </c>
      <c r="BW33" s="21" t="s">
        <v>537</v>
      </c>
      <c r="BX33" s="31">
        <v>552355</v>
      </c>
      <c r="BY33" s="31">
        <v>552355</v>
      </c>
      <c r="BZ33" t="s">
        <v>539</v>
      </c>
      <c r="CE33" s="31"/>
      <c r="CF33" s="31"/>
      <c r="CL33" s="31"/>
      <c r="CM33" s="31"/>
      <c r="CS33" s="31"/>
      <c r="CT33" s="31"/>
      <c r="CZ33" s="31"/>
      <c r="DA33" s="31"/>
      <c r="DG33" s="31"/>
      <c r="DH33" s="31"/>
      <c r="DN33" s="31"/>
      <c r="DO33" s="31"/>
      <c r="DQ33" t="s">
        <v>260</v>
      </c>
      <c r="DR33" t="s">
        <v>225</v>
      </c>
      <c r="DS33" t="s">
        <v>621</v>
      </c>
      <c r="DT33" s="29" t="s">
        <v>638</v>
      </c>
      <c r="DU33" t="s">
        <v>175</v>
      </c>
      <c r="DV33" t="s">
        <v>622</v>
      </c>
      <c r="DW33" t="s">
        <v>173</v>
      </c>
      <c r="DX33" t="s">
        <v>170</v>
      </c>
      <c r="DY33" t="s">
        <v>171</v>
      </c>
      <c r="DZ33" s="22">
        <v>43073.921863425923</v>
      </c>
      <c r="EA33" t="s">
        <v>538</v>
      </c>
      <c r="EB33" t="s">
        <v>663</v>
      </c>
    </row>
    <row r="34" spans="1:132" x14ac:dyDescent="0.4">
      <c r="A34" s="30">
        <v>42957.620868055557</v>
      </c>
      <c r="B34" s="22">
        <v>42809.651388888888</v>
      </c>
      <c r="C34" s="22" t="s">
        <v>1136</v>
      </c>
      <c r="D34" s="30" t="s">
        <v>222</v>
      </c>
      <c r="E34" s="30" t="s">
        <v>1137</v>
      </c>
      <c r="F34" s="30" t="s">
        <v>172</v>
      </c>
      <c r="G34" s="30" t="s">
        <v>976</v>
      </c>
      <c r="H34" t="s">
        <v>94</v>
      </c>
      <c r="I34" t="s">
        <v>1135</v>
      </c>
      <c r="J34" t="s">
        <v>451</v>
      </c>
      <c r="K34" s="22">
        <v>42957.618854166663</v>
      </c>
      <c r="L34">
        <v>1</v>
      </c>
      <c r="M34" s="26">
        <v>2.1</v>
      </c>
      <c r="N34" t="s">
        <v>178</v>
      </c>
      <c r="Q34" s="29" t="s">
        <v>13</v>
      </c>
      <c r="R34" s="29" t="str">
        <f>IFERROR(MID(RADataTable[[#This Row],[RAtemplate]],1,LEN(RADataTable[[#This Row],[RAtemplate]])-8),"RA") &amp; " " &amp; RADataTable[[#This Row],[prop_id0]] &amp; " " &amp; RADataTable[[#This Row],[last0]]</f>
        <v>RA 1740803 Mukherjee</v>
      </c>
      <c r="U34" s="21" t="str">
        <f>IF(signer1="PD",IF(ISBLANK(RADataTable[[#This Row],[sign_blck_name]]),"",RADataTable[[#This Row],[sign_blck_name]]),IF(ISBLANK(signer1),"",signer1))</f>
        <v>Tracy J. Kimbrel</v>
      </c>
      <c r="V34" s="29" t="str">
        <f t="shared" ref="V34:V65" si="1">signer2</f>
        <v>Cognisant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sayan@stat.duke.edu</v>
      </c>
      <c r="Y34" s="15" t="str">
        <f>HYPERLINK("mailto:"&amp;RADataTable[[#This Row],[allPIemail]]&amp;"&amp;subject=NSF Proposal:  "&amp;RADataTable[[#This Row],[Div]]&amp;" "&amp;RADataTable[[#This Row],[prop_id0]], "PIs@")</f>
        <v>PIs@</v>
      </c>
      <c r="Z34" t="s">
        <v>224</v>
      </c>
      <c r="AA34" t="s">
        <v>1307</v>
      </c>
      <c r="AB34">
        <v>3</v>
      </c>
      <c r="AD34"/>
      <c r="AE34" s="21">
        <v>3</v>
      </c>
      <c r="AF34" s="26">
        <v>5.666666666666667</v>
      </c>
      <c r="AG34">
        <v>8</v>
      </c>
      <c r="AH34" t="s">
        <v>1311</v>
      </c>
      <c r="AI34" s="30">
        <v>42873.517361111109</v>
      </c>
      <c r="AJ34" s="13">
        <v>1497550</v>
      </c>
      <c r="AK34" s="13">
        <v>1497550</v>
      </c>
      <c r="AL34">
        <v>0</v>
      </c>
      <c r="AM34" s="30">
        <v>42917</v>
      </c>
      <c r="AN34" s="21">
        <v>36</v>
      </c>
      <c r="AO34" s="21" t="s">
        <v>1312</v>
      </c>
      <c r="AR34" s="30"/>
      <c r="AS34" t="s">
        <v>1789</v>
      </c>
      <c r="AT34" s="21" t="s">
        <v>1841</v>
      </c>
      <c r="AU34" s="21">
        <v>10</v>
      </c>
      <c r="AV34" s="21" t="s">
        <v>2067</v>
      </c>
      <c r="AW34" s="30">
        <v>42872</v>
      </c>
      <c r="AX34" s="21" t="s">
        <v>2097</v>
      </c>
      <c r="AY34" s="21" t="s">
        <v>2068</v>
      </c>
      <c r="AZ34" s="21">
        <v>12</v>
      </c>
      <c r="BA34" s="21">
        <v>3</v>
      </c>
      <c r="BF34" s="30"/>
      <c r="BI34" s="21">
        <v>12</v>
      </c>
      <c r="BJ34" s="21">
        <v>3</v>
      </c>
      <c r="BO34" s="30"/>
      <c r="BR34" s="21">
        <v>12</v>
      </c>
      <c r="BS34" s="21">
        <v>3</v>
      </c>
      <c r="BT34" t="s">
        <v>1307</v>
      </c>
      <c r="BU34" s="21" t="s">
        <v>1308</v>
      </c>
      <c r="BV34" s="21" t="s">
        <v>1309</v>
      </c>
      <c r="BW34" s="21" t="s">
        <v>490</v>
      </c>
      <c r="BX34" s="31">
        <v>1497550</v>
      </c>
      <c r="BY34" s="31">
        <v>1497550</v>
      </c>
      <c r="BZ34" t="s">
        <v>1142</v>
      </c>
      <c r="CE34" s="31"/>
      <c r="CF34" s="31"/>
      <c r="CL34" s="31"/>
      <c r="CM34" s="31"/>
      <c r="CS34" s="31"/>
      <c r="CT34" s="31"/>
      <c r="CZ34" s="31"/>
      <c r="DA34" s="31"/>
      <c r="DG34" s="31"/>
      <c r="DH34" s="31"/>
      <c r="DN34" s="31"/>
      <c r="DO34" s="31"/>
      <c r="DQ34" t="s">
        <v>2069</v>
      </c>
      <c r="DR34" t="s">
        <v>225</v>
      </c>
      <c r="DS34" t="s">
        <v>2070</v>
      </c>
      <c r="DT34" s="29" t="s">
        <v>638</v>
      </c>
      <c r="DU34" t="s">
        <v>973</v>
      </c>
      <c r="DV34" t="s">
        <v>622</v>
      </c>
      <c r="DW34" t="s">
        <v>173</v>
      </c>
      <c r="DX34" t="s">
        <v>170</v>
      </c>
      <c r="DY34" t="s">
        <v>171</v>
      </c>
      <c r="DZ34" s="22">
        <v>43073.921863425923</v>
      </c>
      <c r="EA34" t="s">
        <v>1310</v>
      </c>
      <c r="EB34" t="s">
        <v>2098</v>
      </c>
    </row>
    <row r="35" spans="1:132" x14ac:dyDescent="0.4">
      <c r="A35" s="30"/>
      <c r="B35" s="22">
        <v>42934.453472222223</v>
      </c>
      <c r="C35" s="22" t="s">
        <v>256</v>
      </c>
      <c r="D35" s="30" t="s">
        <v>222</v>
      </c>
      <c r="E35" s="30" t="s">
        <v>405</v>
      </c>
      <c r="F35" s="30" t="s">
        <v>172</v>
      </c>
      <c r="G35" s="30" t="s">
        <v>174</v>
      </c>
      <c r="H35" t="s">
        <v>94</v>
      </c>
      <c r="I35" t="s">
        <v>404</v>
      </c>
      <c r="J35" t="s">
        <v>422</v>
      </c>
      <c r="L35">
        <v>1</v>
      </c>
      <c r="M35" s="26">
        <v>2.1</v>
      </c>
      <c r="N35" t="s">
        <v>213</v>
      </c>
      <c r="Q35" s="29" t="s">
        <v>13</v>
      </c>
      <c r="R35" s="29" t="str">
        <f>IFERROR(MID(RADataTable[[#This Row],[RAtemplate]],1,LEN(RADataTable[[#This Row],[RAtemplate]])-8),"RA") &amp; " " &amp; RADataTable[[#This Row],[prop_id0]] &amp; " " &amp; RADataTable[[#This Row],[last0]]</f>
        <v>RA 1749678 Im</v>
      </c>
      <c r="U35" s="21" t="str">
        <f>IF(signer1="PD",IF(ISBLANK(RADataTable[[#This Row],[sign_blck_name]]),"",RADataTable[[#This Row],[sign_blck_name]]),IF(ISBLANK(signer1),"",signer1))</f>
        <v>Rahul Shah</v>
      </c>
      <c r="V35" s="29" t="str">
        <f t="shared" si="1"/>
        <v>Cognisant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sim3@ucmerced.edu</v>
      </c>
      <c r="Y35" s="15" t="str">
        <f>HYPERLINK("mailto:"&amp;RADataTable[[#This Row],[allPIemail]]&amp;"&amp;subject=NSF Proposal:  "&amp;RADataTable[[#This Row],[Div]]&amp;" "&amp;RADataTable[[#This Row],[prop_id0]], "PIs@")</f>
        <v>PIs@</v>
      </c>
      <c r="Z35" t="s">
        <v>224</v>
      </c>
      <c r="AA35" t="s">
        <v>359</v>
      </c>
      <c r="AB35">
        <v>4</v>
      </c>
      <c r="AC35">
        <v>4</v>
      </c>
      <c r="AD35"/>
      <c r="AE35" s="21">
        <v>5</v>
      </c>
      <c r="AF35" s="26">
        <v>6.5</v>
      </c>
      <c r="AG35">
        <v>7</v>
      </c>
      <c r="AH35" t="s">
        <v>443</v>
      </c>
      <c r="AI35" s="30">
        <v>43032.518055555556</v>
      </c>
      <c r="AJ35" s="13">
        <v>514477</v>
      </c>
      <c r="AK35" s="13">
        <v>514477</v>
      </c>
      <c r="AL35">
        <v>0</v>
      </c>
      <c r="AM35" s="30">
        <v>43282</v>
      </c>
      <c r="AN35" s="21">
        <v>60</v>
      </c>
      <c r="AO35" s="21" t="s">
        <v>444</v>
      </c>
      <c r="AR35" s="30"/>
      <c r="AS35" t="s">
        <v>616</v>
      </c>
      <c r="AT35" s="21" t="s">
        <v>212</v>
      </c>
      <c r="AU35" s="21">
        <v>10</v>
      </c>
      <c r="AV35" s="21" t="s">
        <v>618</v>
      </c>
      <c r="AW35" s="30">
        <v>43032</v>
      </c>
      <c r="AX35" s="21" t="s">
        <v>633</v>
      </c>
      <c r="AY35" s="21" t="s">
        <v>620</v>
      </c>
      <c r="AZ35" s="21">
        <v>14</v>
      </c>
      <c r="BA35" s="21">
        <v>0</v>
      </c>
      <c r="BF35" s="30"/>
      <c r="BI35" s="21">
        <v>14</v>
      </c>
      <c r="BJ35" s="21">
        <v>0</v>
      </c>
      <c r="BO35" s="30"/>
      <c r="BR35" s="21">
        <v>14</v>
      </c>
      <c r="BS35" s="21">
        <v>0</v>
      </c>
      <c r="BT35" t="s">
        <v>359</v>
      </c>
      <c r="BU35" s="21" t="s">
        <v>439</v>
      </c>
      <c r="BV35" s="21" t="s">
        <v>440</v>
      </c>
      <c r="BW35" s="21" t="s">
        <v>441</v>
      </c>
      <c r="BX35" s="31">
        <v>514477</v>
      </c>
      <c r="BY35" s="31">
        <v>514477</v>
      </c>
      <c r="BZ35" t="s">
        <v>411</v>
      </c>
      <c r="CE35" s="31"/>
      <c r="CF35" s="31"/>
      <c r="CL35" s="31"/>
      <c r="CM35" s="31"/>
      <c r="CS35" s="31"/>
      <c r="CT35" s="31"/>
      <c r="CZ35" s="31"/>
      <c r="DA35" s="31"/>
      <c r="DG35" s="31"/>
      <c r="DH35" s="31"/>
      <c r="DN35" s="31"/>
      <c r="DO35" s="31"/>
      <c r="DQ35" t="s">
        <v>260</v>
      </c>
      <c r="DR35" t="s">
        <v>225</v>
      </c>
      <c r="DS35" t="s">
        <v>621</v>
      </c>
      <c r="DT35" s="29" t="s">
        <v>627</v>
      </c>
      <c r="DU35" t="s">
        <v>175</v>
      </c>
      <c r="DV35" t="s">
        <v>622</v>
      </c>
      <c r="DW35" t="s">
        <v>173</v>
      </c>
      <c r="DX35" t="s">
        <v>170</v>
      </c>
      <c r="DY35" t="s">
        <v>171</v>
      </c>
      <c r="DZ35" s="22">
        <v>43073.921863425923</v>
      </c>
      <c r="EA35" t="s">
        <v>442</v>
      </c>
      <c r="EB35" t="s">
        <v>634</v>
      </c>
    </row>
    <row r="36" spans="1:132" x14ac:dyDescent="0.4">
      <c r="A36" s="30"/>
      <c r="B36" s="22">
        <v>42935.696527777778</v>
      </c>
      <c r="C36" s="22" t="s">
        <v>256</v>
      </c>
      <c r="D36" s="30" t="s">
        <v>222</v>
      </c>
      <c r="E36" s="30" t="s">
        <v>405</v>
      </c>
      <c r="F36" s="30" t="s">
        <v>172</v>
      </c>
      <c r="G36" s="30" t="s">
        <v>174</v>
      </c>
      <c r="H36" t="s">
        <v>94</v>
      </c>
      <c r="I36" t="s">
        <v>404</v>
      </c>
      <c r="J36" t="s">
        <v>406</v>
      </c>
      <c r="L36">
        <v>1</v>
      </c>
      <c r="M36" s="26">
        <v>2.1</v>
      </c>
      <c r="N36" t="s">
        <v>213</v>
      </c>
      <c r="Q36" s="29" t="s">
        <v>177</v>
      </c>
      <c r="R36" s="29" t="str">
        <f>IFERROR(MID(RADataTable[[#This Row],[RAtemplate]],1,LEN(RADataTable[[#This Row],[RAtemplate]])-8),"RA") &amp; " " &amp; RADataTable[[#This Row],[prop_id0]] &amp; " " &amp; RADataTable[[#This Row],[last0]]</f>
        <v>Decline  1751135 Nayyeri</v>
      </c>
      <c r="U36" s="21" t="str">
        <f>IF(signer1="PD",IF(ISBLANK(RADataTable[[#This Row],[sign_blck_name]]),"",RADataTable[[#This Row],[sign_blck_name]]),IF(ISBLANK(signer1),"",signer1))</f>
        <v>Jack Snoeyink</v>
      </c>
      <c r="V36" s="29" t="str">
        <f t="shared" si="1"/>
        <v>Cognisant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nayyeria@eecs.oregonstate.edu</v>
      </c>
      <c r="Y36" s="15" t="str">
        <f>HYPERLINK("mailto:"&amp;RADataTable[[#This Row],[allPIemail]]&amp;"&amp;subject=NSF Proposal:  "&amp;RADataTable[[#This Row],[Div]]&amp;" "&amp;RADataTable[[#This Row],[prop_id0]], "PIs@")</f>
        <v>PIs@</v>
      </c>
      <c r="Z36" t="s">
        <v>224</v>
      </c>
      <c r="AA36" t="s">
        <v>374</v>
      </c>
      <c r="AB36">
        <v>4</v>
      </c>
      <c r="AC36">
        <v>4</v>
      </c>
      <c r="AD36"/>
      <c r="AE36" s="21">
        <v>6</v>
      </c>
      <c r="AF36" s="26">
        <v>6.75</v>
      </c>
      <c r="AG36">
        <v>7</v>
      </c>
      <c r="AH36" t="s">
        <v>533</v>
      </c>
      <c r="AI36" s="30">
        <v>43031.69027777778</v>
      </c>
      <c r="AJ36" s="13">
        <v>607459</v>
      </c>
      <c r="AK36" s="13">
        <v>607459</v>
      </c>
      <c r="AL36">
        <v>0</v>
      </c>
      <c r="AM36" s="30">
        <v>43344</v>
      </c>
      <c r="AN36" s="21">
        <v>60</v>
      </c>
      <c r="AO36" s="21" t="s">
        <v>534</v>
      </c>
      <c r="AR36" s="30"/>
      <c r="AS36" t="s">
        <v>616</v>
      </c>
      <c r="AT36" s="21" t="s">
        <v>212</v>
      </c>
      <c r="AU36" s="21">
        <v>10</v>
      </c>
      <c r="AV36" s="21" t="s">
        <v>618</v>
      </c>
      <c r="AW36" s="30">
        <v>43032</v>
      </c>
      <c r="AX36" s="21" t="s">
        <v>661</v>
      </c>
      <c r="AY36" s="21" t="s">
        <v>620</v>
      </c>
      <c r="AZ36" s="21">
        <v>14</v>
      </c>
      <c r="BA36" s="21">
        <v>2</v>
      </c>
      <c r="BF36" s="30"/>
      <c r="BI36" s="21">
        <v>14</v>
      </c>
      <c r="BJ36" s="21">
        <v>2</v>
      </c>
      <c r="BO36" s="30"/>
      <c r="BR36" s="21">
        <v>14</v>
      </c>
      <c r="BS36" s="21">
        <v>2</v>
      </c>
      <c r="BT36" t="s">
        <v>374</v>
      </c>
      <c r="BU36" s="21" t="s">
        <v>528</v>
      </c>
      <c r="BV36" s="21" t="s">
        <v>529</v>
      </c>
      <c r="BW36" s="21" t="s">
        <v>530</v>
      </c>
      <c r="BX36" s="31">
        <v>607459</v>
      </c>
      <c r="BY36" s="31">
        <v>607459</v>
      </c>
      <c r="BZ36" t="s">
        <v>419</v>
      </c>
      <c r="CE36" s="31"/>
      <c r="CF36" s="31"/>
      <c r="CL36" s="31"/>
      <c r="CM36" s="31"/>
      <c r="CS36" s="31"/>
      <c r="CT36" s="31"/>
      <c r="CZ36" s="31"/>
      <c r="DA36" s="31"/>
      <c r="DG36" s="31"/>
      <c r="DH36" s="31"/>
      <c r="DN36" s="31"/>
      <c r="DO36" s="31"/>
      <c r="DQ36" t="s">
        <v>260</v>
      </c>
      <c r="DR36" t="s">
        <v>225</v>
      </c>
      <c r="DS36" t="s">
        <v>621</v>
      </c>
      <c r="DT36" s="29" t="s">
        <v>214</v>
      </c>
      <c r="DU36" t="s">
        <v>175</v>
      </c>
      <c r="DV36" t="s">
        <v>622</v>
      </c>
      <c r="DW36" t="s">
        <v>173</v>
      </c>
      <c r="DX36" t="s">
        <v>170</v>
      </c>
      <c r="DY36" t="s">
        <v>171</v>
      </c>
      <c r="DZ36" s="22">
        <v>43073.921863425923</v>
      </c>
      <c r="EA36" t="s">
        <v>532</v>
      </c>
      <c r="EB36" t="s">
        <v>662</v>
      </c>
    </row>
    <row r="37" spans="1:132" x14ac:dyDescent="0.4">
      <c r="A37" s="30">
        <v>42677.393472222226</v>
      </c>
      <c r="B37" s="22">
        <v>42571.569444444445</v>
      </c>
      <c r="C37" s="22" t="s">
        <v>975</v>
      </c>
      <c r="D37" s="30" t="s">
        <v>222</v>
      </c>
      <c r="E37" s="30" t="s">
        <v>405</v>
      </c>
      <c r="F37" s="30" t="s">
        <v>172</v>
      </c>
      <c r="G37" s="30" t="s">
        <v>976</v>
      </c>
      <c r="H37" t="s">
        <v>94</v>
      </c>
      <c r="I37" t="s">
        <v>974</v>
      </c>
      <c r="J37" t="s">
        <v>451</v>
      </c>
      <c r="K37" s="22">
        <v>42677.385023148148</v>
      </c>
      <c r="L37">
        <v>1</v>
      </c>
      <c r="M37" s="26">
        <v>2.11</v>
      </c>
      <c r="N37" t="s">
        <v>213</v>
      </c>
      <c r="Q37" s="29" t="s">
        <v>13</v>
      </c>
      <c r="R37" s="29" t="str">
        <f>IFERROR(MID(RADataTable[[#This Row],[RAtemplate]],1,LEN(RADataTable[[#This Row],[RAtemplate]])-8),"RA") &amp; " " &amp; RADataTable[[#This Row],[prop_id0]] &amp; " " &amp; RADataTable[[#This Row],[last0]]</f>
        <v>RA 1652235 De</v>
      </c>
      <c r="U37" s="21" t="str">
        <f>IF(signer1="PD",IF(ISBLANK(RADataTable[[#This Row],[sign_blck_name]]),"",RADataTable[[#This Row],[sign_blck_name]]),IF(ISBLANK(signer1),"",signer1))</f>
        <v>Tracy J. Kimbrel</v>
      </c>
      <c r="V37" s="29" t="str">
        <f t="shared" si="1"/>
        <v>Cognisant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anindya.de1@northwestern.edu</v>
      </c>
      <c r="Y37" s="15" t="str">
        <f>HYPERLINK("mailto:"&amp;RADataTable[[#This Row],[allPIemail]]&amp;"&amp;subject=NSF Proposal:  "&amp;RADataTable[[#This Row],[Div]]&amp;" "&amp;RADataTable[[#This Row],[prop_id0]], "PIs@")</f>
        <v>PIs@</v>
      </c>
      <c r="Z37" t="s">
        <v>224</v>
      </c>
      <c r="AA37" t="s">
        <v>1057</v>
      </c>
      <c r="AB37">
        <v>4</v>
      </c>
      <c r="AD37"/>
      <c r="AE37" s="21">
        <v>6</v>
      </c>
      <c r="AF37" s="26">
        <v>6.5</v>
      </c>
      <c r="AG37">
        <v>7</v>
      </c>
      <c r="AH37" t="s">
        <v>1063</v>
      </c>
      <c r="AI37" s="30">
        <v>42659.915972222225</v>
      </c>
      <c r="AJ37" s="13">
        <v>502206</v>
      </c>
      <c r="AK37" s="13">
        <v>502206</v>
      </c>
      <c r="AL37">
        <v>0</v>
      </c>
      <c r="AM37" s="30">
        <v>42736</v>
      </c>
      <c r="AN37" s="21">
        <v>60</v>
      </c>
      <c r="AO37" s="21" t="s">
        <v>1064</v>
      </c>
      <c r="AP37">
        <v>1</v>
      </c>
      <c r="AQ37" t="s">
        <v>2015</v>
      </c>
      <c r="AR37" s="30">
        <v>42635.76458333333</v>
      </c>
      <c r="AS37" t="s">
        <v>1425</v>
      </c>
      <c r="AT37" s="21" t="s">
        <v>212</v>
      </c>
      <c r="AU37" s="21">
        <v>11</v>
      </c>
      <c r="AV37" s="21" t="s">
        <v>2008</v>
      </c>
      <c r="AW37" s="30">
        <v>42661</v>
      </c>
      <c r="AX37" s="21" t="s">
        <v>674</v>
      </c>
      <c r="AY37" s="21" t="s">
        <v>2010</v>
      </c>
      <c r="AZ37" s="21">
        <v>12</v>
      </c>
      <c r="BA37" s="21">
        <v>0</v>
      </c>
      <c r="BF37" s="30"/>
      <c r="BI37" s="21">
        <v>12</v>
      </c>
      <c r="BJ37" s="21">
        <v>0</v>
      </c>
      <c r="BO37" s="30"/>
      <c r="BR37" s="21">
        <v>12</v>
      </c>
      <c r="BS37" s="21">
        <v>0</v>
      </c>
      <c r="BT37" t="s">
        <v>1057</v>
      </c>
      <c r="BU37" s="21" t="s">
        <v>1058</v>
      </c>
      <c r="BV37" s="21" t="s">
        <v>1059</v>
      </c>
      <c r="BW37" s="21" t="s">
        <v>1060</v>
      </c>
      <c r="BX37" s="31">
        <v>502206</v>
      </c>
      <c r="BY37" s="31">
        <v>502206</v>
      </c>
      <c r="BZ37" t="s">
        <v>1062</v>
      </c>
      <c r="CE37" s="31"/>
      <c r="CF37" s="31"/>
      <c r="CL37" s="31"/>
      <c r="CM37" s="31"/>
      <c r="CS37" s="31"/>
      <c r="CT37" s="31"/>
      <c r="CZ37" s="31"/>
      <c r="DA37" s="31"/>
      <c r="DG37" s="31"/>
      <c r="DH37" s="31"/>
      <c r="DN37" s="31"/>
      <c r="DO37" s="31"/>
      <c r="DQ37" t="s">
        <v>260</v>
      </c>
      <c r="DR37" t="s">
        <v>225</v>
      </c>
      <c r="DS37" t="s">
        <v>621</v>
      </c>
      <c r="DT37" s="29" t="s">
        <v>638</v>
      </c>
      <c r="DU37" t="s">
        <v>973</v>
      </c>
      <c r="DV37" t="s">
        <v>622</v>
      </c>
      <c r="DW37" t="s">
        <v>173</v>
      </c>
      <c r="DX37" t="s">
        <v>170</v>
      </c>
      <c r="DY37" t="s">
        <v>171</v>
      </c>
      <c r="DZ37" s="22">
        <v>43073.921863425923</v>
      </c>
      <c r="EA37" t="s">
        <v>1061</v>
      </c>
      <c r="EB37" t="s">
        <v>2036</v>
      </c>
    </row>
    <row r="38" spans="1:132" x14ac:dyDescent="0.4">
      <c r="A38" s="30">
        <v>42706.641759259262</v>
      </c>
      <c r="B38" s="22">
        <v>42571.42291666667</v>
      </c>
      <c r="C38" s="22" t="s">
        <v>975</v>
      </c>
      <c r="D38" s="30" t="s">
        <v>222</v>
      </c>
      <c r="E38" s="30" t="s">
        <v>405</v>
      </c>
      <c r="F38" s="30" t="s">
        <v>172</v>
      </c>
      <c r="G38" s="30" t="s">
        <v>976</v>
      </c>
      <c r="H38" t="s">
        <v>94</v>
      </c>
      <c r="I38" t="s">
        <v>974</v>
      </c>
      <c r="J38" t="s">
        <v>422</v>
      </c>
      <c r="K38" s="22">
        <v>42705.544803240744</v>
      </c>
      <c r="L38">
        <v>1</v>
      </c>
      <c r="M38" s="26">
        <v>2.12</v>
      </c>
      <c r="N38" t="s">
        <v>213</v>
      </c>
      <c r="Q38" s="29" t="s">
        <v>13</v>
      </c>
      <c r="R38" s="29" t="str">
        <f>IFERROR(MID(RADataTable[[#This Row],[RAtemplate]],1,LEN(RADataTable[[#This Row],[RAtemplate]])-8),"RA") &amp; " " &amp; RADataTable[[#This Row],[prop_id0]] &amp; " " &amp; RADataTable[[#This Row],[last0]]</f>
        <v>RA 1651949 Haeupler</v>
      </c>
      <c r="U38" s="21" t="str">
        <f>IF(signer1="PD",IF(ISBLANK(RADataTable[[#This Row],[sign_blck_name]]),"",RADataTable[[#This Row],[sign_blck_name]]),IF(ISBLANK(signer1),"",signer1))</f>
        <v>Rahul Shah</v>
      </c>
      <c r="V38" s="29" t="str">
        <f t="shared" si="1"/>
        <v>Cognisant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haeupler@cs.cmu.edu</v>
      </c>
      <c r="Y38" s="15" t="str">
        <f>HYPERLINK("mailto:"&amp;RADataTable[[#This Row],[allPIemail]]&amp;"&amp;subject=NSF Proposal:  "&amp;RADataTable[[#This Row],[Div]]&amp;" "&amp;RADataTable[[#This Row],[prop_id0]], "PIs@")</f>
        <v>PIs@</v>
      </c>
      <c r="Z38" t="s">
        <v>224</v>
      </c>
      <c r="AA38" t="s">
        <v>1008</v>
      </c>
      <c r="AB38">
        <v>4</v>
      </c>
      <c r="AD38"/>
      <c r="AE38" s="21">
        <v>7</v>
      </c>
      <c r="AF38" s="26">
        <v>7.25</v>
      </c>
      <c r="AG38">
        <v>8</v>
      </c>
      <c r="AH38" t="s">
        <v>1013</v>
      </c>
      <c r="AI38" s="30">
        <v>42661.832638888889</v>
      </c>
      <c r="AJ38" s="13">
        <v>485739</v>
      </c>
      <c r="AK38" s="13">
        <v>485739</v>
      </c>
      <c r="AL38">
        <v>0</v>
      </c>
      <c r="AM38" s="30">
        <v>42736</v>
      </c>
      <c r="AN38" s="21">
        <v>60</v>
      </c>
      <c r="AO38" s="21" t="s">
        <v>1014</v>
      </c>
      <c r="AP38">
        <v>1</v>
      </c>
      <c r="AQ38" t="s">
        <v>2015</v>
      </c>
      <c r="AR38" s="30">
        <v>42654.813888888886</v>
      </c>
      <c r="AS38" t="s">
        <v>1425</v>
      </c>
      <c r="AT38" s="21" t="s">
        <v>212</v>
      </c>
      <c r="AU38" s="21">
        <v>12</v>
      </c>
      <c r="AV38" s="21" t="s">
        <v>2008</v>
      </c>
      <c r="AW38" s="30">
        <v>42661</v>
      </c>
      <c r="AX38" s="21" t="s">
        <v>2023</v>
      </c>
      <c r="AY38" s="21" t="s">
        <v>2010</v>
      </c>
      <c r="AZ38" s="21">
        <v>12</v>
      </c>
      <c r="BA38" s="21">
        <v>0</v>
      </c>
      <c r="BF38" s="30"/>
      <c r="BI38" s="21">
        <v>12</v>
      </c>
      <c r="BJ38" s="21">
        <v>0</v>
      </c>
      <c r="BO38" s="30"/>
      <c r="BR38" s="21">
        <v>12</v>
      </c>
      <c r="BS38" s="21">
        <v>0</v>
      </c>
      <c r="BT38" t="s">
        <v>1008</v>
      </c>
      <c r="BU38" s="21" t="s">
        <v>1009</v>
      </c>
      <c r="BV38" s="21" t="s">
        <v>1010</v>
      </c>
      <c r="BW38" s="21" t="s">
        <v>424</v>
      </c>
      <c r="BX38" s="31">
        <v>485739</v>
      </c>
      <c r="BY38" s="31">
        <v>485739</v>
      </c>
      <c r="BZ38" t="s">
        <v>1012</v>
      </c>
      <c r="CE38" s="31"/>
      <c r="CF38" s="31"/>
      <c r="CL38" s="31"/>
      <c r="CM38" s="31"/>
      <c r="CS38" s="31"/>
      <c r="CT38" s="31"/>
      <c r="CZ38" s="31"/>
      <c r="DA38" s="31"/>
      <c r="DG38" s="31"/>
      <c r="DH38" s="31"/>
      <c r="DN38" s="31"/>
      <c r="DO38" s="31"/>
      <c r="DQ38" t="s">
        <v>260</v>
      </c>
      <c r="DR38" t="s">
        <v>225</v>
      </c>
      <c r="DS38" t="s">
        <v>621</v>
      </c>
      <c r="DT38" s="29" t="s">
        <v>627</v>
      </c>
      <c r="DU38" t="s">
        <v>973</v>
      </c>
      <c r="DV38" t="s">
        <v>622</v>
      </c>
      <c r="DW38" t="s">
        <v>173</v>
      </c>
      <c r="DX38" t="s">
        <v>170</v>
      </c>
      <c r="DY38" t="s">
        <v>171</v>
      </c>
      <c r="DZ38" s="22">
        <v>43073.921863425923</v>
      </c>
      <c r="EA38" t="s">
        <v>1011</v>
      </c>
      <c r="EB38" t="s">
        <v>2024</v>
      </c>
    </row>
    <row r="39" spans="1:132" x14ac:dyDescent="0.4">
      <c r="A39" s="30"/>
      <c r="B39" s="22">
        <v>42935.69027777778</v>
      </c>
      <c r="C39" s="22" t="s">
        <v>256</v>
      </c>
      <c r="D39" s="30" t="s">
        <v>222</v>
      </c>
      <c r="E39" s="30" t="s">
        <v>405</v>
      </c>
      <c r="F39" s="30" t="s">
        <v>172</v>
      </c>
      <c r="G39" s="30" t="s">
        <v>174</v>
      </c>
      <c r="H39" t="s">
        <v>94</v>
      </c>
      <c r="I39" t="s">
        <v>404</v>
      </c>
      <c r="J39" t="s">
        <v>406</v>
      </c>
      <c r="L39">
        <v>1</v>
      </c>
      <c r="M39" s="26">
        <v>2.12</v>
      </c>
      <c r="N39" t="s">
        <v>213</v>
      </c>
      <c r="Q39" s="29" t="s">
        <v>13</v>
      </c>
      <c r="R39" s="29" t="str">
        <f>IFERROR(MID(RADataTable[[#This Row],[RAtemplate]],1,LEN(RADataTable[[#This Row],[RAtemplate]])-8),"RA") &amp; " " &amp; RADataTable[[#This Row],[prop_id0]] &amp; " " &amp; RADataTable[[#This Row],[last0]]</f>
        <v>RA 1751102 Vouga</v>
      </c>
      <c r="U39" s="21" t="str">
        <f>IF(signer1="PD",IF(ISBLANK(RADataTable[[#This Row],[sign_blck_name]]),"",RADataTable[[#This Row],[sign_blck_name]]),IF(ISBLANK(signer1),"",signer1))</f>
        <v>Jack Snoeyink</v>
      </c>
      <c r="V39" s="29" t="str">
        <f t="shared" si="1"/>
        <v>Cognisant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evouga@cs.utexas.edu</v>
      </c>
      <c r="Y39" s="15" t="str">
        <f>HYPERLINK("mailto:"&amp;RADataTable[[#This Row],[allPIemail]]&amp;"&amp;subject=NSF Proposal:  "&amp;RADataTable[[#This Row],[Div]]&amp;" "&amp;RADataTable[[#This Row],[prop_id0]], "PIs@")</f>
        <v>PIs@</v>
      </c>
      <c r="Z39" t="s">
        <v>224</v>
      </c>
      <c r="AA39" t="s">
        <v>373</v>
      </c>
      <c r="AB39">
        <v>4</v>
      </c>
      <c r="AC39">
        <v>4</v>
      </c>
      <c r="AD39"/>
      <c r="AE39" s="21">
        <v>5</v>
      </c>
      <c r="AF39" s="26">
        <v>6.5</v>
      </c>
      <c r="AG39">
        <v>7</v>
      </c>
      <c r="AH39" t="s">
        <v>443</v>
      </c>
      <c r="AI39" s="30">
        <v>43031.392361111109</v>
      </c>
      <c r="AJ39" s="13">
        <v>523537</v>
      </c>
      <c r="AK39" s="13">
        <v>523537</v>
      </c>
      <c r="AL39">
        <v>0</v>
      </c>
      <c r="AM39" s="30">
        <v>43344</v>
      </c>
      <c r="AN39" s="21">
        <v>60</v>
      </c>
      <c r="AO39" s="21" t="s">
        <v>527</v>
      </c>
      <c r="AR39" s="30"/>
      <c r="AS39" t="s">
        <v>616</v>
      </c>
      <c r="AT39" s="21" t="s">
        <v>212</v>
      </c>
      <c r="AU39" s="21">
        <v>12</v>
      </c>
      <c r="AV39" s="21" t="s">
        <v>618</v>
      </c>
      <c r="AW39" s="30">
        <v>43032</v>
      </c>
      <c r="AX39" s="21" t="s">
        <v>633</v>
      </c>
      <c r="AY39" s="21" t="s">
        <v>620</v>
      </c>
      <c r="AZ39" s="21">
        <v>14</v>
      </c>
      <c r="BA39" s="21">
        <v>0</v>
      </c>
      <c r="BF39" s="30"/>
      <c r="BI39" s="21">
        <v>14</v>
      </c>
      <c r="BJ39" s="21">
        <v>0</v>
      </c>
      <c r="BO39" s="30"/>
      <c r="BR39" s="21">
        <v>14</v>
      </c>
      <c r="BS39" s="21">
        <v>0</v>
      </c>
      <c r="BT39" t="s">
        <v>373</v>
      </c>
      <c r="BU39" s="21" t="s">
        <v>523</v>
      </c>
      <c r="BV39" s="21" t="s">
        <v>524</v>
      </c>
      <c r="BW39" s="21" t="s">
        <v>525</v>
      </c>
      <c r="BX39" s="31">
        <v>523537</v>
      </c>
      <c r="BY39" s="31">
        <v>523537</v>
      </c>
      <c r="BZ39" t="s">
        <v>419</v>
      </c>
      <c r="CE39" s="31"/>
      <c r="CF39" s="31"/>
      <c r="CL39" s="31"/>
      <c r="CM39" s="31"/>
      <c r="CS39" s="31"/>
      <c r="CT39" s="31"/>
      <c r="CZ39" s="31"/>
      <c r="DA39" s="31"/>
      <c r="DG39" s="31"/>
      <c r="DH39" s="31"/>
      <c r="DN39" s="31"/>
      <c r="DO39" s="31"/>
      <c r="DQ39" t="s">
        <v>260</v>
      </c>
      <c r="DR39" t="s">
        <v>225</v>
      </c>
      <c r="DS39" t="s">
        <v>621</v>
      </c>
      <c r="DT39" s="29" t="s">
        <v>214</v>
      </c>
      <c r="DU39" t="s">
        <v>175</v>
      </c>
      <c r="DV39" t="s">
        <v>622</v>
      </c>
      <c r="DW39" t="s">
        <v>173</v>
      </c>
      <c r="DX39" t="s">
        <v>170</v>
      </c>
      <c r="DY39" t="s">
        <v>171</v>
      </c>
      <c r="DZ39" s="22">
        <v>43073.921863425923</v>
      </c>
      <c r="EA39" t="s">
        <v>526</v>
      </c>
      <c r="EB39" t="s">
        <v>660</v>
      </c>
    </row>
    <row r="40" spans="1:132" x14ac:dyDescent="0.4">
      <c r="A40" s="30">
        <v>42682.410821759258</v>
      </c>
      <c r="B40" s="22">
        <v>42570.490277777775</v>
      </c>
      <c r="C40" s="22" t="s">
        <v>975</v>
      </c>
      <c r="D40" s="30" t="s">
        <v>222</v>
      </c>
      <c r="E40" s="30" t="s">
        <v>405</v>
      </c>
      <c r="F40" s="30" t="s">
        <v>172</v>
      </c>
      <c r="G40" s="30" t="s">
        <v>976</v>
      </c>
      <c r="H40" t="s">
        <v>94</v>
      </c>
      <c r="I40" t="s">
        <v>974</v>
      </c>
      <c r="J40" t="s">
        <v>406</v>
      </c>
      <c r="K40" s="22">
        <v>42678.449837962966</v>
      </c>
      <c r="L40">
        <v>1</v>
      </c>
      <c r="M40" s="26">
        <v>2.13</v>
      </c>
      <c r="N40" t="s">
        <v>213</v>
      </c>
      <c r="Q40" s="29" t="s">
        <v>13</v>
      </c>
      <c r="R40" s="29" t="str">
        <f>IFERROR(MID(RADataTable[[#This Row],[RAtemplate]],1,LEN(RADataTable[[#This Row],[RAtemplate]])-8),"RA") &amp; " " &amp; RADataTable[[#This Row],[prop_id0]] &amp; " " &amp; RADataTable[[#This Row],[last0]]</f>
        <v>RA 1651569 Wang</v>
      </c>
      <c r="U40" s="21" t="str">
        <f>IF(signer1="PD",IF(ISBLANK(RADataTable[[#This Row],[sign_blck_name]]),"",RADataTable[[#This Row],[sign_blck_name]]),IF(ISBLANK(signer1),"",signer1))</f>
        <v>Jack Snoeyink</v>
      </c>
      <c r="V40" s="29" t="str">
        <f t="shared" si="1"/>
        <v>Cognisant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haitao.wang@usu.edu</v>
      </c>
      <c r="Y40" s="15" t="str">
        <f>HYPERLINK("mailto:"&amp;RADataTable[[#This Row],[allPIemail]]&amp;"&amp;subject=NSF Proposal:  "&amp;RADataTable[[#This Row],[Div]]&amp;" "&amp;RADataTable[[#This Row],[prop_id0]], "PIs@")</f>
        <v>PIs@</v>
      </c>
      <c r="Z40" t="s">
        <v>224</v>
      </c>
      <c r="AA40" t="s">
        <v>988</v>
      </c>
      <c r="AB40">
        <v>4</v>
      </c>
      <c r="AD40"/>
      <c r="AE40" s="21">
        <v>7</v>
      </c>
      <c r="AF40" s="26">
        <v>7.5</v>
      </c>
      <c r="AG40">
        <v>8</v>
      </c>
      <c r="AH40" t="s">
        <v>989</v>
      </c>
      <c r="AI40" s="30">
        <v>42661.481249999997</v>
      </c>
      <c r="AJ40" s="13">
        <v>484868</v>
      </c>
      <c r="AK40" s="13">
        <v>484868</v>
      </c>
      <c r="AL40">
        <v>0</v>
      </c>
      <c r="AM40" s="30">
        <v>42979</v>
      </c>
      <c r="AN40" s="21">
        <v>60</v>
      </c>
      <c r="AO40" s="21" t="s">
        <v>421</v>
      </c>
      <c r="AP40">
        <v>1</v>
      </c>
      <c r="AQ40" t="s">
        <v>2013</v>
      </c>
      <c r="AR40" s="30">
        <v>42653.734722222223</v>
      </c>
      <c r="AS40" t="s">
        <v>1425</v>
      </c>
      <c r="AT40" s="21" t="s">
        <v>212</v>
      </c>
      <c r="AU40" s="21">
        <v>13</v>
      </c>
      <c r="AV40" s="21" t="s">
        <v>2008</v>
      </c>
      <c r="AW40" s="30">
        <v>42661</v>
      </c>
      <c r="AX40" s="21" t="s">
        <v>2014</v>
      </c>
      <c r="AY40" s="21" t="s">
        <v>2010</v>
      </c>
      <c r="AZ40" s="21">
        <v>12</v>
      </c>
      <c r="BA40" s="21">
        <v>0</v>
      </c>
      <c r="BF40" s="30"/>
      <c r="BI40" s="21">
        <v>12</v>
      </c>
      <c r="BJ40" s="21">
        <v>0</v>
      </c>
      <c r="BO40" s="30"/>
      <c r="BR40" s="21">
        <v>12</v>
      </c>
      <c r="BS40" s="21">
        <v>0</v>
      </c>
      <c r="BT40" t="s">
        <v>988</v>
      </c>
      <c r="BU40" s="21" t="s">
        <v>414</v>
      </c>
      <c r="BV40" s="21" t="s">
        <v>415</v>
      </c>
      <c r="BW40" s="21" t="s">
        <v>416</v>
      </c>
      <c r="BX40" s="31">
        <v>484868</v>
      </c>
      <c r="BY40" s="31">
        <v>484868</v>
      </c>
      <c r="BZ40" t="s">
        <v>419</v>
      </c>
      <c r="CE40" s="31"/>
      <c r="CF40" s="31"/>
      <c r="CL40" s="31"/>
      <c r="CM40" s="31"/>
      <c r="CS40" s="31"/>
      <c r="CT40" s="31"/>
      <c r="CZ40" s="31"/>
      <c r="DA40" s="31"/>
      <c r="DG40" s="31"/>
      <c r="DH40" s="31"/>
      <c r="DN40" s="31"/>
      <c r="DO40" s="31"/>
      <c r="DQ40" t="s">
        <v>260</v>
      </c>
      <c r="DR40" t="s">
        <v>225</v>
      </c>
      <c r="DS40" t="s">
        <v>621</v>
      </c>
      <c r="DT40" s="29" t="s">
        <v>214</v>
      </c>
      <c r="DU40" t="s">
        <v>973</v>
      </c>
      <c r="DV40" t="s">
        <v>622</v>
      </c>
      <c r="DW40" t="s">
        <v>173</v>
      </c>
      <c r="DX40" t="s">
        <v>170</v>
      </c>
      <c r="DY40" t="s">
        <v>171</v>
      </c>
      <c r="DZ40" s="22">
        <v>43073.921863425923</v>
      </c>
      <c r="EA40" t="s">
        <v>418</v>
      </c>
      <c r="EB40" t="s">
        <v>625</v>
      </c>
    </row>
    <row r="41" spans="1:132" x14ac:dyDescent="0.4">
      <c r="A41" s="30">
        <v>42684.464479166665</v>
      </c>
      <c r="B41" s="22">
        <v>42569.6875</v>
      </c>
      <c r="C41" s="22" t="s">
        <v>975</v>
      </c>
      <c r="D41" s="30" t="s">
        <v>222</v>
      </c>
      <c r="E41" s="30" t="s">
        <v>405</v>
      </c>
      <c r="F41" s="30" t="s">
        <v>172</v>
      </c>
      <c r="G41" s="30" t="s">
        <v>976</v>
      </c>
      <c r="H41" t="s">
        <v>94</v>
      </c>
      <c r="I41" t="s">
        <v>974</v>
      </c>
      <c r="J41" t="s">
        <v>422</v>
      </c>
      <c r="K41" s="22">
        <v>42683.53429398148</v>
      </c>
      <c r="L41">
        <v>1</v>
      </c>
      <c r="M41" s="26">
        <v>2.14</v>
      </c>
      <c r="N41" t="s">
        <v>213</v>
      </c>
      <c r="Q41" s="29" t="s">
        <v>13</v>
      </c>
      <c r="R41" s="29" t="str">
        <f>IFERROR(MID(RADataTable[[#This Row],[RAtemplate]],1,LEN(RADataTable[[#This Row],[RAtemplate]])-8),"RA") &amp; " " &amp; RADataTable[[#This Row],[prop_id0]] &amp; " " &amp; RADataTable[[#This Row],[last0]]</f>
        <v>RA 1651432 Nagarajan</v>
      </c>
      <c r="U41" s="21" t="str">
        <f>IF(signer1="PD",IF(ISBLANK(RADataTable[[#This Row],[sign_blck_name]]),"",RADataTable[[#This Row],[sign_blck_name]]),IF(ISBLANK(signer1),"",signer1))</f>
        <v>Rahul Shah</v>
      </c>
      <c r="V41" s="29" t="str">
        <f t="shared" si="1"/>
        <v>Cognisant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viswa@umich.edu</v>
      </c>
      <c r="Y41" s="15" t="str">
        <f>HYPERLINK("mailto:"&amp;RADataTable[[#This Row],[allPIemail]]&amp;"&amp;subject=NSF Proposal:  "&amp;RADataTable[[#This Row],[Div]]&amp;" "&amp;RADataTable[[#This Row],[prop_id0]], "PIs@")</f>
        <v>PIs@</v>
      </c>
      <c r="Z41" t="s">
        <v>224</v>
      </c>
      <c r="AA41" t="s">
        <v>986</v>
      </c>
      <c r="AB41">
        <v>4</v>
      </c>
      <c r="AD41"/>
      <c r="AE41" s="21">
        <v>5</v>
      </c>
      <c r="AF41" s="26">
        <v>6.5</v>
      </c>
      <c r="AG41">
        <v>7</v>
      </c>
      <c r="AH41" t="s">
        <v>443</v>
      </c>
      <c r="AI41" s="30">
        <v>42660.114583333336</v>
      </c>
      <c r="AJ41" s="13">
        <v>510836</v>
      </c>
      <c r="AK41" s="13">
        <v>510836</v>
      </c>
      <c r="AL41">
        <v>0</v>
      </c>
      <c r="AM41" s="30">
        <v>42856</v>
      </c>
      <c r="AN41" s="21">
        <v>60</v>
      </c>
      <c r="AO41" s="21" t="s">
        <v>987</v>
      </c>
      <c r="AP41">
        <v>1</v>
      </c>
      <c r="AQ41" t="s">
        <v>2012</v>
      </c>
      <c r="AR41" s="30">
        <v>42659.428472222222</v>
      </c>
      <c r="AS41" t="s">
        <v>1425</v>
      </c>
      <c r="AT41" s="21" t="s">
        <v>212</v>
      </c>
      <c r="AU41" s="21">
        <v>14</v>
      </c>
      <c r="AV41" s="21" t="s">
        <v>2008</v>
      </c>
      <c r="AW41" s="30">
        <v>42661</v>
      </c>
      <c r="AX41" s="21" t="s">
        <v>672</v>
      </c>
      <c r="AY41" s="21" t="s">
        <v>2010</v>
      </c>
      <c r="AZ41" s="21">
        <v>12</v>
      </c>
      <c r="BA41" s="21">
        <v>0</v>
      </c>
      <c r="BF41" s="30"/>
      <c r="BI41" s="21">
        <v>12</v>
      </c>
      <c r="BJ41" s="21">
        <v>0</v>
      </c>
      <c r="BO41" s="30"/>
      <c r="BR41" s="21">
        <v>12</v>
      </c>
      <c r="BS41" s="21">
        <v>0</v>
      </c>
      <c r="BT41" t="s">
        <v>986</v>
      </c>
      <c r="BU41" s="21" t="s">
        <v>481</v>
      </c>
      <c r="BV41" s="21" t="s">
        <v>482</v>
      </c>
      <c r="BW41" s="21" t="s">
        <v>483</v>
      </c>
      <c r="BX41" s="31">
        <v>510836</v>
      </c>
      <c r="BY41" s="31">
        <v>510836</v>
      </c>
      <c r="BZ41" t="s">
        <v>411</v>
      </c>
      <c r="CE41" s="31"/>
      <c r="CF41" s="31"/>
      <c r="CL41" s="31"/>
      <c r="CM41" s="31"/>
      <c r="CS41" s="31"/>
      <c r="CT41" s="31"/>
      <c r="CZ41" s="31"/>
      <c r="DA41" s="31"/>
      <c r="DG41" s="31"/>
      <c r="DH41" s="31"/>
      <c r="DN41" s="31"/>
      <c r="DO41" s="31"/>
      <c r="DQ41" t="s">
        <v>260</v>
      </c>
      <c r="DR41" t="s">
        <v>225</v>
      </c>
      <c r="DS41" t="s">
        <v>621</v>
      </c>
      <c r="DT41" s="29" t="s">
        <v>627</v>
      </c>
      <c r="DU41" t="s">
        <v>973</v>
      </c>
      <c r="DV41" t="s">
        <v>622</v>
      </c>
      <c r="DW41" t="s">
        <v>173</v>
      </c>
      <c r="DX41" t="s">
        <v>170</v>
      </c>
      <c r="DY41" t="s">
        <v>171</v>
      </c>
      <c r="DZ41" s="22">
        <v>43073.921863425923</v>
      </c>
      <c r="EA41" t="s">
        <v>485</v>
      </c>
      <c r="EB41" t="s">
        <v>649</v>
      </c>
    </row>
    <row r="42" spans="1:132" x14ac:dyDescent="0.4">
      <c r="A42" s="30">
        <v>42684.468310185184</v>
      </c>
      <c r="B42" s="22">
        <v>42571.602777777778</v>
      </c>
      <c r="C42" s="22" t="s">
        <v>975</v>
      </c>
      <c r="D42" s="30" t="s">
        <v>222</v>
      </c>
      <c r="E42" s="30" t="s">
        <v>405</v>
      </c>
      <c r="F42" s="30" t="s">
        <v>172</v>
      </c>
      <c r="G42" s="30" t="s">
        <v>976</v>
      </c>
      <c r="H42" t="s">
        <v>94</v>
      </c>
      <c r="I42" t="s">
        <v>974</v>
      </c>
      <c r="J42" t="s">
        <v>422</v>
      </c>
      <c r="K42" s="22">
        <v>42683.705682870372</v>
      </c>
      <c r="L42">
        <v>1</v>
      </c>
      <c r="M42" s="26">
        <v>2.14</v>
      </c>
      <c r="N42" t="s">
        <v>213</v>
      </c>
      <c r="Q42" s="29" t="s">
        <v>13</v>
      </c>
      <c r="R42" s="29" t="str">
        <f>IFERROR(MID(RADataTable[[#This Row],[RAtemplate]],1,LEN(RADataTable[[#This Row],[RAtemplate]])-8),"RA") &amp; " " &amp; RADataTable[[#This Row],[prop_id0]] &amp; " " &amp; RADataTable[[#This Row],[last0]]</f>
        <v>RA 1652346 Seshadhri</v>
      </c>
      <c r="U42" s="21" t="str">
        <f>IF(signer1="PD",IF(ISBLANK(RADataTable[[#This Row],[sign_blck_name]]),"",RADataTable[[#This Row],[sign_blck_name]]),IF(ISBLANK(signer1),"",signer1))</f>
        <v>Rahul Shah</v>
      </c>
      <c r="V42" s="29" t="str">
        <f t="shared" si="1"/>
        <v>Cognisant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sesh@ucsc.edu</v>
      </c>
      <c r="Y42" s="15" t="str">
        <f>HYPERLINK("mailto:"&amp;RADataTable[[#This Row],[allPIemail]]&amp;"&amp;subject=NSF Proposal:  "&amp;RADataTable[[#This Row],[Div]]&amp;" "&amp;RADataTable[[#This Row],[prop_id0]], "PIs@")</f>
        <v>PIs@</v>
      </c>
      <c r="Z42" t="s">
        <v>224</v>
      </c>
      <c r="AA42" t="s">
        <v>1079</v>
      </c>
      <c r="AB42">
        <v>4</v>
      </c>
      <c r="AD42"/>
      <c r="AE42" s="21">
        <v>6</v>
      </c>
      <c r="AF42" s="26">
        <v>6.75</v>
      </c>
      <c r="AG42">
        <v>7</v>
      </c>
      <c r="AH42" t="s">
        <v>533</v>
      </c>
      <c r="AI42" s="30">
        <v>42661.84375</v>
      </c>
      <c r="AJ42" s="13">
        <v>483059</v>
      </c>
      <c r="AK42" s="13">
        <v>483059</v>
      </c>
      <c r="AL42">
        <v>0</v>
      </c>
      <c r="AM42" s="30">
        <v>42644</v>
      </c>
      <c r="AN42" s="21">
        <v>60</v>
      </c>
      <c r="AO42" s="21" t="s">
        <v>1084</v>
      </c>
      <c r="AP42">
        <v>1</v>
      </c>
      <c r="AQ42" t="s">
        <v>2015</v>
      </c>
      <c r="AR42" s="30">
        <v>42647.597222222219</v>
      </c>
      <c r="AS42" t="s">
        <v>1425</v>
      </c>
      <c r="AT42" s="21" t="s">
        <v>212</v>
      </c>
      <c r="AU42" s="21">
        <v>14</v>
      </c>
      <c r="AV42" s="21" t="s">
        <v>2008</v>
      </c>
      <c r="AW42" s="30">
        <v>42661</v>
      </c>
      <c r="AX42" s="21" t="s">
        <v>2041</v>
      </c>
      <c r="AY42" s="21" t="s">
        <v>2010</v>
      </c>
      <c r="AZ42" s="21">
        <v>12</v>
      </c>
      <c r="BA42" s="21">
        <v>0</v>
      </c>
      <c r="BF42" s="30"/>
      <c r="BI42" s="21">
        <v>12</v>
      </c>
      <c r="BJ42" s="21">
        <v>0</v>
      </c>
      <c r="BO42" s="30"/>
      <c r="BR42" s="21">
        <v>12</v>
      </c>
      <c r="BS42" s="21">
        <v>0</v>
      </c>
      <c r="BT42" t="s">
        <v>1079</v>
      </c>
      <c r="BU42" s="21" t="s">
        <v>1080</v>
      </c>
      <c r="BV42" s="21" t="s">
        <v>1081</v>
      </c>
      <c r="BW42" s="21" t="s">
        <v>1082</v>
      </c>
      <c r="BX42" s="31">
        <v>483059</v>
      </c>
      <c r="BY42" s="31">
        <v>483059</v>
      </c>
      <c r="BZ42" t="s">
        <v>411</v>
      </c>
      <c r="CE42" s="31"/>
      <c r="CF42" s="31"/>
      <c r="CL42" s="31"/>
      <c r="CM42" s="31"/>
      <c r="CS42" s="31"/>
      <c r="CT42" s="31"/>
      <c r="CZ42" s="31"/>
      <c r="DA42" s="31"/>
      <c r="DG42" s="31"/>
      <c r="DH42" s="31"/>
      <c r="DN42" s="31"/>
      <c r="DO42" s="31"/>
      <c r="DQ42" t="s">
        <v>260</v>
      </c>
      <c r="DR42" t="s">
        <v>225</v>
      </c>
      <c r="DS42" t="s">
        <v>621</v>
      </c>
      <c r="DT42" s="29" t="s">
        <v>627</v>
      </c>
      <c r="DU42" t="s">
        <v>973</v>
      </c>
      <c r="DV42" t="s">
        <v>622</v>
      </c>
      <c r="DW42" t="s">
        <v>173</v>
      </c>
      <c r="DX42" t="s">
        <v>170</v>
      </c>
      <c r="DY42" t="s">
        <v>171</v>
      </c>
      <c r="DZ42" s="22">
        <v>43073.921863425923</v>
      </c>
      <c r="EA42" t="s">
        <v>1083</v>
      </c>
      <c r="EB42" t="s">
        <v>2042</v>
      </c>
    </row>
    <row r="43" spans="1:132" x14ac:dyDescent="0.4">
      <c r="A43" s="30">
        <v>42682.383391203701</v>
      </c>
      <c r="B43" s="22">
        <v>42571.675000000003</v>
      </c>
      <c r="C43" s="22" t="s">
        <v>975</v>
      </c>
      <c r="D43" s="30" t="s">
        <v>222</v>
      </c>
      <c r="E43" s="30" t="s">
        <v>405</v>
      </c>
      <c r="F43" s="30" t="s">
        <v>172</v>
      </c>
      <c r="G43" s="30" t="s">
        <v>976</v>
      </c>
      <c r="H43" t="s">
        <v>94</v>
      </c>
      <c r="I43" t="s">
        <v>974</v>
      </c>
      <c r="J43" t="s">
        <v>406</v>
      </c>
      <c r="K43" s="22">
        <v>42681.661168981482</v>
      </c>
      <c r="L43">
        <v>1</v>
      </c>
      <c r="M43" s="26">
        <v>2.14</v>
      </c>
      <c r="N43" t="s">
        <v>213</v>
      </c>
      <c r="Q43" s="29" t="s">
        <v>13</v>
      </c>
      <c r="R43" s="29" t="str">
        <f>IFERROR(MID(RADataTable[[#This Row],[RAtemplate]],1,LEN(RADataTable[[#This Row],[RAtemplate]])-8),"RA") &amp; " " &amp; RADataTable[[#This Row],[prop_id0]] &amp; " " &amp; RADataTable[[#This Row],[last0]]</f>
        <v>RA 1652640 Zeng</v>
      </c>
      <c r="U43" s="21" t="str">
        <f>IF(signer1="PD",IF(ISBLANK(RADataTable[[#This Row],[sign_blck_name]]),"",RADataTable[[#This Row],[sign_blck_name]]),IF(ISBLANK(signer1),"",signer1))</f>
        <v>Jack Snoeyink</v>
      </c>
      <c r="V43" s="29" t="str">
        <f t="shared" si="1"/>
        <v>Cognisant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wzeng@cs.fiu.edu</v>
      </c>
      <c r="Y43" s="15" t="str">
        <f>HYPERLINK("mailto:"&amp;RADataTable[[#This Row],[allPIemail]]&amp;"&amp;subject=NSF Proposal:  "&amp;RADataTable[[#This Row],[Div]]&amp;" "&amp;RADataTable[[#This Row],[prop_id0]], "PIs@")</f>
        <v>PIs@</v>
      </c>
      <c r="Z43" t="s">
        <v>224</v>
      </c>
      <c r="AA43" t="s">
        <v>1090</v>
      </c>
      <c r="AB43">
        <v>5</v>
      </c>
      <c r="AD43"/>
      <c r="AE43" s="21">
        <v>1</v>
      </c>
      <c r="AF43" s="26">
        <v>6.2</v>
      </c>
      <c r="AG43">
        <v>9</v>
      </c>
      <c r="AH43" t="s">
        <v>1095</v>
      </c>
      <c r="AI43" s="30">
        <v>42661.602083333331</v>
      </c>
      <c r="AJ43" s="13">
        <v>439758</v>
      </c>
      <c r="AK43" s="13">
        <v>439758</v>
      </c>
      <c r="AL43">
        <v>0</v>
      </c>
      <c r="AM43" s="30">
        <v>42917</v>
      </c>
      <c r="AN43" s="21">
        <v>60</v>
      </c>
      <c r="AO43" s="21" t="s">
        <v>1096</v>
      </c>
      <c r="AP43">
        <v>2</v>
      </c>
      <c r="AQ43" t="s">
        <v>2045</v>
      </c>
      <c r="AR43" s="30">
        <v>42659</v>
      </c>
      <c r="AS43" t="s">
        <v>1425</v>
      </c>
      <c r="AT43" s="21" t="s">
        <v>212</v>
      </c>
      <c r="AU43" s="21">
        <v>14</v>
      </c>
      <c r="AV43" s="21" t="s">
        <v>2008</v>
      </c>
      <c r="AW43" s="30">
        <v>42661</v>
      </c>
      <c r="AX43" s="21" t="s">
        <v>2046</v>
      </c>
      <c r="AY43" s="21" t="s">
        <v>2010</v>
      </c>
      <c r="AZ43" s="21">
        <v>12</v>
      </c>
      <c r="BA43" s="21">
        <v>0</v>
      </c>
      <c r="BF43" s="30"/>
      <c r="BI43" s="21">
        <v>12</v>
      </c>
      <c r="BJ43" s="21">
        <v>0</v>
      </c>
      <c r="BO43" s="30"/>
      <c r="BR43" s="21">
        <v>12</v>
      </c>
      <c r="BS43" s="21">
        <v>0</v>
      </c>
      <c r="BT43" t="s">
        <v>1090</v>
      </c>
      <c r="BU43" s="21" t="s">
        <v>1091</v>
      </c>
      <c r="BV43" s="21" t="s">
        <v>1092</v>
      </c>
      <c r="BW43" s="21" t="s">
        <v>1093</v>
      </c>
      <c r="BX43" s="31">
        <v>439758</v>
      </c>
      <c r="BY43" s="31">
        <v>439758</v>
      </c>
      <c r="BZ43" t="s">
        <v>419</v>
      </c>
      <c r="CE43" s="31"/>
      <c r="CF43" s="31"/>
      <c r="CL43" s="31"/>
      <c r="CM43" s="31"/>
      <c r="CS43" s="31"/>
      <c r="CT43" s="31"/>
      <c r="CZ43" s="31"/>
      <c r="DA43" s="31"/>
      <c r="DG43" s="31"/>
      <c r="DH43" s="31"/>
      <c r="DN43" s="31"/>
      <c r="DO43" s="31"/>
      <c r="DQ43" t="s">
        <v>260</v>
      </c>
      <c r="DR43" t="s">
        <v>225</v>
      </c>
      <c r="DS43" t="s">
        <v>621</v>
      </c>
      <c r="DT43" s="29" t="s">
        <v>214</v>
      </c>
      <c r="DU43" t="s">
        <v>973</v>
      </c>
      <c r="DV43" t="s">
        <v>622</v>
      </c>
      <c r="DW43" t="s">
        <v>173</v>
      </c>
      <c r="DX43" t="s">
        <v>170</v>
      </c>
      <c r="DY43" t="s">
        <v>171</v>
      </c>
      <c r="DZ43" s="22">
        <v>43073.921863425923</v>
      </c>
      <c r="EA43" t="s">
        <v>1094</v>
      </c>
      <c r="EB43" t="s">
        <v>2047</v>
      </c>
    </row>
    <row r="44" spans="1:132" x14ac:dyDescent="0.4">
      <c r="A44" s="30">
        <v>42921.439606481479</v>
      </c>
      <c r="B44" s="22">
        <v>42571.6875</v>
      </c>
      <c r="C44" s="22" t="s">
        <v>975</v>
      </c>
      <c r="D44" s="30" t="s">
        <v>222</v>
      </c>
      <c r="E44" s="30" t="s">
        <v>405</v>
      </c>
      <c r="F44" s="30" t="s">
        <v>172</v>
      </c>
      <c r="G44" s="30" t="s">
        <v>976</v>
      </c>
      <c r="H44" t="s">
        <v>94</v>
      </c>
      <c r="I44" t="s">
        <v>974</v>
      </c>
      <c r="J44" t="s">
        <v>406</v>
      </c>
      <c r="K44" s="22">
        <v>42674.650416666664</v>
      </c>
      <c r="L44">
        <v>1</v>
      </c>
      <c r="M44" s="26">
        <v>2.14</v>
      </c>
      <c r="N44" t="s">
        <v>213</v>
      </c>
      <c r="Q44" s="29" t="s">
        <v>13</v>
      </c>
      <c r="R44" s="29" t="str">
        <f>IFERROR(MID(RADataTable[[#This Row],[RAtemplate]],1,LEN(RADataTable[[#This Row],[RAtemplate]])-8),"RA") &amp; " " &amp; RADataTable[[#This Row],[prop_id0]] &amp; " " &amp; RADataTable[[#This Row],[last0]]</f>
        <v>RA 1652695 Vouga</v>
      </c>
      <c r="U44" s="21" t="str">
        <f>IF(signer1="PD",IF(ISBLANK(RADataTable[[#This Row],[sign_blck_name]]),"",RADataTable[[#This Row],[sign_blck_name]]),IF(ISBLANK(signer1),"",signer1))</f>
        <v>Jack Snoeyink</v>
      </c>
      <c r="V44" s="29" t="str">
        <f t="shared" si="1"/>
        <v>Cognisant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evouga@cs.utexas.edu</v>
      </c>
      <c r="Y44" s="15" t="str">
        <f>HYPERLINK("mailto:"&amp;RADataTable[[#This Row],[allPIemail]]&amp;"&amp;subject=NSF Proposal:  "&amp;RADataTable[[#This Row],[Div]]&amp;" "&amp;RADataTable[[#This Row],[prop_id0]], "PIs@")</f>
        <v>PIs@</v>
      </c>
      <c r="Z44" t="s">
        <v>224</v>
      </c>
      <c r="AA44" t="s">
        <v>1097</v>
      </c>
      <c r="AB44">
        <v>4</v>
      </c>
      <c r="AD44"/>
      <c r="AE44" s="21">
        <v>5</v>
      </c>
      <c r="AF44" s="26">
        <v>7.5</v>
      </c>
      <c r="AG44">
        <v>9</v>
      </c>
      <c r="AH44" t="s">
        <v>1098</v>
      </c>
      <c r="AI44" s="30">
        <v>42659.875</v>
      </c>
      <c r="AJ44" s="13">
        <v>501317</v>
      </c>
      <c r="AK44" s="13">
        <v>501317</v>
      </c>
      <c r="AL44">
        <v>0</v>
      </c>
      <c r="AM44" s="30">
        <v>42948</v>
      </c>
      <c r="AN44" s="21">
        <v>60</v>
      </c>
      <c r="AO44" s="21" t="s">
        <v>1099</v>
      </c>
      <c r="AP44">
        <v>1</v>
      </c>
      <c r="AQ44" t="s">
        <v>2007</v>
      </c>
      <c r="AR44" s="30">
        <v>42636.754861111112</v>
      </c>
      <c r="AS44" t="s">
        <v>1425</v>
      </c>
      <c r="AT44" s="21" t="s">
        <v>212</v>
      </c>
      <c r="AU44" s="21">
        <v>14</v>
      </c>
      <c r="AV44" s="21" t="s">
        <v>2008</v>
      </c>
      <c r="AW44" s="30">
        <v>42661</v>
      </c>
      <c r="AX44" s="21" t="s">
        <v>2048</v>
      </c>
      <c r="AY44" s="21" t="s">
        <v>2010</v>
      </c>
      <c r="AZ44" s="21">
        <v>12</v>
      </c>
      <c r="BA44" s="21">
        <v>1</v>
      </c>
      <c r="BF44" s="30"/>
      <c r="BI44" s="21">
        <v>12</v>
      </c>
      <c r="BJ44" s="21">
        <v>1</v>
      </c>
      <c r="BO44" s="30"/>
      <c r="BR44" s="21">
        <v>12</v>
      </c>
      <c r="BS44" s="21">
        <v>1</v>
      </c>
      <c r="BT44" t="s">
        <v>1097</v>
      </c>
      <c r="BU44" s="21" t="s">
        <v>523</v>
      </c>
      <c r="BV44" s="21" t="s">
        <v>524</v>
      </c>
      <c r="BW44" s="21" t="s">
        <v>525</v>
      </c>
      <c r="BX44" s="31">
        <v>501317</v>
      </c>
      <c r="BY44" s="31">
        <v>501317</v>
      </c>
      <c r="BZ44" t="s">
        <v>419</v>
      </c>
      <c r="CE44" s="31"/>
      <c r="CF44" s="31"/>
      <c r="CL44" s="31"/>
      <c r="CM44" s="31"/>
      <c r="CS44" s="31"/>
      <c r="CT44" s="31"/>
      <c r="CZ44" s="31"/>
      <c r="DA44" s="31"/>
      <c r="DG44" s="31"/>
      <c r="DH44" s="31"/>
      <c r="DN44" s="31"/>
      <c r="DO44" s="31"/>
      <c r="DQ44" t="s">
        <v>260</v>
      </c>
      <c r="DR44" t="s">
        <v>225</v>
      </c>
      <c r="DS44" t="s">
        <v>621</v>
      </c>
      <c r="DT44" s="29" t="s">
        <v>214</v>
      </c>
      <c r="DU44" t="s">
        <v>973</v>
      </c>
      <c r="DV44" t="s">
        <v>622</v>
      </c>
      <c r="DW44" t="s">
        <v>173</v>
      </c>
      <c r="DX44" t="s">
        <v>170</v>
      </c>
      <c r="DY44" t="s">
        <v>171</v>
      </c>
      <c r="DZ44" s="22">
        <v>43073.921863425923</v>
      </c>
      <c r="EA44" t="s">
        <v>526</v>
      </c>
      <c r="EB44" t="s">
        <v>660</v>
      </c>
    </row>
    <row r="45" spans="1:132" x14ac:dyDescent="0.4">
      <c r="A45" s="30"/>
      <c r="B45" s="22">
        <v>42956.472222222219</v>
      </c>
      <c r="C45" s="22" t="s">
        <v>549</v>
      </c>
      <c r="D45" s="30" t="s">
        <v>222</v>
      </c>
      <c r="E45" s="30" t="s">
        <v>550</v>
      </c>
      <c r="F45" s="30" t="s">
        <v>172</v>
      </c>
      <c r="G45" s="30" t="s">
        <v>174</v>
      </c>
      <c r="H45" t="s">
        <v>94</v>
      </c>
      <c r="I45" t="s">
        <v>548</v>
      </c>
      <c r="J45" t="s">
        <v>406</v>
      </c>
      <c r="L45">
        <v>1</v>
      </c>
      <c r="M45" s="26">
        <v>3.04</v>
      </c>
      <c r="N45" t="s">
        <v>263</v>
      </c>
      <c r="Q45" s="29" t="s">
        <v>177</v>
      </c>
      <c r="R45" s="29" t="str">
        <f>IFERROR(MID(RADataTable[[#This Row],[RAtemplate]],1,LEN(RADataTable[[#This Row],[RAtemplate]])-8),"RA") &amp; " " &amp; RADataTable[[#This Row],[prop_id0]] &amp; " " &amp; RADataTable[[#This Row],[last0]]</f>
        <v>Decline  1755702 Charkhgard</v>
      </c>
      <c r="U45" s="21" t="str">
        <f>IF(signer1="PD",IF(ISBLANK(RADataTable[[#This Row],[sign_blck_name]]),"",RADataTable[[#This Row],[sign_blck_name]]),IF(ISBLANK(signer1),"",signer1))</f>
        <v>Jack Snoeyink</v>
      </c>
      <c r="V45" s="29" t="str">
        <f t="shared" si="1"/>
        <v>Cognisant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hcharkhgard@usf.edu</v>
      </c>
      <c r="Y45" s="15" t="str">
        <f>HYPERLINK("mailto:"&amp;RADataTable[[#This Row],[allPIemail]]&amp;"&amp;subject=NSF Proposal:  "&amp;RADataTable[[#This Row],[Div]]&amp;" "&amp;RADataTable[[#This Row],[prop_id0]], "PIs@")</f>
        <v>PIs@</v>
      </c>
      <c r="Z45" t="s">
        <v>224</v>
      </c>
      <c r="AA45" t="s">
        <v>378</v>
      </c>
      <c r="AB45">
        <v>3</v>
      </c>
      <c r="AC45">
        <v>3</v>
      </c>
      <c r="AD45"/>
      <c r="AE45" s="21">
        <v>5</v>
      </c>
      <c r="AF45" s="26">
        <v>5</v>
      </c>
      <c r="AG45">
        <v>5</v>
      </c>
      <c r="AH45" t="s">
        <v>562</v>
      </c>
      <c r="AI45" s="30">
        <v>43031.770833333336</v>
      </c>
      <c r="AJ45" s="13">
        <v>172682</v>
      </c>
      <c r="AK45" s="13">
        <v>172682</v>
      </c>
      <c r="AL45">
        <v>0</v>
      </c>
      <c r="AM45" s="30">
        <v>43221</v>
      </c>
      <c r="AN45" s="21">
        <v>24</v>
      </c>
      <c r="AO45" s="21" t="s">
        <v>563</v>
      </c>
      <c r="AR45" s="30"/>
      <c r="AS45" t="s">
        <v>616</v>
      </c>
      <c r="AT45" s="21" t="s">
        <v>264</v>
      </c>
      <c r="AU45" s="21">
        <v>4</v>
      </c>
      <c r="AV45" s="21" t="s">
        <v>618</v>
      </c>
      <c r="AW45" s="30">
        <v>43032</v>
      </c>
      <c r="AX45" s="21" t="s">
        <v>670</v>
      </c>
      <c r="AY45" s="21" t="s">
        <v>620</v>
      </c>
      <c r="AZ45" s="21">
        <v>14</v>
      </c>
      <c r="BA45" s="21">
        <v>0</v>
      </c>
      <c r="BF45" s="30"/>
      <c r="BI45" s="21">
        <v>14</v>
      </c>
      <c r="BJ45" s="21">
        <v>0</v>
      </c>
      <c r="BO45" s="30"/>
      <c r="BR45" s="21">
        <v>14</v>
      </c>
      <c r="BS45" s="21">
        <v>0</v>
      </c>
      <c r="BT45" t="s">
        <v>378</v>
      </c>
      <c r="BU45" s="21" t="s">
        <v>557</v>
      </c>
      <c r="BV45" s="21" t="s">
        <v>558</v>
      </c>
      <c r="BW45" s="21" t="s">
        <v>559</v>
      </c>
      <c r="BX45" s="31">
        <v>172682</v>
      </c>
      <c r="BY45" s="31">
        <v>172682</v>
      </c>
      <c r="BZ45" t="s">
        <v>554</v>
      </c>
      <c r="CE45" s="31"/>
      <c r="CF45" s="31"/>
      <c r="CL45" s="31"/>
      <c r="CM45" s="31"/>
      <c r="CS45" s="31"/>
      <c r="CT45" s="31"/>
      <c r="CZ45" s="31"/>
      <c r="DA45" s="31"/>
      <c r="DG45" s="31"/>
      <c r="DH45" s="31"/>
      <c r="DN45" s="31"/>
      <c r="DO45" s="31"/>
      <c r="DQ45" t="s">
        <v>667</v>
      </c>
      <c r="DR45" t="s">
        <v>225</v>
      </c>
      <c r="DS45" t="s">
        <v>668</v>
      </c>
      <c r="DT45" s="29" t="s">
        <v>214</v>
      </c>
      <c r="DU45" t="s">
        <v>175</v>
      </c>
      <c r="DV45" t="s">
        <v>622</v>
      </c>
      <c r="DW45" t="s">
        <v>173</v>
      </c>
      <c r="DX45" t="s">
        <v>170</v>
      </c>
      <c r="DY45" t="s">
        <v>171</v>
      </c>
      <c r="DZ45" s="22">
        <v>43073.921863425923</v>
      </c>
      <c r="EA45" t="s">
        <v>561</v>
      </c>
      <c r="EB45" t="s">
        <v>671</v>
      </c>
    </row>
    <row r="46" spans="1:132" x14ac:dyDescent="0.4">
      <c r="A46" s="30">
        <v>42954.663657407407</v>
      </c>
      <c r="B46" s="22">
        <v>42807.46597222222</v>
      </c>
      <c r="C46" s="22" t="s">
        <v>1136</v>
      </c>
      <c r="D46" s="30" t="s">
        <v>222</v>
      </c>
      <c r="E46" s="30" t="s">
        <v>1137</v>
      </c>
      <c r="F46" s="30" t="s">
        <v>172</v>
      </c>
      <c r="G46" s="30" t="s">
        <v>976</v>
      </c>
      <c r="H46" t="s">
        <v>94</v>
      </c>
      <c r="I46" t="s">
        <v>1135</v>
      </c>
      <c r="J46" t="s">
        <v>451</v>
      </c>
      <c r="K46" s="22">
        <v>42951.478125000001</v>
      </c>
      <c r="L46">
        <v>1</v>
      </c>
      <c r="M46" s="26">
        <v>3.11</v>
      </c>
      <c r="N46" t="s">
        <v>1792</v>
      </c>
      <c r="Q46" s="29" t="s">
        <v>13</v>
      </c>
      <c r="R46" s="29" t="str">
        <f>IFERROR(MID(RADataTable[[#This Row],[RAtemplate]],1,LEN(RADataTable[[#This Row],[RAtemplate]])-8),"RA") &amp; " " &amp; RADataTable[[#This Row],[prop_id0]] &amp; " " &amp; RADataTable[[#This Row],[last0]]</f>
        <v>RA 1740547 Shub</v>
      </c>
      <c r="U46" s="21" t="str">
        <f>IF(signer1="PD",IF(ISBLANK(RADataTable[[#This Row],[sign_blck_name]]),"",RADataTable[[#This Row],[sign_blck_name]]),IF(ISBLANK(signer1),"",signer1))</f>
        <v>Tracy J. Kimbrel</v>
      </c>
      <c r="V46" s="29" t="str">
        <f t="shared" si="1"/>
        <v>Cognisant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mshub@ccny.cuny.edu</v>
      </c>
      <c r="Y46" s="15" t="str">
        <f>HYPERLINK("mailto:"&amp;RADataTable[[#This Row],[allPIemail]]&amp;"&amp;subject=NSF Proposal:  "&amp;RADataTable[[#This Row],[Div]]&amp;" "&amp;RADataTable[[#This Row],[prop_id0]], "PIs@")</f>
        <v>PIs@</v>
      </c>
      <c r="Z46" t="s">
        <v>224</v>
      </c>
      <c r="AA46" t="s">
        <v>1138</v>
      </c>
      <c r="AB46">
        <v>3</v>
      </c>
      <c r="AD46"/>
      <c r="AE46" s="21">
        <v>5</v>
      </c>
      <c r="AF46" s="26">
        <v>5</v>
      </c>
      <c r="AG46">
        <v>5</v>
      </c>
      <c r="AH46" t="s">
        <v>562</v>
      </c>
      <c r="AI46" s="30">
        <v>42872.504861111112</v>
      </c>
      <c r="AJ46" s="13">
        <v>1485814</v>
      </c>
      <c r="AK46" s="13">
        <v>1485814</v>
      </c>
      <c r="AL46">
        <v>0</v>
      </c>
      <c r="AM46" s="30">
        <v>42972</v>
      </c>
      <c r="AN46" s="21">
        <v>36</v>
      </c>
      <c r="AO46" s="21" t="s">
        <v>1143</v>
      </c>
      <c r="AR46" s="30"/>
      <c r="AS46" t="s">
        <v>1789</v>
      </c>
      <c r="AT46" s="21" t="s">
        <v>1791</v>
      </c>
      <c r="AU46" s="21">
        <v>11</v>
      </c>
      <c r="AV46" s="21" t="s">
        <v>2067</v>
      </c>
      <c r="AW46" s="30">
        <v>42872</v>
      </c>
      <c r="AX46" s="21" t="s">
        <v>670</v>
      </c>
      <c r="AY46" s="21" t="s">
        <v>2068</v>
      </c>
      <c r="AZ46" s="21">
        <v>12</v>
      </c>
      <c r="BA46" s="21">
        <v>0</v>
      </c>
      <c r="BF46" s="30"/>
      <c r="BI46" s="21">
        <v>12</v>
      </c>
      <c r="BJ46" s="21">
        <v>0</v>
      </c>
      <c r="BO46" s="30"/>
      <c r="BR46" s="21">
        <v>12</v>
      </c>
      <c r="BS46" s="21">
        <v>0</v>
      </c>
      <c r="BT46" t="s">
        <v>1138</v>
      </c>
      <c r="BU46" s="21" t="s">
        <v>1139</v>
      </c>
      <c r="BV46" s="21" t="s">
        <v>273</v>
      </c>
      <c r="BW46" s="21" t="s">
        <v>1140</v>
      </c>
      <c r="BX46" s="31">
        <v>1485814</v>
      </c>
      <c r="BY46" s="31">
        <v>1485814</v>
      </c>
      <c r="BZ46" t="s">
        <v>1142</v>
      </c>
      <c r="CE46" s="31"/>
      <c r="CF46" s="31"/>
      <c r="CL46" s="31"/>
      <c r="CM46" s="31"/>
      <c r="CS46" s="31"/>
      <c r="CT46" s="31"/>
      <c r="CZ46" s="31"/>
      <c r="DA46" s="31"/>
      <c r="DG46" s="31"/>
      <c r="DH46" s="31"/>
      <c r="DN46" s="31"/>
      <c r="DO46" s="31"/>
      <c r="DQ46" t="s">
        <v>2069</v>
      </c>
      <c r="DR46" t="s">
        <v>225</v>
      </c>
      <c r="DS46" t="s">
        <v>2070</v>
      </c>
      <c r="DT46" s="29" t="s">
        <v>638</v>
      </c>
      <c r="DU46" t="s">
        <v>973</v>
      </c>
      <c r="DV46" t="s">
        <v>622</v>
      </c>
      <c r="DW46" t="s">
        <v>173</v>
      </c>
      <c r="DX46" t="s">
        <v>170</v>
      </c>
      <c r="DY46" t="s">
        <v>171</v>
      </c>
      <c r="DZ46" s="22">
        <v>43073.921863425923</v>
      </c>
      <c r="EA46" t="s">
        <v>1141</v>
      </c>
      <c r="EB46" t="s">
        <v>2071</v>
      </c>
    </row>
    <row r="47" spans="1:132" x14ac:dyDescent="0.4">
      <c r="A47" s="30">
        <v>42954.665173611109</v>
      </c>
      <c r="B47" s="22">
        <v>42809.573611111111</v>
      </c>
      <c r="C47" s="22" t="s">
        <v>1136</v>
      </c>
      <c r="D47" s="30" t="s">
        <v>222</v>
      </c>
      <c r="E47" s="30" t="s">
        <v>1137</v>
      </c>
      <c r="F47" s="30" t="s">
        <v>172</v>
      </c>
      <c r="G47" s="30" t="s">
        <v>976</v>
      </c>
      <c r="H47" t="s">
        <v>94</v>
      </c>
      <c r="I47" t="s">
        <v>1135</v>
      </c>
      <c r="J47" t="s">
        <v>451</v>
      </c>
      <c r="K47" s="22">
        <v>42951.496446759258</v>
      </c>
      <c r="L47">
        <v>1</v>
      </c>
      <c r="M47" s="26">
        <v>3.11</v>
      </c>
      <c r="N47" t="s">
        <v>1792</v>
      </c>
      <c r="Q47" s="29" t="s">
        <v>13</v>
      </c>
      <c r="R47" s="29" t="str">
        <f>IFERROR(MID(RADataTable[[#This Row],[RAtemplate]],1,LEN(RADataTable[[#This Row],[RAtemplate]])-8),"RA") &amp; " " &amp; RADataTable[[#This Row],[prop_id0]] &amp; " " &amp; RADataTable[[#This Row],[last0]]</f>
        <v>RA 1740769 Wasserman</v>
      </c>
      <c r="U47" s="21" t="str">
        <f>IF(signer1="PD",IF(ISBLANK(RADataTable[[#This Row],[sign_blck_name]]),"",RADataTable[[#This Row],[sign_blck_name]]),IF(ISBLANK(signer1),"",signer1))</f>
        <v>Tracy J. Kimbrel</v>
      </c>
      <c r="V47" s="29" t="str">
        <f t="shared" si="1"/>
        <v>Cognisant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larry@stat.cmu.edu</v>
      </c>
      <c r="Y47" s="15" t="str">
        <f>HYPERLINK("mailto:"&amp;RADataTable[[#This Row],[allPIemail]]&amp;"&amp;subject=NSF Proposal:  "&amp;RADataTable[[#This Row],[Div]]&amp;" "&amp;RADataTable[[#This Row],[prop_id0]], "PIs@")</f>
        <v>PIs@</v>
      </c>
      <c r="Z47" t="s">
        <v>224</v>
      </c>
      <c r="AA47" t="s">
        <v>1235</v>
      </c>
      <c r="AB47">
        <v>3</v>
      </c>
      <c r="AD47"/>
      <c r="AE47" s="21">
        <v>4</v>
      </c>
      <c r="AF47" s="26">
        <v>5.333333333333333</v>
      </c>
      <c r="AG47">
        <v>6</v>
      </c>
      <c r="AH47" t="s">
        <v>1239</v>
      </c>
      <c r="AI47" s="30">
        <v>42872.477777777778</v>
      </c>
      <c r="AJ47" s="13">
        <v>1500000</v>
      </c>
      <c r="AK47" s="13">
        <v>1500000</v>
      </c>
      <c r="AL47">
        <v>0</v>
      </c>
      <c r="AM47" s="30">
        <v>43282</v>
      </c>
      <c r="AN47" s="21">
        <v>36</v>
      </c>
      <c r="AO47" s="21" t="s">
        <v>1240</v>
      </c>
      <c r="AR47" s="30"/>
      <c r="AS47" t="s">
        <v>1789</v>
      </c>
      <c r="AT47" s="21" t="s">
        <v>1791</v>
      </c>
      <c r="AU47" s="21">
        <v>11</v>
      </c>
      <c r="AV47" s="21" t="s">
        <v>2067</v>
      </c>
      <c r="AW47" s="30">
        <v>42872</v>
      </c>
      <c r="AX47" s="21" t="s">
        <v>2085</v>
      </c>
      <c r="AY47" s="21" t="s">
        <v>2068</v>
      </c>
      <c r="AZ47" s="21">
        <v>12</v>
      </c>
      <c r="BA47" s="21">
        <v>1</v>
      </c>
      <c r="BF47" s="30"/>
      <c r="BI47" s="21">
        <v>12</v>
      </c>
      <c r="BJ47" s="21">
        <v>1</v>
      </c>
      <c r="BO47" s="30"/>
      <c r="BR47" s="21">
        <v>12</v>
      </c>
      <c r="BS47" s="21">
        <v>1</v>
      </c>
      <c r="BT47" t="s">
        <v>1235</v>
      </c>
      <c r="BU47" s="21" t="s">
        <v>1236</v>
      </c>
      <c r="BV47" s="21" t="s">
        <v>1237</v>
      </c>
      <c r="BW47" s="21" t="s">
        <v>424</v>
      </c>
      <c r="BX47" s="31">
        <v>1500000</v>
      </c>
      <c r="BY47" s="31">
        <v>1500000</v>
      </c>
      <c r="BZ47" t="s">
        <v>1142</v>
      </c>
      <c r="CE47" s="31"/>
      <c r="CF47" s="31"/>
      <c r="CL47" s="31"/>
      <c r="CM47" s="31"/>
      <c r="CS47" s="31"/>
      <c r="CT47" s="31"/>
      <c r="CZ47" s="31"/>
      <c r="DA47" s="31"/>
      <c r="DG47" s="31"/>
      <c r="DH47" s="31"/>
      <c r="DN47" s="31"/>
      <c r="DO47" s="31"/>
      <c r="DQ47" t="s">
        <v>2069</v>
      </c>
      <c r="DR47" t="s">
        <v>225</v>
      </c>
      <c r="DS47" t="s">
        <v>2070</v>
      </c>
      <c r="DT47" s="29" t="s">
        <v>638</v>
      </c>
      <c r="DU47" t="s">
        <v>973</v>
      </c>
      <c r="DV47" t="s">
        <v>622</v>
      </c>
      <c r="DW47" t="s">
        <v>173</v>
      </c>
      <c r="DX47" t="s">
        <v>170</v>
      </c>
      <c r="DY47" t="s">
        <v>171</v>
      </c>
      <c r="DZ47" s="22">
        <v>43073.921863425923</v>
      </c>
      <c r="EA47" t="s">
        <v>1238</v>
      </c>
      <c r="EB47" t="s">
        <v>2086</v>
      </c>
    </row>
    <row r="48" spans="1:132" x14ac:dyDescent="0.4">
      <c r="A48" s="30">
        <v>42955.696875000001</v>
      </c>
      <c r="B48" s="22">
        <v>42809.598611111112</v>
      </c>
      <c r="C48" s="22" t="s">
        <v>1136</v>
      </c>
      <c r="D48" s="30" t="s">
        <v>222</v>
      </c>
      <c r="E48" s="30" t="s">
        <v>1137</v>
      </c>
      <c r="F48" s="30" t="s">
        <v>172</v>
      </c>
      <c r="G48" s="30" t="s">
        <v>976</v>
      </c>
      <c r="H48" t="s">
        <v>94</v>
      </c>
      <c r="I48" t="s">
        <v>1135</v>
      </c>
      <c r="J48" t="s">
        <v>406</v>
      </c>
      <c r="K48" s="22">
        <v>42914.638993055552</v>
      </c>
      <c r="L48">
        <v>1</v>
      </c>
      <c r="M48" s="26">
        <v>3.11</v>
      </c>
      <c r="N48" t="s">
        <v>1792</v>
      </c>
      <c r="Q48" s="29" t="s">
        <v>13</v>
      </c>
      <c r="R48" s="29" t="str">
        <f>IFERROR(MID(RADataTable[[#This Row],[RAtemplate]],1,LEN(RADataTable[[#This Row],[RAtemplate]])-8),"RA") &amp; " " &amp; RADataTable[[#This Row],[prop_id0]] &amp; " " &amp; RADataTable[[#This Row],[last0]]</f>
        <v>RA 1740780 Michailidis</v>
      </c>
      <c r="U48" s="21" t="str">
        <f>IF(signer1="PD",IF(ISBLANK(RADataTable[[#This Row],[sign_blck_name]]),"",RADataTable[[#This Row],[sign_blck_name]]),IF(ISBLANK(signer1),"",signer1))</f>
        <v>Jack Snoeyink</v>
      </c>
      <c r="V48" s="29" t="str">
        <f t="shared" si="1"/>
        <v>Cognisant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gmichail@ufl.edu</v>
      </c>
      <c r="Y48" s="15" t="str">
        <f>HYPERLINK("mailto:"&amp;RADataTable[[#This Row],[allPIemail]]&amp;"&amp;subject=NSF Proposal:  "&amp;RADataTable[[#This Row],[Div]]&amp;" "&amp;RADataTable[[#This Row],[prop_id0]], "PIs@")</f>
        <v>PIs@</v>
      </c>
      <c r="Z48" t="s">
        <v>224</v>
      </c>
      <c r="AA48" t="s">
        <v>1274</v>
      </c>
      <c r="AB48">
        <v>3</v>
      </c>
      <c r="AD48"/>
      <c r="AE48" s="21">
        <v>6</v>
      </c>
      <c r="AF48" s="26">
        <v>6</v>
      </c>
      <c r="AG48">
        <v>6</v>
      </c>
      <c r="AH48" t="s">
        <v>1279</v>
      </c>
      <c r="AI48" s="30">
        <v>42872.45</v>
      </c>
      <c r="AJ48" s="13">
        <v>1500000</v>
      </c>
      <c r="AK48" s="13">
        <v>1500000</v>
      </c>
      <c r="AL48">
        <v>0</v>
      </c>
      <c r="AM48" s="30">
        <v>42948</v>
      </c>
      <c r="AN48" s="21">
        <v>36</v>
      </c>
      <c r="AO48" s="21" t="s">
        <v>1280</v>
      </c>
      <c r="AR48" s="30"/>
      <c r="AS48" t="s">
        <v>1789</v>
      </c>
      <c r="AT48" s="21" t="s">
        <v>1791</v>
      </c>
      <c r="AU48" s="21">
        <v>11</v>
      </c>
      <c r="AV48" s="21" t="s">
        <v>2067</v>
      </c>
      <c r="AW48" s="30">
        <v>42872</v>
      </c>
      <c r="AX48" s="21" t="s">
        <v>2091</v>
      </c>
      <c r="AY48" s="21" t="s">
        <v>2068</v>
      </c>
      <c r="AZ48" s="21">
        <v>12</v>
      </c>
      <c r="BA48" s="21">
        <v>0</v>
      </c>
      <c r="BF48" s="30"/>
      <c r="BI48" s="21">
        <v>12</v>
      </c>
      <c r="BJ48" s="21">
        <v>0</v>
      </c>
      <c r="BO48" s="30"/>
      <c r="BR48" s="21">
        <v>12</v>
      </c>
      <c r="BS48" s="21">
        <v>0</v>
      </c>
      <c r="BT48" t="s">
        <v>1274</v>
      </c>
      <c r="BU48" s="21" t="s">
        <v>1275</v>
      </c>
      <c r="BV48" s="21" t="s">
        <v>1276</v>
      </c>
      <c r="BW48" s="21" t="s">
        <v>1277</v>
      </c>
      <c r="BX48" s="31">
        <v>1500000</v>
      </c>
      <c r="BY48" s="31">
        <v>1500000</v>
      </c>
      <c r="BZ48" t="s">
        <v>1176</v>
      </c>
      <c r="CE48" s="31"/>
      <c r="CF48" s="31"/>
      <c r="CL48" s="31"/>
      <c r="CM48" s="31"/>
      <c r="CS48" s="31"/>
      <c r="CT48" s="31"/>
      <c r="CZ48" s="31"/>
      <c r="DA48" s="31"/>
      <c r="DG48" s="31"/>
      <c r="DH48" s="31"/>
      <c r="DN48" s="31"/>
      <c r="DO48" s="31"/>
      <c r="DQ48" t="s">
        <v>2069</v>
      </c>
      <c r="DR48" t="s">
        <v>225</v>
      </c>
      <c r="DS48" t="s">
        <v>2070</v>
      </c>
      <c r="DT48" s="29" t="s">
        <v>214</v>
      </c>
      <c r="DU48" t="s">
        <v>973</v>
      </c>
      <c r="DV48" t="s">
        <v>622</v>
      </c>
      <c r="DW48" t="s">
        <v>173</v>
      </c>
      <c r="DX48" t="s">
        <v>170</v>
      </c>
      <c r="DY48" t="s">
        <v>171</v>
      </c>
      <c r="DZ48" s="22">
        <v>43073.921863425923</v>
      </c>
      <c r="EA48" t="s">
        <v>1278</v>
      </c>
      <c r="EB48" t="s">
        <v>2092</v>
      </c>
    </row>
    <row r="49" spans="1:132" x14ac:dyDescent="0.4">
      <c r="A49" s="30">
        <v>42955.700150462966</v>
      </c>
      <c r="B49" s="22">
        <v>42809.642361111109</v>
      </c>
      <c r="C49" s="22" t="s">
        <v>1136</v>
      </c>
      <c r="D49" s="30" t="s">
        <v>222</v>
      </c>
      <c r="E49" s="30" t="s">
        <v>1137</v>
      </c>
      <c r="F49" s="30" t="s">
        <v>172</v>
      </c>
      <c r="G49" s="30" t="s">
        <v>976</v>
      </c>
      <c r="H49" t="s">
        <v>94</v>
      </c>
      <c r="I49" t="s">
        <v>1135</v>
      </c>
      <c r="J49" t="s">
        <v>406</v>
      </c>
      <c r="K49" s="22">
        <v>42914.639050925929</v>
      </c>
      <c r="L49">
        <v>1</v>
      </c>
      <c r="M49" s="26">
        <v>3.11</v>
      </c>
      <c r="N49" t="s">
        <v>1792</v>
      </c>
      <c r="Q49" s="29" t="s">
        <v>13</v>
      </c>
      <c r="R49" s="29" t="str">
        <f>IFERROR(MID(RADataTable[[#This Row],[RAtemplate]],1,LEN(RADataTable[[#This Row],[RAtemplate]])-8),"RA") &amp; " " &amp; RADataTable[[#This Row],[prop_id0]] &amp; " " &amp; RADataTable[[#This Row],[last0]]</f>
        <v>RA 1740797 Embree</v>
      </c>
      <c r="U49" s="21" t="str">
        <f>IF(signer1="PD",IF(ISBLANK(RADataTable[[#This Row],[sign_blck_name]]),"",RADataTable[[#This Row],[sign_blck_name]]),IF(ISBLANK(signer1),"",signer1))</f>
        <v>Jack Snoeyink</v>
      </c>
      <c r="V49" s="29" t="str">
        <f t="shared" si="1"/>
        <v>Cognisant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embree@vt.edu</v>
      </c>
      <c r="Y49" s="15" t="str">
        <f>HYPERLINK("mailto:"&amp;RADataTable[[#This Row],[allPIemail]]&amp;"&amp;subject=NSF Proposal:  "&amp;RADataTable[[#This Row],[Div]]&amp;" "&amp;RADataTable[[#This Row],[prop_id0]], "PIs@")</f>
        <v>PIs@</v>
      </c>
      <c r="Z49" t="s">
        <v>224</v>
      </c>
      <c r="AA49" t="s">
        <v>1297</v>
      </c>
      <c r="AB49">
        <v>3</v>
      </c>
      <c r="AD49"/>
      <c r="AE49" s="21">
        <v>1</v>
      </c>
      <c r="AF49" s="26">
        <v>4.666666666666667</v>
      </c>
      <c r="AG49">
        <v>7</v>
      </c>
      <c r="AH49" t="s">
        <v>1021</v>
      </c>
      <c r="AI49" s="30">
        <v>42873.55</v>
      </c>
      <c r="AJ49" s="13">
        <v>1498424</v>
      </c>
      <c r="AK49" s="13">
        <v>1498424</v>
      </c>
      <c r="AL49">
        <v>0</v>
      </c>
      <c r="AM49" s="30">
        <v>43009</v>
      </c>
      <c r="AN49" s="21">
        <v>36</v>
      </c>
      <c r="AO49" s="21" t="s">
        <v>1301</v>
      </c>
      <c r="AR49" s="30"/>
      <c r="AS49" t="s">
        <v>1789</v>
      </c>
      <c r="AT49" s="21" t="s">
        <v>1791</v>
      </c>
      <c r="AU49" s="21">
        <v>11</v>
      </c>
      <c r="AV49" s="21" t="s">
        <v>2067</v>
      </c>
      <c r="AW49" s="30">
        <v>42872</v>
      </c>
      <c r="AX49" s="21" t="s">
        <v>2094</v>
      </c>
      <c r="AY49" s="21" t="s">
        <v>2068</v>
      </c>
      <c r="AZ49" s="21">
        <v>12</v>
      </c>
      <c r="BA49" s="21">
        <v>0</v>
      </c>
      <c r="BF49" s="30"/>
      <c r="BI49" s="21">
        <v>12</v>
      </c>
      <c r="BJ49" s="21">
        <v>0</v>
      </c>
      <c r="BO49" s="30"/>
      <c r="BR49" s="21">
        <v>12</v>
      </c>
      <c r="BS49" s="21">
        <v>0</v>
      </c>
      <c r="BT49" t="s">
        <v>1297</v>
      </c>
      <c r="BU49" s="21" t="s">
        <v>1298</v>
      </c>
      <c r="BV49" s="21" t="s">
        <v>1299</v>
      </c>
      <c r="BW49" s="21" t="s">
        <v>507</v>
      </c>
      <c r="BX49" s="31">
        <v>1498424</v>
      </c>
      <c r="BY49" s="31">
        <v>1498424</v>
      </c>
      <c r="BZ49" t="s">
        <v>1176</v>
      </c>
      <c r="CE49" s="31"/>
      <c r="CF49" s="31"/>
      <c r="CL49" s="31"/>
      <c r="CM49" s="31"/>
      <c r="CS49" s="31"/>
      <c r="CT49" s="31"/>
      <c r="CZ49" s="31"/>
      <c r="DA49" s="31"/>
      <c r="DG49" s="31"/>
      <c r="DH49" s="31"/>
      <c r="DN49" s="31"/>
      <c r="DO49" s="31"/>
      <c r="DQ49" t="s">
        <v>2069</v>
      </c>
      <c r="DR49" t="s">
        <v>225</v>
      </c>
      <c r="DS49" t="s">
        <v>2070</v>
      </c>
      <c r="DT49" s="29" t="s">
        <v>214</v>
      </c>
      <c r="DU49" t="s">
        <v>973</v>
      </c>
      <c r="DV49" t="s">
        <v>622</v>
      </c>
      <c r="DW49" t="s">
        <v>173</v>
      </c>
      <c r="DX49" t="s">
        <v>170</v>
      </c>
      <c r="DY49" t="s">
        <v>171</v>
      </c>
      <c r="DZ49" s="22">
        <v>43073.921863425923</v>
      </c>
      <c r="EA49" t="s">
        <v>1300</v>
      </c>
      <c r="EB49" t="s">
        <v>2095</v>
      </c>
    </row>
    <row r="50" spans="1:132" x14ac:dyDescent="0.4">
      <c r="A50" s="30">
        <v>42957.67931712963</v>
      </c>
      <c r="B50" s="22">
        <v>42809.648611111108</v>
      </c>
      <c r="C50" s="22" t="s">
        <v>1136</v>
      </c>
      <c r="D50" s="30" t="s">
        <v>222</v>
      </c>
      <c r="E50" s="30" t="s">
        <v>1137</v>
      </c>
      <c r="F50" s="30" t="s">
        <v>172</v>
      </c>
      <c r="G50" s="30" t="s">
        <v>976</v>
      </c>
      <c r="H50" t="s">
        <v>94</v>
      </c>
      <c r="I50" t="s">
        <v>1135</v>
      </c>
      <c r="J50" t="s">
        <v>451</v>
      </c>
      <c r="K50" s="22">
        <v>42951.506886574076</v>
      </c>
      <c r="L50">
        <v>1</v>
      </c>
      <c r="M50" s="26">
        <v>3.11</v>
      </c>
      <c r="N50" t="s">
        <v>1792</v>
      </c>
      <c r="Q50" s="29" t="s">
        <v>13</v>
      </c>
      <c r="R50" s="29" t="str">
        <f>IFERROR(MID(RADataTable[[#This Row],[RAtemplate]],1,LEN(RADataTable[[#This Row],[RAtemplate]])-8),"RA") &amp; " " &amp; RADataTable[[#This Row],[prop_id0]] &amp; " " &amp; RADataTable[[#This Row],[last0]]</f>
        <v>RA 1740799 Vidal</v>
      </c>
      <c r="U50" s="21" t="str">
        <f>IF(signer1="PD",IF(ISBLANK(RADataTable[[#This Row],[sign_blck_name]]),"",RADataTable[[#This Row],[sign_blck_name]]),IF(ISBLANK(signer1),"",signer1))</f>
        <v>Tracy J. Kimbrel</v>
      </c>
      <c r="V50" s="29" t="str">
        <f t="shared" si="1"/>
        <v>Cognisant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rvidal@cis.jhu.edu</v>
      </c>
      <c r="Y50" s="15" t="str">
        <f>HYPERLINK("mailto:"&amp;RADataTable[[#This Row],[allPIemail]]&amp;"&amp;subject=NSF Proposal:  "&amp;RADataTable[[#This Row],[Div]]&amp;" "&amp;RADataTable[[#This Row],[prop_id0]], "PIs@")</f>
        <v>PIs@</v>
      </c>
      <c r="Z50" t="s">
        <v>224</v>
      </c>
      <c r="AA50" t="s">
        <v>1302</v>
      </c>
      <c r="AB50">
        <v>3</v>
      </c>
      <c r="AD50"/>
      <c r="AE50" s="21">
        <v>5</v>
      </c>
      <c r="AF50" s="26">
        <v>6</v>
      </c>
      <c r="AG50">
        <v>7</v>
      </c>
      <c r="AH50" t="s">
        <v>598</v>
      </c>
      <c r="AI50" s="30">
        <v>42872.504861111112</v>
      </c>
      <c r="AJ50" s="13">
        <v>1500000</v>
      </c>
      <c r="AK50" s="13">
        <v>1500000</v>
      </c>
      <c r="AL50">
        <v>0</v>
      </c>
      <c r="AM50" s="30">
        <v>42979</v>
      </c>
      <c r="AN50" s="21">
        <v>36</v>
      </c>
      <c r="AO50" s="21" t="s">
        <v>1306</v>
      </c>
      <c r="AR50" s="30"/>
      <c r="AS50" t="s">
        <v>1789</v>
      </c>
      <c r="AT50" s="21" t="s">
        <v>1791</v>
      </c>
      <c r="AU50" s="21">
        <v>11</v>
      </c>
      <c r="AV50" s="21" t="s">
        <v>2067</v>
      </c>
      <c r="AW50" s="30">
        <v>42872</v>
      </c>
      <c r="AX50" s="21" t="s">
        <v>682</v>
      </c>
      <c r="AY50" s="21" t="s">
        <v>2068</v>
      </c>
      <c r="AZ50" s="21">
        <v>12</v>
      </c>
      <c r="BA50" s="21">
        <v>0</v>
      </c>
      <c r="BF50" s="30"/>
      <c r="BI50" s="21">
        <v>12</v>
      </c>
      <c r="BJ50" s="21">
        <v>0</v>
      </c>
      <c r="BO50" s="30"/>
      <c r="BR50" s="21">
        <v>12</v>
      </c>
      <c r="BS50" s="21">
        <v>0</v>
      </c>
      <c r="BT50" t="s">
        <v>1302</v>
      </c>
      <c r="BU50" s="21" t="s">
        <v>1303</v>
      </c>
      <c r="BV50" s="21" t="s">
        <v>1304</v>
      </c>
      <c r="BW50" s="21" t="s">
        <v>495</v>
      </c>
      <c r="BX50" s="31">
        <v>1500000</v>
      </c>
      <c r="BY50" s="31">
        <v>1500000</v>
      </c>
      <c r="BZ50" t="s">
        <v>1142</v>
      </c>
      <c r="CE50" s="31"/>
      <c r="CF50" s="31"/>
      <c r="CL50" s="31"/>
      <c r="CM50" s="31"/>
      <c r="CS50" s="31"/>
      <c r="CT50" s="31"/>
      <c r="CZ50" s="31"/>
      <c r="DA50" s="31"/>
      <c r="DG50" s="31"/>
      <c r="DH50" s="31"/>
      <c r="DN50" s="31"/>
      <c r="DO50" s="31"/>
      <c r="DQ50" t="s">
        <v>2069</v>
      </c>
      <c r="DR50" t="s">
        <v>225</v>
      </c>
      <c r="DS50" t="s">
        <v>2070</v>
      </c>
      <c r="DT50" s="29" t="s">
        <v>638</v>
      </c>
      <c r="DU50" t="s">
        <v>973</v>
      </c>
      <c r="DV50" t="s">
        <v>622</v>
      </c>
      <c r="DW50" t="s">
        <v>173</v>
      </c>
      <c r="DX50" t="s">
        <v>170</v>
      </c>
      <c r="DY50" t="s">
        <v>171</v>
      </c>
      <c r="DZ50" s="22">
        <v>43073.921863425923</v>
      </c>
      <c r="EA50" t="s">
        <v>1305</v>
      </c>
      <c r="EB50" t="s">
        <v>2096</v>
      </c>
    </row>
    <row r="51" spans="1:132" x14ac:dyDescent="0.4">
      <c r="A51" s="30">
        <v>42956.380891203706</v>
      </c>
      <c r="B51" s="22">
        <v>42809.663888888892</v>
      </c>
      <c r="C51" s="22" t="s">
        <v>1136</v>
      </c>
      <c r="D51" s="30" t="s">
        <v>222</v>
      </c>
      <c r="E51" s="30" t="s">
        <v>1137</v>
      </c>
      <c r="F51" s="30" t="s">
        <v>172</v>
      </c>
      <c r="G51" s="30" t="s">
        <v>976</v>
      </c>
      <c r="H51" t="s">
        <v>94</v>
      </c>
      <c r="I51" t="s">
        <v>1135</v>
      </c>
      <c r="J51" t="s">
        <v>451</v>
      </c>
      <c r="K51" s="22">
        <v>42951.594155092593</v>
      </c>
      <c r="L51">
        <v>1</v>
      </c>
      <c r="M51" s="26">
        <v>3.11</v>
      </c>
      <c r="N51" t="s">
        <v>1792</v>
      </c>
      <c r="Q51" s="29" t="s">
        <v>13</v>
      </c>
      <c r="R51" s="29" t="str">
        <f>IFERROR(MID(RADataTable[[#This Row],[RAtemplate]],1,LEN(RADataTable[[#This Row],[RAtemplate]])-8),"RA") &amp; " " &amp; RADataTable[[#This Row],[prop_id0]] &amp; " " &amp; RADataTable[[#This Row],[last0]]</f>
        <v>RA 1740810 Mitzenmacher</v>
      </c>
      <c r="U51" s="21" t="str">
        <f>IF(signer1="PD",IF(ISBLANK(RADataTable[[#This Row],[sign_blck_name]]),"",RADataTable[[#This Row],[sign_blck_name]]),IF(ISBLANK(signer1),"",signer1))</f>
        <v>Tracy J. Kimbrel</v>
      </c>
      <c r="V51" s="29" t="str">
        <f t="shared" si="1"/>
        <v>Cognisant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michaelm@eecs.harvard.edu</v>
      </c>
      <c r="Y51" s="15" t="str">
        <f>HYPERLINK("mailto:"&amp;RADataTable[[#This Row],[allPIemail]]&amp;"&amp;subject=NSF Proposal:  "&amp;RADataTable[[#This Row],[Div]]&amp;" "&amp;RADataTable[[#This Row],[prop_id0]], "PIs@")</f>
        <v>PIs@</v>
      </c>
      <c r="Z51" t="s">
        <v>224</v>
      </c>
      <c r="AA51" t="s">
        <v>1320</v>
      </c>
      <c r="AB51">
        <v>3</v>
      </c>
      <c r="AD51"/>
      <c r="AE51" s="21">
        <v>3</v>
      </c>
      <c r="AF51" s="26">
        <v>4.333333333333333</v>
      </c>
      <c r="AG51">
        <v>7</v>
      </c>
      <c r="AH51" t="s">
        <v>1324</v>
      </c>
      <c r="AI51" s="30">
        <v>42872.452777777777</v>
      </c>
      <c r="AJ51" s="13">
        <v>1500000</v>
      </c>
      <c r="AK51" s="13">
        <v>1500000</v>
      </c>
      <c r="AL51">
        <v>0</v>
      </c>
      <c r="AM51" s="30">
        <v>43101</v>
      </c>
      <c r="AN51" s="21">
        <v>36</v>
      </c>
      <c r="AO51" s="21" t="s">
        <v>1325</v>
      </c>
      <c r="AR51" s="30"/>
      <c r="AS51" t="s">
        <v>1789</v>
      </c>
      <c r="AT51" s="21" t="s">
        <v>1791</v>
      </c>
      <c r="AU51" s="21">
        <v>11</v>
      </c>
      <c r="AV51" s="21" t="s">
        <v>2067</v>
      </c>
      <c r="AW51" s="30">
        <v>42872</v>
      </c>
      <c r="AX51" s="21" t="s">
        <v>2100</v>
      </c>
      <c r="AY51" s="21" t="s">
        <v>2068</v>
      </c>
      <c r="AZ51" s="21">
        <v>12</v>
      </c>
      <c r="BA51" s="21">
        <v>1</v>
      </c>
      <c r="BF51" s="30"/>
      <c r="BI51" s="21">
        <v>12</v>
      </c>
      <c r="BJ51" s="21">
        <v>1</v>
      </c>
      <c r="BO51" s="30"/>
      <c r="BR51" s="21">
        <v>12</v>
      </c>
      <c r="BS51" s="21">
        <v>1</v>
      </c>
      <c r="BT51" t="s">
        <v>1320</v>
      </c>
      <c r="BU51" s="21" t="s">
        <v>1321</v>
      </c>
      <c r="BV51" s="21" t="s">
        <v>273</v>
      </c>
      <c r="BW51" s="21" t="s">
        <v>1322</v>
      </c>
      <c r="BX51" s="31">
        <v>1500000</v>
      </c>
      <c r="BY51" s="31">
        <v>1500000</v>
      </c>
      <c r="BZ51" t="s">
        <v>1142</v>
      </c>
      <c r="CE51" s="31"/>
      <c r="CF51" s="31"/>
      <c r="CL51" s="31"/>
      <c r="CM51" s="31"/>
      <c r="CS51" s="31"/>
      <c r="CT51" s="31"/>
      <c r="CZ51" s="31"/>
      <c r="DA51" s="31"/>
      <c r="DG51" s="31"/>
      <c r="DH51" s="31"/>
      <c r="DN51" s="31"/>
      <c r="DO51" s="31"/>
      <c r="DQ51" t="s">
        <v>2069</v>
      </c>
      <c r="DR51" t="s">
        <v>225</v>
      </c>
      <c r="DS51" t="s">
        <v>2070</v>
      </c>
      <c r="DT51" s="29" t="s">
        <v>638</v>
      </c>
      <c r="DU51" t="s">
        <v>973</v>
      </c>
      <c r="DV51" t="s">
        <v>622</v>
      </c>
      <c r="DW51" t="s">
        <v>173</v>
      </c>
      <c r="DX51" t="s">
        <v>170</v>
      </c>
      <c r="DY51" t="s">
        <v>171</v>
      </c>
      <c r="DZ51" s="22">
        <v>43073.921863425923</v>
      </c>
      <c r="EA51" t="s">
        <v>1323</v>
      </c>
      <c r="EB51" t="s">
        <v>2101</v>
      </c>
    </row>
    <row r="52" spans="1:132" x14ac:dyDescent="0.4">
      <c r="A52" s="30">
        <v>42955.710752314815</v>
      </c>
      <c r="B52" s="22">
        <v>42809.693749999999</v>
      </c>
      <c r="C52" s="22" t="s">
        <v>1136</v>
      </c>
      <c r="D52" s="30" t="s">
        <v>222</v>
      </c>
      <c r="E52" s="30" t="s">
        <v>1137</v>
      </c>
      <c r="F52" s="30" t="s">
        <v>172</v>
      </c>
      <c r="G52" s="30" t="s">
        <v>976</v>
      </c>
      <c r="H52" t="s">
        <v>94</v>
      </c>
      <c r="I52" t="s">
        <v>1135</v>
      </c>
      <c r="J52" t="s">
        <v>406</v>
      </c>
      <c r="K52" s="22">
        <v>42914.639224537037</v>
      </c>
      <c r="L52">
        <v>1</v>
      </c>
      <c r="M52" s="26">
        <v>3.11</v>
      </c>
      <c r="N52" t="s">
        <v>1792</v>
      </c>
      <c r="Q52" s="29" t="s">
        <v>13</v>
      </c>
      <c r="R52" s="29" t="str">
        <f>IFERROR(MID(RADataTable[[#This Row],[RAtemplate]],1,LEN(RADataTable[[#This Row],[RAtemplate]])-8),"RA") &amp; " " &amp; RADataTable[[#This Row],[prop_id0]] &amp; " " &amp; RADataTable[[#This Row],[last0]]</f>
        <v>RA 1740828 McGregor</v>
      </c>
      <c r="U52" s="21" t="str">
        <f>IF(signer1="PD",IF(ISBLANK(RADataTable[[#This Row],[sign_blck_name]]),"",RADataTable[[#This Row],[sign_blck_name]]),IF(ISBLANK(signer1),"",signer1))</f>
        <v>Jack Snoeyink</v>
      </c>
      <c r="V52" s="29" t="str">
        <f t="shared" si="1"/>
        <v>Cognisant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mcgregor@cs.umass.edu</v>
      </c>
      <c r="Y52" s="15" t="str">
        <f>HYPERLINK("mailto:"&amp;RADataTable[[#This Row],[allPIemail]]&amp;"&amp;subject=NSF Proposal:  "&amp;RADataTable[[#This Row],[Div]]&amp;" "&amp;RADataTable[[#This Row],[prop_id0]], "PIs@")</f>
        <v>PIs@</v>
      </c>
      <c r="Z52" t="s">
        <v>224</v>
      </c>
      <c r="AA52" t="s">
        <v>1356</v>
      </c>
      <c r="AB52">
        <v>3</v>
      </c>
      <c r="AD52"/>
      <c r="AE52" s="21">
        <v>3</v>
      </c>
      <c r="AF52" s="26">
        <v>4.666666666666667</v>
      </c>
      <c r="AG52">
        <v>6</v>
      </c>
      <c r="AH52" t="s">
        <v>593</v>
      </c>
      <c r="AI52" s="30">
        <v>42872.493055555555</v>
      </c>
      <c r="AJ52" s="13">
        <v>1499733</v>
      </c>
      <c r="AK52" s="13">
        <v>1499733</v>
      </c>
      <c r="AL52">
        <v>0</v>
      </c>
      <c r="AM52" s="30">
        <v>42979</v>
      </c>
      <c r="AN52" s="21">
        <v>36</v>
      </c>
      <c r="AO52" s="21" t="s">
        <v>1359</v>
      </c>
      <c r="AR52" s="30"/>
      <c r="AS52" t="s">
        <v>1789</v>
      </c>
      <c r="AT52" s="21" t="s">
        <v>1791</v>
      </c>
      <c r="AU52" s="21">
        <v>11</v>
      </c>
      <c r="AV52" s="21" t="s">
        <v>2067</v>
      </c>
      <c r="AW52" s="30">
        <v>42872</v>
      </c>
      <c r="AX52" s="21" t="s">
        <v>680</v>
      </c>
      <c r="AY52" s="21" t="s">
        <v>2068</v>
      </c>
      <c r="AZ52" s="21">
        <v>12</v>
      </c>
      <c r="BA52" s="21">
        <v>2</v>
      </c>
      <c r="BF52" s="30"/>
      <c r="BI52" s="21">
        <v>12</v>
      </c>
      <c r="BJ52" s="21">
        <v>2</v>
      </c>
      <c r="BO52" s="30"/>
      <c r="BR52" s="21">
        <v>12</v>
      </c>
      <c r="BS52" s="21">
        <v>2</v>
      </c>
      <c r="BT52" t="s">
        <v>1356</v>
      </c>
      <c r="BU52" s="21" t="s">
        <v>1357</v>
      </c>
      <c r="BV52" s="21" t="s">
        <v>1219</v>
      </c>
      <c r="BW52" s="21" t="s">
        <v>1075</v>
      </c>
      <c r="BX52" s="31">
        <v>1499733</v>
      </c>
      <c r="BY52" s="31">
        <v>1499733</v>
      </c>
      <c r="BZ52" t="s">
        <v>1142</v>
      </c>
      <c r="CE52" s="31"/>
      <c r="CF52" s="31"/>
      <c r="CL52" s="31"/>
      <c r="CM52" s="31"/>
      <c r="CS52" s="31"/>
      <c r="CT52" s="31"/>
      <c r="CZ52" s="31"/>
      <c r="DA52" s="31"/>
      <c r="DG52" s="31"/>
      <c r="DH52" s="31"/>
      <c r="DN52" s="31"/>
      <c r="DO52" s="31"/>
      <c r="DQ52" t="s">
        <v>2069</v>
      </c>
      <c r="DR52" t="s">
        <v>225</v>
      </c>
      <c r="DS52" t="s">
        <v>2070</v>
      </c>
      <c r="DT52" s="29" t="s">
        <v>214</v>
      </c>
      <c r="DU52" t="s">
        <v>973</v>
      </c>
      <c r="DV52" t="s">
        <v>622</v>
      </c>
      <c r="DW52" t="s">
        <v>173</v>
      </c>
      <c r="DX52" t="s">
        <v>170</v>
      </c>
      <c r="DY52" t="s">
        <v>171</v>
      </c>
      <c r="DZ52" s="22">
        <v>43073.921863425923</v>
      </c>
      <c r="EA52" t="s">
        <v>1358</v>
      </c>
      <c r="EB52" t="s">
        <v>2110</v>
      </c>
    </row>
    <row r="53" spans="1:132" x14ac:dyDescent="0.4">
      <c r="A53" s="30">
        <v>42955.712395833332</v>
      </c>
      <c r="B53" s="22">
        <v>42809.695138888892</v>
      </c>
      <c r="C53" s="22" t="s">
        <v>1136</v>
      </c>
      <c r="D53" s="30" t="s">
        <v>222</v>
      </c>
      <c r="E53" s="30" t="s">
        <v>1137</v>
      </c>
      <c r="F53" s="30" t="s">
        <v>172</v>
      </c>
      <c r="G53" s="30" t="s">
        <v>976</v>
      </c>
      <c r="H53" t="s">
        <v>94</v>
      </c>
      <c r="I53" t="s">
        <v>1135</v>
      </c>
      <c r="J53" t="s">
        <v>406</v>
      </c>
      <c r="K53" s="22">
        <v>42914.639282407406</v>
      </c>
      <c r="L53">
        <v>1</v>
      </c>
      <c r="M53" s="26">
        <v>3.11</v>
      </c>
      <c r="N53" t="s">
        <v>1792</v>
      </c>
      <c r="Q53" s="29" t="s">
        <v>13</v>
      </c>
      <c r="R53" s="29" t="str">
        <f>IFERROR(MID(RADataTable[[#This Row],[RAtemplate]],1,LEN(RADataTable[[#This Row],[RAtemplate]])-8),"RA") &amp; " " &amp; RADataTable[[#This Row],[prop_id0]] &amp; " " &amp; RADataTable[[#This Row],[last0]]</f>
        <v>RA 1740829 Lahiri</v>
      </c>
      <c r="U53" s="21" t="str">
        <f>IF(signer1="PD",IF(ISBLANK(RADataTable[[#This Row],[sign_blck_name]]),"",RADataTable[[#This Row],[sign_blck_name]]),IF(ISBLANK(signer1),"",signer1))</f>
        <v>Jack Snoeyink</v>
      </c>
      <c r="V53" s="29" t="str">
        <f t="shared" si="1"/>
        <v>Cognisant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plahiri@umd.edu</v>
      </c>
      <c r="Y53" s="15" t="str">
        <f>HYPERLINK("mailto:"&amp;RADataTable[[#This Row],[allPIemail]]&amp;"&amp;subject=NSF Proposal:  "&amp;RADataTable[[#This Row],[Div]]&amp;" "&amp;RADataTable[[#This Row],[prop_id0]], "PIs@")</f>
        <v>PIs@</v>
      </c>
      <c r="Z53" t="s">
        <v>224</v>
      </c>
      <c r="AA53" t="s">
        <v>1360</v>
      </c>
      <c r="AB53">
        <v>3</v>
      </c>
      <c r="AD53"/>
      <c r="AE53" s="21">
        <v>5</v>
      </c>
      <c r="AF53" s="26">
        <v>5.666666666666667</v>
      </c>
      <c r="AG53">
        <v>7</v>
      </c>
      <c r="AH53" t="s">
        <v>1365</v>
      </c>
      <c r="AI53" s="30">
        <v>42872.520833333336</v>
      </c>
      <c r="AJ53" s="13">
        <v>1499984</v>
      </c>
      <c r="AK53" s="13">
        <v>1499984</v>
      </c>
      <c r="AL53">
        <v>0</v>
      </c>
      <c r="AM53" s="30">
        <v>42979</v>
      </c>
      <c r="AN53" s="21">
        <v>36</v>
      </c>
      <c r="AO53" s="21" t="s">
        <v>1366</v>
      </c>
      <c r="AR53" s="30"/>
      <c r="AS53" t="s">
        <v>1789</v>
      </c>
      <c r="AT53" s="21" t="s">
        <v>1791</v>
      </c>
      <c r="AU53" s="21">
        <v>11</v>
      </c>
      <c r="AV53" s="21" t="s">
        <v>2067</v>
      </c>
      <c r="AW53" s="30">
        <v>42872</v>
      </c>
      <c r="AX53" s="21" t="s">
        <v>2111</v>
      </c>
      <c r="AY53" s="21" t="s">
        <v>2068</v>
      </c>
      <c r="AZ53" s="21">
        <v>12</v>
      </c>
      <c r="BA53" s="21">
        <v>0</v>
      </c>
      <c r="BF53" s="30"/>
      <c r="BI53" s="21">
        <v>12</v>
      </c>
      <c r="BJ53" s="21">
        <v>0</v>
      </c>
      <c r="BO53" s="30"/>
      <c r="BR53" s="21">
        <v>12</v>
      </c>
      <c r="BS53" s="21">
        <v>0</v>
      </c>
      <c r="BT53" t="s">
        <v>1360</v>
      </c>
      <c r="BU53" s="21" t="s">
        <v>1361</v>
      </c>
      <c r="BV53" s="21" t="s">
        <v>1362</v>
      </c>
      <c r="BW53" s="21" t="s">
        <v>1363</v>
      </c>
      <c r="BX53" s="31">
        <v>1499984</v>
      </c>
      <c r="BY53" s="31">
        <v>1499984</v>
      </c>
      <c r="BZ53" t="s">
        <v>1142</v>
      </c>
      <c r="CE53" s="31"/>
      <c r="CF53" s="31"/>
      <c r="CL53" s="31"/>
      <c r="CM53" s="31"/>
      <c r="CS53" s="31"/>
      <c r="CT53" s="31"/>
      <c r="CZ53" s="31"/>
      <c r="DA53" s="31"/>
      <c r="DG53" s="31"/>
      <c r="DH53" s="31"/>
      <c r="DN53" s="31"/>
      <c r="DO53" s="31"/>
      <c r="DQ53" t="s">
        <v>2069</v>
      </c>
      <c r="DR53" t="s">
        <v>225</v>
      </c>
      <c r="DS53" t="s">
        <v>2070</v>
      </c>
      <c r="DT53" s="29" t="s">
        <v>214</v>
      </c>
      <c r="DU53" t="s">
        <v>973</v>
      </c>
      <c r="DV53" t="s">
        <v>622</v>
      </c>
      <c r="DW53" t="s">
        <v>173</v>
      </c>
      <c r="DX53" t="s">
        <v>170</v>
      </c>
      <c r="DY53" t="s">
        <v>171</v>
      </c>
      <c r="DZ53" s="22">
        <v>43073.921863425923</v>
      </c>
      <c r="EA53" t="s">
        <v>1364</v>
      </c>
      <c r="EB53" t="s">
        <v>2112</v>
      </c>
    </row>
    <row r="54" spans="1:132" x14ac:dyDescent="0.4">
      <c r="A54" s="30">
        <v>42956.384513888886</v>
      </c>
      <c r="B54" s="22">
        <v>42809.700694444444</v>
      </c>
      <c r="C54" s="22" t="s">
        <v>1136</v>
      </c>
      <c r="D54" s="30" t="s">
        <v>222</v>
      </c>
      <c r="E54" s="30" t="s">
        <v>1137</v>
      </c>
      <c r="F54" s="30" t="s">
        <v>172</v>
      </c>
      <c r="G54" s="30" t="s">
        <v>976</v>
      </c>
      <c r="H54" t="s">
        <v>94</v>
      </c>
      <c r="I54" t="s">
        <v>1135</v>
      </c>
      <c r="J54" t="s">
        <v>451</v>
      </c>
      <c r="K54" s="22">
        <v>42951.541817129626</v>
      </c>
      <c r="L54">
        <v>1</v>
      </c>
      <c r="M54" s="26">
        <v>3.11</v>
      </c>
      <c r="N54" t="s">
        <v>1792</v>
      </c>
      <c r="Q54" s="29" t="s">
        <v>13</v>
      </c>
      <c r="R54" s="29" t="str">
        <f>IFERROR(MID(RADataTable[[#This Row],[RAtemplate]],1,LEN(RADataTable[[#This Row],[RAtemplate]])-8),"RA") &amp; " " &amp; RADataTable[[#This Row],[prop_id0]] &amp; " " &amp; RADataTable[[#This Row],[last0]]</f>
        <v>RA 1740831 Ramachandran</v>
      </c>
      <c r="U54" s="21" t="str">
        <f>IF(signer1="PD",IF(ISBLANK(RADataTable[[#This Row],[sign_blck_name]]),"",RADataTable[[#This Row],[sign_blck_name]]),IF(ISBLANK(signer1),"",signer1))</f>
        <v>Tracy J. Kimbrel</v>
      </c>
      <c r="V54" s="29" t="str">
        <f t="shared" si="1"/>
        <v>Cognisant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ram@usf.edu</v>
      </c>
      <c r="Y54" s="15" t="str">
        <f>HYPERLINK("mailto:"&amp;RADataTable[[#This Row],[allPIemail]]&amp;"&amp;subject=NSF Proposal:  "&amp;RADataTable[[#This Row],[Div]]&amp;" "&amp;RADataTable[[#This Row],[prop_id0]], "PIs@")</f>
        <v>PIs@</v>
      </c>
      <c r="Z54" t="s">
        <v>224</v>
      </c>
      <c r="AA54" t="s">
        <v>1367</v>
      </c>
      <c r="AB54">
        <v>5</v>
      </c>
      <c r="AD54"/>
      <c r="AE54" s="21">
        <v>2</v>
      </c>
      <c r="AF54" s="26">
        <v>4</v>
      </c>
      <c r="AG54">
        <v>5</v>
      </c>
      <c r="AH54" t="s">
        <v>1371</v>
      </c>
      <c r="AI54" s="30">
        <v>42871.898611111108</v>
      </c>
      <c r="AJ54" s="13">
        <v>1464858</v>
      </c>
      <c r="AK54" s="13">
        <v>1464858</v>
      </c>
      <c r="AL54">
        <v>0</v>
      </c>
      <c r="AM54" s="30">
        <v>43101</v>
      </c>
      <c r="AN54" s="21">
        <v>36</v>
      </c>
      <c r="AO54" s="21" t="s">
        <v>1372</v>
      </c>
      <c r="AR54" s="30"/>
      <c r="AS54" t="s">
        <v>1789</v>
      </c>
      <c r="AT54" s="21" t="s">
        <v>1791</v>
      </c>
      <c r="AU54" s="21">
        <v>11</v>
      </c>
      <c r="AV54" s="21" t="s">
        <v>2067</v>
      </c>
      <c r="AW54" s="30">
        <v>42872</v>
      </c>
      <c r="AX54" s="21" t="s">
        <v>2113</v>
      </c>
      <c r="AY54" s="21" t="s">
        <v>2068</v>
      </c>
      <c r="AZ54" s="21">
        <v>12</v>
      </c>
      <c r="BA54" s="21">
        <v>0</v>
      </c>
      <c r="BF54" s="30"/>
      <c r="BI54" s="21">
        <v>12</v>
      </c>
      <c r="BJ54" s="21">
        <v>0</v>
      </c>
      <c r="BO54" s="30"/>
      <c r="BR54" s="21">
        <v>12</v>
      </c>
      <c r="BS54" s="21">
        <v>0</v>
      </c>
      <c r="BT54" t="s">
        <v>1367</v>
      </c>
      <c r="BU54" s="21" t="s">
        <v>1368</v>
      </c>
      <c r="BV54" s="21" t="s">
        <v>1369</v>
      </c>
      <c r="BW54" s="21" t="s">
        <v>559</v>
      </c>
      <c r="BX54" s="31">
        <v>1464858</v>
      </c>
      <c r="BY54" s="31">
        <v>1464858</v>
      </c>
      <c r="BZ54" t="s">
        <v>1142</v>
      </c>
      <c r="CE54" s="31"/>
      <c r="CF54" s="31"/>
      <c r="CL54" s="31"/>
      <c r="CM54" s="31"/>
      <c r="CS54" s="31"/>
      <c r="CT54" s="31"/>
      <c r="CZ54" s="31"/>
      <c r="DA54" s="31"/>
      <c r="DG54" s="31"/>
      <c r="DH54" s="31"/>
      <c r="DN54" s="31"/>
      <c r="DO54" s="31"/>
      <c r="DQ54" t="s">
        <v>2069</v>
      </c>
      <c r="DR54" t="s">
        <v>225</v>
      </c>
      <c r="DS54" t="s">
        <v>2070</v>
      </c>
      <c r="DT54" s="29" t="s">
        <v>638</v>
      </c>
      <c r="DU54" t="s">
        <v>973</v>
      </c>
      <c r="DV54" t="s">
        <v>622</v>
      </c>
      <c r="DW54" t="s">
        <v>173</v>
      </c>
      <c r="DX54" t="s">
        <v>170</v>
      </c>
      <c r="DY54" t="s">
        <v>171</v>
      </c>
      <c r="DZ54" s="22">
        <v>43073.921863425923</v>
      </c>
      <c r="EA54" t="s">
        <v>1370</v>
      </c>
      <c r="EB54" t="s">
        <v>2114</v>
      </c>
    </row>
    <row r="55" spans="1:132" x14ac:dyDescent="0.4">
      <c r="A55" s="30">
        <v>42956.385439814818</v>
      </c>
      <c r="B55" s="22">
        <v>42809.706250000003</v>
      </c>
      <c r="C55" s="22" t="s">
        <v>1136</v>
      </c>
      <c r="D55" s="30" t="s">
        <v>222</v>
      </c>
      <c r="E55" s="30" t="s">
        <v>1137</v>
      </c>
      <c r="F55" s="30" t="s">
        <v>172</v>
      </c>
      <c r="G55" s="30" t="s">
        <v>976</v>
      </c>
      <c r="H55" t="s">
        <v>94</v>
      </c>
      <c r="I55" t="s">
        <v>1135</v>
      </c>
      <c r="J55" t="s">
        <v>451</v>
      </c>
      <c r="K55" s="22">
        <v>42951.589386574073</v>
      </c>
      <c r="L55">
        <v>1</v>
      </c>
      <c r="M55" s="26">
        <v>3.11</v>
      </c>
      <c r="N55" t="s">
        <v>1792</v>
      </c>
      <c r="Q55" s="29" t="s">
        <v>13</v>
      </c>
      <c r="R55" s="29" t="str">
        <f>IFERROR(MID(RADataTable[[#This Row],[RAtemplate]],1,LEN(RADataTable[[#This Row],[RAtemplate]])-8),"RA") &amp; " " &amp; RADataTable[[#This Row],[prop_id0]] &amp; " " &amp; RADataTable[[#This Row],[last0]]</f>
        <v>RA 1740835 Orecchia</v>
      </c>
      <c r="U55" s="21" t="str">
        <f>IF(signer1="PD",IF(ISBLANK(RADataTable[[#This Row],[sign_blck_name]]),"",RADataTable[[#This Row],[sign_blck_name]]),IF(ISBLANK(signer1),"",signer1))</f>
        <v>Tracy J. Kimbrel</v>
      </c>
      <c r="V55" s="29" t="str">
        <f t="shared" si="1"/>
        <v>Cognisant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orecchia@bu.edu</v>
      </c>
      <c r="Y55" s="15" t="str">
        <f>HYPERLINK("mailto:"&amp;RADataTable[[#This Row],[allPIemail]]&amp;"&amp;subject=NSF Proposal:  "&amp;RADataTable[[#This Row],[Div]]&amp;" "&amp;RADataTable[[#This Row],[prop_id0]], "PIs@")</f>
        <v>PIs@</v>
      </c>
      <c r="Z55" t="s">
        <v>224</v>
      </c>
      <c r="AA55" t="s">
        <v>1384</v>
      </c>
      <c r="AB55">
        <v>3</v>
      </c>
      <c r="AD55"/>
      <c r="AE55" s="21">
        <v>3</v>
      </c>
      <c r="AF55" s="26">
        <v>4.666666666666667</v>
      </c>
      <c r="AG55">
        <v>6</v>
      </c>
      <c r="AH55" t="s">
        <v>593</v>
      </c>
      <c r="AI55" s="30">
        <v>42873.52847222222</v>
      </c>
      <c r="AJ55" s="13">
        <v>1493907</v>
      </c>
      <c r="AK55" s="13">
        <v>1493907</v>
      </c>
      <c r="AL55">
        <v>0</v>
      </c>
      <c r="AM55" s="30">
        <v>43101</v>
      </c>
      <c r="AN55" s="21">
        <v>36</v>
      </c>
      <c r="AO55" s="21" t="s">
        <v>1388</v>
      </c>
      <c r="AR55" s="30"/>
      <c r="AS55" t="s">
        <v>1789</v>
      </c>
      <c r="AT55" s="21" t="s">
        <v>1791</v>
      </c>
      <c r="AU55" s="21">
        <v>11</v>
      </c>
      <c r="AV55" s="21" t="s">
        <v>2067</v>
      </c>
      <c r="AW55" s="30">
        <v>42872</v>
      </c>
      <c r="AX55" s="21" t="s">
        <v>680</v>
      </c>
      <c r="AY55" s="21" t="s">
        <v>2068</v>
      </c>
      <c r="AZ55" s="21">
        <v>12</v>
      </c>
      <c r="BA55" s="21">
        <v>2</v>
      </c>
      <c r="BF55" s="30"/>
      <c r="BI55" s="21">
        <v>12</v>
      </c>
      <c r="BJ55" s="21">
        <v>2</v>
      </c>
      <c r="BO55" s="30"/>
      <c r="BR55" s="21">
        <v>12</v>
      </c>
      <c r="BS55" s="21">
        <v>2</v>
      </c>
      <c r="BT55" t="s">
        <v>1384</v>
      </c>
      <c r="BU55" s="21" t="s">
        <v>1385</v>
      </c>
      <c r="BV55" s="21" t="s">
        <v>1386</v>
      </c>
      <c r="BW55" s="21" t="s">
        <v>501</v>
      </c>
      <c r="BX55" s="31">
        <v>1493907</v>
      </c>
      <c r="BY55" s="31">
        <v>1493907</v>
      </c>
      <c r="BZ55" t="s">
        <v>1142</v>
      </c>
      <c r="CE55" s="31"/>
      <c r="CF55" s="31"/>
      <c r="CL55" s="31"/>
      <c r="CM55" s="31"/>
      <c r="CS55" s="31"/>
      <c r="CT55" s="31"/>
      <c r="CZ55" s="31"/>
      <c r="DA55" s="31"/>
      <c r="DG55" s="31"/>
      <c r="DH55" s="31"/>
      <c r="DN55" s="31"/>
      <c r="DO55" s="31"/>
      <c r="DQ55" t="s">
        <v>2069</v>
      </c>
      <c r="DR55" t="s">
        <v>225</v>
      </c>
      <c r="DS55" t="s">
        <v>2070</v>
      </c>
      <c r="DT55" s="29" t="s">
        <v>638</v>
      </c>
      <c r="DU55" t="s">
        <v>973</v>
      </c>
      <c r="DV55" t="s">
        <v>622</v>
      </c>
      <c r="DW55" t="s">
        <v>173</v>
      </c>
      <c r="DX55" t="s">
        <v>170</v>
      </c>
      <c r="DY55" t="s">
        <v>171</v>
      </c>
      <c r="DZ55" s="22">
        <v>43073.921863425923</v>
      </c>
      <c r="EA55" t="s">
        <v>1387</v>
      </c>
      <c r="EB55" t="s">
        <v>2118</v>
      </c>
    </row>
    <row r="56" spans="1:132" x14ac:dyDescent="0.4">
      <c r="A56" s="30">
        <v>42954.675567129627</v>
      </c>
      <c r="B56" s="22">
        <v>42810.679861111108</v>
      </c>
      <c r="C56" s="22" t="s">
        <v>1136</v>
      </c>
      <c r="D56" s="30" t="s">
        <v>222</v>
      </c>
      <c r="E56" s="30" t="s">
        <v>1137</v>
      </c>
      <c r="F56" s="30" t="s">
        <v>172</v>
      </c>
      <c r="G56" s="30" t="s">
        <v>976</v>
      </c>
      <c r="H56" t="s">
        <v>94</v>
      </c>
      <c r="I56" t="s">
        <v>1135</v>
      </c>
      <c r="J56" t="s">
        <v>451</v>
      </c>
      <c r="K56" s="22">
        <v>42951.484560185185</v>
      </c>
      <c r="L56">
        <v>1</v>
      </c>
      <c r="M56" s="26">
        <v>3.11</v>
      </c>
      <c r="N56" t="s">
        <v>1792</v>
      </c>
      <c r="Q56" s="29" t="s">
        <v>13</v>
      </c>
      <c r="R56" s="29" t="str">
        <f>IFERROR(MID(RADataTable[[#This Row],[RAtemplate]],1,LEN(RADataTable[[#This Row],[RAtemplate]])-8),"RA") &amp; " " &amp; RADataTable[[#This Row],[prop_id0]] &amp; " " &amp; RADataTable[[#This Row],[last0]]</f>
        <v>RA 1740904 Yener</v>
      </c>
      <c r="U56" s="21" t="str">
        <f>IF(signer1="PD",IF(ISBLANK(RADataTable[[#This Row],[sign_blck_name]]),"",RADataTable[[#This Row],[sign_blck_name]]),IF(ISBLANK(signer1),"",signer1))</f>
        <v>Tracy J. Kimbrel</v>
      </c>
      <c r="V56" s="29" t="str">
        <f t="shared" si="1"/>
        <v>Cognisant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byener@gmail.com</v>
      </c>
      <c r="Y56" s="15" t="str">
        <f>HYPERLINK("mailto:"&amp;RADataTable[[#This Row],[allPIemail]]&amp;"&amp;subject=NSF Proposal:  "&amp;RADataTable[[#This Row],[Div]]&amp;" "&amp;RADataTable[[#This Row],[prop_id0]], "PIs@")</f>
        <v>PIs@</v>
      </c>
      <c r="Z56" t="s">
        <v>224</v>
      </c>
      <c r="AA56" t="s">
        <v>1389</v>
      </c>
      <c r="AB56">
        <v>3</v>
      </c>
      <c r="AD56"/>
      <c r="AE56" s="21">
        <v>1</v>
      </c>
      <c r="AF56" s="26">
        <v>5</v>
      </c>
      <c r="AG56">
        <v>7</v>
      </c>
      <c r="AH56" t="s">
        <v>1394</v>
      </c>
      <c r="AI56" s="30">
        <v>42872.491666666669</v>
      </c>
      <c r="AJ56" s="13">
        <v>1499997</v>
      </c>
      <c r="AK56" s="13">
        <v>1499997</v>
      </c>
      <c r="AL56">
        <v>0</v>
      </c>
      <c r="AM56" s="30">
        <v>42978</v>
      </c>
      <c r="AN56" s="21">
        <v>36</v>
      </c>
      <c r="AO56" s="21" t="s">
        <v>1395</v>
      </c>
      <c r="AR56" s="30"/>
      <c r="AS56" t="s">
        <v>1789</v>
      </c>
      <c r="AT56" s="21" t="s">
        <v>1791</v>
      </c>
      <c r="AU56" s="21">
        <v>11</v>
      </c>
      <c r="AV56" s="21" t="s">
        <v>2067</v>
      </c>
      <c r="AW56" s="30">
        <v>42872</v>
      </c>
      <c r="AX56" s="21" t="s">
        <v>2119</v>
      </c>
      <c r="AY56" s="21" t="s">
        <v>2068</v>
      </c>
      <c r="AZ56" s="21">
        <v>12</v>
      </c>
      <c r="BA56" s="21">
        <v>1</v>
      </c>
      <c r="BF56" s="30"/>
      <c r="BI56" s="21">
        <v>12</v>
      </c>
      <c r="BJ56" s="21">
        <v>1</v>
      </c>
      <c r="BO56" s="30"/>
      <c r="BR56" s="21">
        <v>12</v>
      </c>
      <c r="BS56" s="21">
        <v>1</v>
      </c>
      <c r="BT56" t="s">
        <v>1389</v>
      </c>
      <c r="BU56" s="21" t="s">
        <v>1390</v>
      </c>
      <c r="BV56" s="21" t="s">
        <v>1391</v>
      </c>
      <c r="BW56" s="21" t="s">
        <v>1392</v>
      </c>
      <c r="BX56" s="31">
        <v>1277934</v>
      </c>
      <c r="BY56" s="31">
        <v>1277934</v>
      </c>
      <c r="BZ56" t="s">
        <v>1142</v>
      </c>
      <c r="CA56" s="21" t="s">
        <v>1396</v>
      </c>
      <c r="CB56" s="21" t="s">
        <v>1397</v>
      </c>
      <c r="CC56" s="21" t="s">
        <v>1398</v>
      </c>
      <c r="CD56" s="21" t="s">
        <v>1399</v>
      </c>
      <c r="CE56" s="31">
        <v>222063</v>
      </c>
      <c r="CF56" s="31">
        <v>222063</v>
      </c>
      <c r="CG56" t="s">
        <v>1176</v>
      </c>
      <c r="CL56" s="31"/>
      <c r="CM56" s="31"/>
      <c r="CS56" s="31"/>
      <c r="CT56" s="31"/>
      <c r="CZ56" s="31"/>
      <c r="DA56" s="31"/>
      <c r="DG56" s="31"/>
      <c r="DH56" s="31"/>
      <c r="DN56" s="31"/>
      <c r="DO56" s="31"/>
      <c r="DQ56" t="s">
        <v>2069</v>
      </c>
      <c r="DR56" t="s">
        <v>225</v>
      </c>
      <c r="DS56" t="s">
        <v>2070</v>
      </c>
      <c r="DT56" s="29" t="s">
        <v>638</v>
      </c>
      <c r="DU56" t="s">
        <v>973</v>
      </c>
      <c r="DV56" t="s">
        <v>622</v>
      </c>
      <c r="DW56" t="s">
        <v>173</v>
      </c>
      <c r="DX56" t="s">
        <v>170</v>
      </c>
      <c r="DY56" t="s">
        <v>171</v>
      </c>
      <c r="DZ56" s="22">
        <v>43073.921863425923</v>
      </c>
      <c r="EA56" t="s">
        <v>1393</v>
      </c>
      <c r="EB56" t="s">
        <v>2120</v>
      </c>
    </row>
    <row r="57" spans="1:132" x14ac:dyDescent="0.4">
      <c r="A57" s="30"/>
      <c r="B57" s="22">
        <v>42933.547222222223</v>
      </c>
      <c r="C57" s="22" t="s">
        <v>256</v>
      </c>
      <c r="D57" s="30" t="s">
        <v>222</v>
      </c>
      <c r="E57" s="30" t="s">
        <v>405</v>
      </c>
      <c r="F57" s="30" t="s">
        <v>172</v>
      </c>
      <c r="G57" s="30" t="s">
        <v>174</v>
      </c>
      <c r="H57" t="s">
        <v>94</v>
      </c>
      <c r="I57" t="s">
        <v>404</v>
      </c>
      <c r="J57" t="s">
        <v>406</v>
      </c>
      <c r="L57">
        <v>1</v>
      </c>
      <c r="M57" s="26">
        <v>3.13</v>
      </c>
      <c r="N57" t="s">
        <v>263</v>
      </c>
      <c r="Q57" s="29" t="s">
        <v>177</v>
      </c>
      <c r="R57" s="29" t="str">
        <f>IFERROR(MID(RADataTable[[#This Row],[RAtemplate]],1,LEN(RADataTable[[#This Row],[RAtemplate]])-8),"RA") &amp; " " &amp; RADataTable[[#This Row],[prop_id0]] &amp; " " &amp; RADataTable[[#This Row],[last0]]</f>
        <v>Decline  1749385 Wang</v>
      </c>
      <c r="U57" s="21" t="str">
        <f>IF(signer1="PD",IF(ISBLANK(RADataTable[[#This Row],[sign_blck_name]]),"",RADataTable[[#This Row],[sign_blck_name]]),IF(ISBLANK(signer1),"",signer1))</f>
        <v>Jack Snoeyink</v>
      </c>
      <c r="V57" s="29" t="str">
        <f t="shared" si="1"/>
        <v>Cognisant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haitao.wang@usu.edu</v>
      </c>
      <c r="Y57" s="15" t="str">
        <f>HYPERLINK("mailto:"&amp;RADataTable[[#This Row],[allPIemail]]&amp;"&amp;subject=NSF Proposal:  "&amp;RADataTable[[#This Row],[Div]]&amp;" "&amp;RADataTable[[#This Row],[prop_id0]], "PIs@")</f>
        <v>PIs@</v>
      </c>
      <c r="Z57" t="s">
        <v>224</v>
      </c>
      <c r="AA57" t="s">
        <v>355</v>
      </c>
      <c r="AB57">
        <v>4</v>
      </c>
      <c r="AC57">
        <v>4</v>
      </c>
      <c r="AD57"/>
      <c r="AE57" s="21">
        <v>4</v>
      </c>
      <c r="AF57" s="26">
        <v>6.25</v>
      </c>
      <c r="AG57">
        <v>9</v>
      </c>
      <c r="AH57" t="s">
        <v>420</v>
      </c>
      <c r="AI57" s="30">
        <v>43030.179166666669</v>
      </c>
      <c r="AJ57" s="13">
        <v>524898</v>
      </c>
      <c r="AK57" s="13">
        <v>524898</v>
      </c>
      <c r="AL57">
        <v>0</v>
      </c>
      <c r="AM57" s="30">
        <v>43221</v>
      </c>
      <c r="AN57" s="21">
        <v>60</v>
      </c>
      <c r="AO57" s="21" t="s">
        <v>421</v>
      </c>
      <c r="AR57" s="30"/>
      <c r="AS57" t="s">
        <v>616</v>
      </c>
      <c r="AT57" s="21" t="s">
        <v>264</v>
      </c>
      <c r="AU57" s="21">
        <v>13</v>
      </c>
      <c r="AV57" s="21" t="s">
        <v>618</v>
      </c>
      <c r="AW57" s="30">
        <v>43032</v>
      </c>
      <c r="AX57" s="21" t="s">
        <v>624</v>
      </c>
      <c r="AY57" s="21" t="s">
        <v>620</v>
      </c>
      <c r="AZ57" s="21">
        <v>14</v>
      </c>
      <c r="BA57" s="21">
        <v>0</v>
      </c>
      <c r="BF57" s="30"/>
      <c r="BI57" s="21">
        <v>14</v>
      </c>
      <c r="BJ57" s="21">
        <v>0</v>
      </c>
      <c r="BO57" s="30"/>
      <c r="BR57" s="21">
        <v>14</v>
      </c>
      <c r="BS57" s="21">
        <v>0</v>
      </c>
      <c r="BT57" t="s">
        <v>355</v>
      </c>
      <c r="BU57" s="21" t="s">
        <v>414</v>
      </c>
      <c r="BV57" s="21" t="s">
        <v>415</v>
      </c>
      <c r="BW57" s="21" t="s">
        <v>416</v>
      </c>
      <c r="BX57" s="31">
        <v>524898</v>
      </c>
      <c r="BY57" s="31">
        <v>524898</v>
      </c>
      <c r="BZ57" t="s">
        <v>419</v>
      </c>
      <c r="CE57" s="31"/>
      <c r="CF57" s="31"/>
      <c r="CL57" s="31"/>
      <c r="CM57" s="31"/>
      <c r="CS57" s="31"/>
      <c r="CT57" s="31"/>
      <c r="CZ57" s="31"/>
      <c r="DA57" s="31"/>
      <c r="DG57" s="31"/>
      <c r="DH57" s="31"/>
      <c r="DN57" s="31"/>
      <c r="DO57" s="31"/>
      <c r="DQ57" t="s">
        <v>260</v>
      </c>
      <c r="DR57" t="s">
        <v>225</v>
      </c>
      <c r="DS57" t="s">
        <v>621</v>
      </c>
      <c r="DT57" s="29" t="s">
        <v>214</v>
      </c>
      <c r="DU57" t="s">
        <v>175</v>
      </c>
      <c r="DV57" t="s">
        <v>622</v>
      </c>
      <c r="DW57" t="s">
        <v>173</v>
      </c>
      <c r="DX57" t="s">
        <v>170</v>
      </c>
      <c r="DY57" t="s">
        <v>171</v>
      </c>
      <c r="DZ57" s="22">
        <v>43073.921863425923</v>
      </c>
      <c r="EA57" t="s">
        <v>418</v>
      </c>
      <c r="EB57" t="s">
        <v>625</v>
      </c>
    </row>
    <row r="58" spans="1:132" x14ac:dyDescent="0.4">
      <c r="A58" s="30"/>
      <c r="B58" s="22">
        <v>42933.579861111109</v>
      </c>
      <c r="C58" s="22" t="s">
        <v>256</v>
      </c>
      <c r="D58" s="30" t="s">
        <v>222</v>
      </c>
      <c r="E58" s="30" t="s">
        <v>405</v>
      </c>
      <c r="F58" s="30" t="s">
        <v>172</v>
      </c>
      <c r="G58" s="30" t="s">
        <v>174</v>
      </c>
      <c r="H58" t="s">
        <v>94</v>
      </c>
      <c r="I58" t="s">
        <v>404</v>
      </c>
      <c r="J58" t="s">
        <v>422</v>
      </c>
      <c r="L58">
        <v>1</v>
      </c>
      <c r="M58" s="26">
        <v>3.13</v>
      </c>
      <c r="N58" t="s">
        <v>263</v>
      </c>
      <c r="Q58" s="29" t="s">
        <v>13</v>
      </c>
      <c r="R58" s="29" t="str">
        <f>IFERROR(MID(RADataTable[[#This Row],[RAtemplate]],1,LEN(RADataTable[[#This Row],[RAtemplate]])-8),"RA") &amp; " " &amp; RADataTable[[#This Row],[prop_id0]] &amp; " " &amp; RADataTable[[#This Row],[last0]]</f>
        <v>RA 1749414 Moseley</v>
      </c>
      <c r="U58" s="21" t="str">
        <f>IF(signer1="PD",IF(ISBLANK(RADataTable[[#This Row],[sign_blck_name]]),"",RADataTable[[#This Row],[sign_blck_name]]),IF(ISBLANK(signer1),"",signer1))</f>
        <v>Rahul Shah</v>
      </c>
      <c r="V58" s="29" t="str">
        <f t="shared" si="1"/>
        <v>Cognisant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bmoseley@seas.wustl.edu</v>
      </c>
      <c r="Y58" s="15" t="str">
        <f>HYPERLINK("mailto:"&amp;RADataTable[[#This Row],[allPIemail]]&amp;"&amp;subject=NSF Proposal:  "&amp;RADataTable[[#This Row],[Div]]&amp;" "&amp;RADataTable[[#This Row],[prop_id0]], "PIs@")</f>
        <v>PIs@</v>
      </c>
      <c r="Z58" t="s">
        <v>224</v>
      </c>
      <c r="AA58" t="s">
        <v>356</v>
      </c>
      <c r="AB58">
        <v>5</v>
      </c>
      <c r="AC58">
        <v>5</v>
      </c>
      <c r="AD58"/>
      <c r="AE58" s="21">
        <v>5</v>
      </c>
      <c r="AF58" s="26">
        <v>6.8</v>
      </c>
      <c r="AG58">
        <v>9</v>
      </c>
      <c r="AH58" t="s">
        <v>427</v>
      </c>
      <c r="AI58" s="30">
        <v>43032.510416666664</v>
      </c>
      <c r="AJ58" s="13">
        <v>545000</v>
      </c>
      <c r="AK58" s="13">
        <v>545000</v>
      </c>
      <c r="AL58">
        <v>0</v>
      </c>
      <c r="AM58" s="30">
        <v>43282</v>
      </c>
      <c r="AN58" s="21">
        <v>60</v>
      </c>
      <c r="AO58" s="21" t="s">
        <v>428</v>
      </c>
      <c r="AR58" s="30"/>
      <c r="AS58" t="s">
        <v>616</v>
      </c>
      <c r="AT58" s="21" t="s">
        <v>264</v>
      </c>
      <c r="AU58" s="21">
        <v>13</v>
      </c>
      <c r="AV58" s="21" t="s">
        <v>618</v>
      </c>
      <c r="AW58" s="30">
        <v>43032</v>
      </c>
      <c r="AX58" s="21" t="s">
        <v>626</v>
      </c>
      <c r="AY58" s="21" t="s">
        <v>620</v>
      </c>
      <c r="AZ58" s="21">
        <v>14</v>
      </c>
      <c r="BA58" s="21">
        <v>1</v>
      </c>
      <c r="BF58" s="30"/>
      <c r="BI58" s="21">
        <v>14</v>
      </c>
      <c r="BJ58" s="21">
        <v>1</v>
      </c>
      <c r="BO58" s="30"/>
      <c r="BR58" s="21">
        <v>14</v>
      </c>
      <c r="BS58" s="21">
        <v>1</v>
      </c>
      <c r="BT58" t="s">
        <v>356</v>
      </c>
      <c r="BU58" s="21" t="s">
        <v>423</v>
      </c>
      <c r="BV58" s="21" t="s">
        <v>262</v>
      </c>
      <c r="BW58" s="21" t="s">
        <v>424</v>
      </c>
      <c r="BX58" s="31">
        <v>545000</v>
      </c>
      <c r="BY58" s="31">
        <v>545000</v>
      </c>
      <c r="BZ58" t="s">
        <v>426</v>
      </c>
      <c r="CE58" s="31"/>
      <c r="CF58" s="31"/>
      <c r="CL58" s="31"/>
      <c r="CM58" s="31"/>
      <c r="CS58" s="31"/>
      <c r="CT58" s="31"/>
      <c r="CZ58" s="31"/>
      <c r="DA58" s="31"/>
      <c r="DG58" s="31"/>
      <c r="DH58" s="31"/>
      <c r="DN58" s="31"/>
      <c r="DO58" s="31"/>
      <c r="DQ58" t="s">
        <v>260</v>
      </c>
      <c r="DR58" t="s">
        <v>225</v>
      </c>
      <c r="DS58" t="s">
        <v>621</v>
      </c>
      <c r="DT58" s="29" t="s">
        <v>627</v>
      </c>
      <c r="DU58" t="s">
        <v>175</v>
      </c>
      <c r="DV58" t="s">
        <v>622</v>
      </c>
      <c r="DW58" t="s">
        <v>173</v>
      </c>
      <c r="DX58" t="s">
        <v>170</v>
      </c>
      <c r="DY58" t="s">
        <v>171</v>
      </c>
      <c r="DZ58" s="22">
        <v>43073.921863425923</v>
      </c>
      <c r="EA58" t="s">
        <v>425</v>
      </c>
      <c r="EB58" t="s">
        <v>628</v>
      </c>
    </row>
    <row r="59" spans="1:132" x14ac:dyDescent="0.4">
      <c r="A59" s="30"/>
      <c r="B59" s="22">
        <v>42934.695138888892</v>
      </c>
      <c r="C59" s="22" t="s">
        <v>256</v>
      </c>
      <c r="D59" s="30" t="s">
        <v>222</v>
      </c>
      <c r="E59" s="30" t="s">
        <v>405</v>
      </c>
      <c r="F59" s="30" t="s">
        <v>172</v>
      </c>
      <c r="G59" s="30" t="s">
        <v>174</v>
      </c>
      <c r="H59" t="s">
        <v>94</v>
      </c>
      <c r="I59" t="s">
        <v>404</v>
      </c>
      <c r="J59" t="s">
        <v>406</v>
      </c>
      <c r="L59">
        <v>1</v>
      </c>
      <c r="M59" s="26">
        <v>3.13</v>
      </c>
      <c r="N59" t="s">
        <v>263</v>
      </c>
      <c r="Q59" s="29" t="s">
        <v>177</v>
      </c>
      <c r="R59" s="29" t="str">
        <f>IFERROR(MID(RADataTable[[#This Row],[RAtemplate]],1,LEN(RADataTable[[#This Row],[RAtemplate]])-8),"RA") &amp; " " &amp; RADataTable[[#This Row],[prop_id0]] &amp; " " &amp; RADataTable[[#This Row],[last0]]</f>
        <v>Decline  1749977 Solomon</v>
      </c>
      <c r="U59" s="21" t="str">
        <f>IF(signer1="PD",IF(ISBLANK(RADataTable[[#This Row],[sign_blck_name]]),"",RADataTable[[#This Row],[sign_blck_name]]),IF(ISBLANK(signer1),"",signer1))</f>
        <v>Jack Snoeyink</v>
      </c>
      <c r="V59" s="29" t="str">
        <f t="shared" si="1"/>
        <v>Cognisant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jsolomon@mit.edu</v>
      </c>
      <c r="Y59" s="15" t="str">
        <f>HYPERLINK("mailto:"&amp;RADataTable[[#This Row],[allPIemail]]&amp;"&amp;subject=NSF Proposal:  "&amp;RADataTable[[#This Row],[Div]]&amp;" "&amp;RADataTable[[#This Row],[prop_id0]], "PIs@")</f>
        <v>PIs@</v>
      </c>
      <c r="Z59" t="s">
        <v>224</v>
      </c>
      <c r="AA59" t="s">
        <v>362</v>
      </c>
      <c r="AB59">
        <v>4</v>
      </c>
      <c r="AC59">
        <v>4</v>
      </c>
      <c r="AD59"/>
      <c r="AE59" s="21">
        <v>3</v>
      </c>
      <c r="AF59" s="26">
        <v>6.25</v>
      </c>
      <c r="AG59">
        <v>9</v>
      </c>
      <c r="AH59" t="s">
        <v>462</v>
      </c>
      <c r="AI59" s="30">
        <v>43030.972222222219</v>
      </c>
      <c r="AJ59" s="13">
        <v>550000</v>
      </c>
      <c r="AK59" s="13">
        <v>550000</v>
      </c>
      <c r="AL59">
        <v>0</v>
      </c>
      <c r="AM59" s="30">
        <v>43101</v>
      </c>
      <c r="AN59" s="21">
        <v>60</v>
      </c>
      <c r="AO59" s="21" t="s">
        <v>463</v>
      </c>
      <c r="AR59" s="30"/>
      <c r="AS59" t="s">
        <v>616</v>
      </c>
      <c r="AT59" s="21" t="s">
        <v>264</v>
      </c>
      <c r="AU59" s="21">
        <v>13</v>
      </c>
      <c r="AV59" s="21" t="s">
        <v>618</v>
      </c>
      <c r="AW59" s="30">
        <v>43032</v>
      </c>
      <c r="AX59" s="21" t="s">
        <v>640</v>
      </c>
      <c r="AY59" s="21" t="s">
        <v>620</v>
      </c>
      <c r="AZ59" s="21">
        <v>14</v>
      </c>
      <c r="BA59" s="21">
        <v>2</v>
      </c>
      <c r="BF59" s="30"/>
      <c r="BI59" s="21">
        <v>14</v>
      </c>
      <c r="BJ59" s="21">
        <v>2</v>
      </c>
      <c r="BO59" s="30"/>
      <c r="BR59" s="21">
        <v>14</v>
      </c>
      <c r="BS59" s="21">
        <v>2</v>
      </c>
      <c r="BT59" t="s">
        <v>362</v>
      </c>
      <c r="BU59" s="21" t="s">
        <v>459</v>
      </c>
      <c r="BV59" s="21" t="s">
        <v>460</v>
      </c>
      <c r="BW59" s="21" t="s">
        <v>223</v>
      </c>
      <c r="BX59" s="31">
        <v>550000</v>
      </c>
      <c r="BY59" s="31">
        <v>550000</v>
      </c>
      <c r="BZ59" t="s">
        <v>419</v>
      </c>
      <c r="CE59" s="31"/>
      <c r="CF59" s="31"/>
      <c r="CL59" s="31"/>
      <c r="CM59" s="31"/>
      <c r="CS59" s="31"/>
      <c r="CT59" s="31"/>
      <c r="CZ59" s="31"/>
      <c r="DA59" s="31"/>
      <c r="DG59" s="31"/>
      <c r="DH59" s="31"/>
      <c r="DN59" s="31"/>
      <c r="DO59" s="31"/>
      <c r="DQ59" t="s">
        <v>260</v>
      </c>
      <c r="DR59" t="s">
        <v>225</v>
      </c>
      <c r="DS59" t="s">
        <v>621</v>
      </c>
      <c r="DT59" s="29" t="s">
        <v>214</v>
      </c>
      <c r="DU59" t="s">
        <v>175</v>
      </c>
      <c r="DV59" t="s">
        <v>622</v>
      </c>
      <c r="DW59" t="s">
        <v>173</v>
      </c>
      <c r="DX59" t="s">
        <v>170</v>
      </c>
      <c r="DY59" t="s">
        <v>171</v>
      </c>
      <c r="DZ59" s="22">
        <v>43073.921863425923</v>
      </c>
      <c r="EA59" t="s">
        <v>461</v>
      </c>
      <c r="EB59" t="s">
        <v>641</v>
      </c>
    </row>
    <row r="60" spans="1:132" x14ac:dyDescent="0.4">
      <c r="A60" s="30"/>
      <c r="B60" s="22">
        <v>42934.737500000003</v>
      </c>
      <c r="C60" s="22" t="s">
        <v>256</v>
      </c>
      <c r="D60" s="30" t="s">
        <v>222</v>
      </c>
      <c r="E60" s="30" t="s">
        <v>405</v>
      </c>
      <c r="F60" s="30" t="s">
        <v>172</v>
      </c>
      <c r="G60" s="30" t="s">
        <v>174</v>
      </c>
      <c r="H60" t="s">
        <v>94</v>
      </c>
      <c r="I60" t="s">
        <v>404</v>
      </c>
      <c r="J60" t="s">
        <v>451</v>
      </c>
      <c r="L60">
        <v>1</v>
      </c>
      <c r="M60" s="26">
        <v>3.13</v>
      </c>
      <c r="N60" t="s">
        <v>263</v>
      </c>
      <c r="Q60" s="29" t="s">
        <v>13</v>
      </c>
      <c r="R60" s="29" t="str">
        <f>IFERROR(MID(RADataTable[[#This Row],[RAtemplate]],1,LEN(RADataTable[[#This Row],[RAtemplate]])-8),"RA") &amp; " " &amp; RADataTable[[#This Row],[prop_id0]] &amp; " " &amp; RADataTable[[#This Row],[last0]]</f>
        <v>RA 1750039 Solomonik</v>
      </c>
      <c r="U60" s="21" t="str">
        <f>IF(signer1="PD",IF(ISBLANK(RADataTable[[#This Row],[sign_blck_name]]),"",RADataTable[[#This Row],[sign_blck_name]]),IF(ISBLANK(signer1),"",signer1))</f>
        <v>Tracy J. Kimbrel</v>
      </c>
      <c r="V60" s="29" t="str">
        <f t="shared" si="1"/>
        <v>Cognisant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solomon2@illinois.edu</v>
      </c>
      <c r="Y60" s="15" t="str">
        <f>HYPERLINK("mailto:"&amp;RADataTable[[#This Row],[allPIemail]]&amp;"&amp;subject=NSF Proposal:  "&amp;RADataTable[[#This Row],[Div]]&amp;" "&amp;RADataTable[[#This Row],[prop_id0]], "PIs@")</f>
        <v>PIs@</v>
      </c>
      <c r="Z60" t="s">
        <v>224</v>
      </c>
      <c r="AA60" t="s">
        <v>363</v>
      </c>
      <c r="AB60">
        <v>4</v>
      </c>
      <c r="AC60">
        <v>4</v>
      </c>
      <c r="AD60"/>
      <c r="AE60" s="21">
        <v>3</v>
      </c>
      <c r="AF60" s="26">
        <v>4.5</v>
      </c>
      <c r="AG60">
        <v>5</v>
      </c>
      <c r="AH60" t="s">
        <v>467</v>
      </c>
      <c r="AI60" s="30">
        <v>43031.922222222223</v>
      </c>
      <c r="AJ60" s="13">
        <v>524117</v>
      </c>
      <c r="AK60" s="13">
        <v>524117</v>
      </c>
      <c r="AL60">
        <v>0</v>
      </c>
      <c r="AM60" s="30">
        <v>43132</v>
      </c>
      <c r="AN60" s="21">
        <v>60</v>
      </c>
      <c r="AO60" s="21" t="s">
        <v>468</v>
      </c>
      <c r="AR60" s="30"/>
      <c r="AS60" t="s">
        <v>616</v>
      </c>
      <c r="AT60" s="21" t="s">
        <v>264</v>
      </c>
      <c r="AU60" s="21">
        <v>13</v>
      </c>
      <c r="AV60" s="21" t="s">
        <v>618</v>
      </c>
      <c r="AW60" s="30">
        <v>43032</v>
      </c>
      <c r="AX60" s="21" t="s">
        <v>642</v>
      </c>
      <c r="AY60" s="21" t="s">
        <v>620</v>
      </c>
      <c r="AZ60" s="21">
        <v>14</v>
      </c>
      <c r="BA60" s="21">
        <v>2</v>
      </c>
      <c r="BF60" s="30"/>
      <c r="BI60" s="21">
        <v>14</v>
      </c>
      <c r="BJ60" s="21">
        <v>2</v>
      </c>
      <c r="BO60" s="30"/>
      <c r="BR60" s="21">
        <v>14</v>
      </c>
      <c r="BS60" s="21">
        <v>2</v>
      </c>
      <c r="BT60" t="s">
        <v>363</v>
      </c>
      <c r="BU60" s="21" t="s">
        <v>464</v>
      </c>
      <c r="BV60" s="21" t="s">
        <v>465</v>
      </c>
      <c r="BW60" s="21" t="s">
        <v>454</v>
      </c>
      <c r="BX60" s="31">
        <v>524117</v>
      </c>
      <c r="BY60" s="31">
        <v>524117</v>
      </c>
      <c r="BZ60" t="s">
        <v>426</v>
      </c>
      <c r="CE60" s="31"/>
      <c r="CF60" s="31"/>
      <c r="CL60" s="31"/>
      <c r="CM60" s="31"/>
      <c r="CS60" s="31"/>
      <c r="CT60" s="31"/>
      <c r="CZ60" s="31"/>
      <c r="DA60" s="31"/>
      <c r="DG60" s="31"/>
      <c r="DH60" s="31"/>
      <c r="DN60" s="31"/>
      <c r="DO60" s="31"/>
      <c r="DQ60" t="s">
        <v>260</v>
      </c>
      <c r="DR60" t="s">
        <v>225</v>
      </c>
      <c r="DS60" t="s">
        <v>621</v>
      </c>
      <c r="DT60" s="29" t="s">
        <v>638</v>
      </c>
      <c r="DU60" t="s">
        <v>175</v>
      </c>
      <c r="DV60" t="s">
        <v>622</v>
      </c>
      <c r="DW60" t="s">
        <v>173</v>
      </c>
      <c r="DX60" t="s">
        <v>170</v>
      </c>
      <c r="DY60" t="s">
        <v>171</v>
      </c>
      <c r="DZ60" s="22">
        <v>43073.921863425923</v>
      </c>
      <c r="EA60" t="s">
        <v>466</v>
      </c>
      <c r="EB60" t="s">
        <v>643</v>
      </c>
    </row>
    <row r="61" spans="1:132" x14ac:dyDescent="0.4">
      <c r="A61" s="30"/>
      <c r="B61" s="22">
        <v>42935.359027777777</v>
      </c>
      <c r="C61" s="22" t="s">
        <v>256</v>
      </c>
      <c r="D61" s="30" t="s">
        <v>222</v>
      </c>
      <c r="E61" s="30" t="s">
        <v>405</v>
      </c>
      <c r="F61" s="30" t="s">
        <v>172</v>
      </c>
      <c r="G61" s="30" t="s">
        <v>174</v>
      </c>
      <c r="H61" t="s">
        <v>94</v>
      </c>
      <c r="I61" t="s">
        <v>404</v>
      </c>
      <c r="J61" t="s">
        <v>422</v>
      </c>
      <c r="L61">
        <v>1</v>
      </c>
      <c r="M61" s="26">
        <v>3.13</v>
      </c>
      <c r="N61" t="s">
        <v>263</v>
      </c>
      <c r="Q61" s="29" t="s">
        <v>13</v>
      </c>
      <c r="R61" s="29" t="str">
        <f>IFERROR(MID(RADataTable[[#This Row],[RAtemplate]],1,LEN(RADataTable[[#This Row],[RAtemplate]])-8),"RA") &amp; " " &amp; RADataTable[[#This Row],[prop_id0]] &amp; " " &amp; RADataTable[[#This Row],[last0]]</f>
        <v>RA 1750118 Li</v>
      </c>
      <c r="U61" s="21" t="str">
        <f>IF(signer1="PD",IF(ISBLANK(RADataTable[[#This Row],[sign_blck_name]]),"",RADataTable[[#This Row],[sign_blck_name]]),IF(ISBLANK(signer1),"",signer1))</f>
        <v>Rahul Shah</v>
      </c>
      <c r="V61" s="29" t="str">
        <f t="shared" si="1"/>
        <v>Cognisant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shil@buffalo.edu</v>
      </c>
      <c r="Y61" s="15" t="str">
        <f>HYPERLINK("mailto:"&amp;RADataTable[[#This Row],[allPIemail]]&amp;"&amp;subject=NSF Proposal:  "&amp;RADataTable[[#This Row],[Div]]&amp;" "&amp;RADataTable[[#This Row],[prop_id0]], "PIs@")</f>
        <v>PIs@</v>
      </c>
      <c r="Z61" t="s">
        <v>224</v>
      </c>
      <c r="AA61" t="s">
        <v>365</v>
      </c>
      <c r="AB61">
        <v>4</v>
      </c>
      <c r="AC61">
        <v>4</v>
      </c>
      <c r="AD61"/>
      <c r="AE61" s="21">
        <v>4</v>
      </c>
      <c r="AF61" s="26">
        <v>5.25</v>
      </c>
      <c r="AG61">
        <v>7</v>
      </c>
      <c r="AH61" t="s">
        <v>479</v>
      </c>
      <c r="AI61" s="30">
        <v>43031.584722222222</v>
      </c>
      <c r="AJ61" s="13">
        <v>530842</v>
      </c>
      <c r="AK61" s="13">
        <v>530842</v>
      </c>
      <c r="AL61">
        <v>0</v>
      </c>
      <c r="AM61" s="30">
        <v>43344</v>
      </c>
      <c r="AN61" s="21">
        <v>60</v>
      </c>
      <c r="AO61" s="21" t="s">
        <v>480</v>
      </c>
      <c r="AR61" s="30"/>
      <c r="AS61" t="s">
        <v>616</v>
      </c>
      <c r="AT61" s="21" t="s">
        <v>264</v>
      </c>
      <c r="AU61" s="21">
        <v>13</v>
      </c>
      <c r="AV61" s="21" t="s">
        <v>618</v>
      </c>
      <c r="AW61" s="30">
        <v>43032</v>
      </c>
      <c r="AX61" s="21" t="s">
        <v>646</v>
      </c>
      <c r="AY61" s="21" t="s">
        <v>620</v>
      </c>
      <c r="AZ61" s="21">
        <v>14</v>
      </c>
      <c r="BA61" s="21">
        <v>2</v>
      </c>
      <c r="BF61" s="30"/>
      <c r="BI61" s="21">
        <v>14</v>
      </c>
      <c r="BJ61" s="21">
        <v>2</v>
      </c>
      <c r="BO61" s="30"/>
      <c r="BR61" s="21">
        <v>14</v>
      </c>
      <c r="BS61" s="21">
        <v>2</v>
      </c>
      <c r="BT61" t="s">
        <v>365</v>
      </c>
      <c r="BU61" s="21" t="s">
        <v>476</v>
      </c>
      <c r="BV61" s="21" t="s">
        <v>477</v>
      </c>
      <c r="BW61" s="21" t="s">
        <v>220</v>
      </c>
      <c r="BX61" s="31">
        <v>530842</v>
      </c>
      <c r="BY61" s="31">
        <v>530842</v>
      </c>
      <c r="BZ61" t="s">
        <v>411</v>
      </c>
      <c r="CE61" s="31"/>
      <c r="CF61" s="31"/>
      <c r="CL61" s="31"/>
      <c r="CM61" s="31"/>
      <c r="CS61" s="31"/>
      <c r="CT61" s="31"/>
      <c r="CZ61" s="31"/>
      <c r="DA61" s="31"/>
      <c r="DG61" s="31"/>
      <c r="DH61" s="31"/>
      <c r="DN61" s="31"/>
      <c r="DO61" s="31"/>
      <c r="DQ61" t="s">
        <v>260</v>
      </c>
      <c r="DR61" t="s">
        <v>225</v>
      </c>
      <c r="DS61" t="s">
        <v>621</v>
      </c>
      <c r="DT61" s="29" t="s">
        <v>627</v>
      </c>
      <c r="DU61" t="s">
        <v>175</v>
      </c>
      <c r="DV61" t="s">
        <v>622</v>
      </c>
      <c r="DW61" t="s">
        <v>173</v>
      </c>
      <c r="DX61" t="s">
        <v>170</v>
      </c>
      <c r="DY61" t="s">
        <v>171</v>
      </c>
      <c r="DZ61" s="22">
        <v>43073.921863425923</v>
      </c>
      <c r="EA61" t="s">
        <v>478</v>
      </c>
      <c r="EB61" t="s">
        <v>647</v>
      </c>
    </row>
    <row r="62" spans="1:132" x14ac:dyDescent="0.4">
      <c r="A62" s="30"/>
      <c r="B62" s="22">
        <v>42935.475694444445</v>
      </c>
      <c r="C62" s="22" t="s">
        <v>256</v>
      </c>
      <c r="D62" s="30" t="s">
        <v>222</v>
      </c>
      <c r="E62" s="30" t="s">
        <v>405</v>
      </c>
      <c r="F62" s="30" t="s">
        <v>172</v>
      </c>
      <c r="G62" s="30" t="s">
        <v>174</v>
      </c>
      <c r="H62" t="s">
        <v>94</v>
      </c>
      <c r="I62" t="s">
        <v>404</v>
      </c>
      <c r="J62" t="s">
        <v>422</v>
      </c>
      <c r="L62">
        <v>1</v>
      </c>
      <c r="M62" s="26">
        <v>3.13</v>
      </c>
      <c r="N62" t="s">
        <v>263</v>
      </c>
      <c r="Q62" s="29" t="s">
        <v>13</v>
      </c>
      <c r="R62" s="29" t="str">
        <f>IFERROR(MID(RADataTable[[#This Row],[RAtemplate]],1,LEN(RADataTable[[#This Row],[RAtemplate]])-8),"RA") &amp; " " &amp; RADataTable[[#This Row],[prop_id0]] &amp; " " &amp; RADataTable[[#This Row],[last0]]</f>
        <v>RA 1750302 Dinitz</v>
      </c>
      <c r="U62" s="21" t="str">
        <f>IF(signer1="PD",IF(ISBLANK(RADataTable[[#This Row],[sign_blck_name]]),"",RADataTable[[#This Row],[sign_blck_name]]),IF(ISBLANK(signer1),"",signer1))</f>
        <v>Rahul Shah</v>
      </c>
      <c r="V62" s="29" t="str">
        <f t="shared" si="1"/>
        <v>Cognisant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mdinitz@cs.jhu.edu</v>
      </c>
      <c r="Y62" s="15" t="str">
        <f>HYPERLINK("mailto:"&amp;RADataTable[[#This Row],[allPIemail]]&amp;"&amp;subject=NSF Proposal:  "&amp;RADataTable[[#This Row],[Div]]&amp;" "&amp;RADataTable[[#This Row],[prop_id0]], "PIs@")</f>
        <v>PIs@</v>
      </c>
      <c r="Z62" t="s">
        <v>224</v>
      </c>
      <c r="AA62" t="s">
        <v>368</v>
      </c>
      <c r="AB62">
        <v>4</v>
      </c>
      <c r="AC62">
        <v>4</v>
      </c>
      <c r="AD62"/>
      <c r="AE62" s="21">
        <v>6</v>
      </c>
      <c r="AF62" s="26">
        <v>6.75</v>
      </c>
      <c r="AG62">
        <v>8</v>
      </c>
      <c r="AH62" t="s">
        <v>497</v>
      </c>
      <c r="AI62" s="30">
        <v>43030.96875</v>
      </c>
      <c r="AJ62" s="13">
        <v>507459</v>
      </c>
      <c r="AK62" s="13">
        <v>507459</v>
      </c>
      <c r="AL62">
        <v>0</v>
      </c>
      <c r="AM62" s="30">
        <v>43282</v>
      </c>
      <c r="AN62" s="21">
        <v>60</v>
      </c>
      <c r="AO62" s="21" t="s">
        <v>498</v>
      </c>
      <c r="AR62" s="30"/>
      <c r="AS62" t="s">
        <v>616</v>
      </c>
      <c r="AT62" s="21" t="s">
        <v>264</v>
      </c>
      <c r="AU62" s="21">
        <v>13</v>
      </c>
      <c r="AV62" s="21" t="s">
        <v>618</v>
      </c>
      <c r="AW62" s="30">
        <v>43032</v>
      </c>
      <c r="AX62" s="21" t="s">
        <v>651</v>
      </c>
      <c r="AY62" s="21" t="s">
        <v>620</v>
      </c>
      <c r="AZ62" s="21">
        <v>14</v>
      </c>
      <c r="BA62" s="21">
        <v>1</v>
      </c>
      <c r="BF62" s="30"/>
      <c r="BI62" s="21">
        <v>14</v>
      </c>
      <c r="BJ62" s="21">
        <v>1</v>
      </c>
      <c r="BO62" s="30"/>
      <c r="BR62" s="21">
        <v>14</v>
      </c>
      <c r="BS62" s="21">
        <v>1</v>
      </c>
      <c r="BT62" t="s">
        <v>368</v>
      </c>
      <c r="BU62" s="21" t="s">
        <v>494</v>
      </c>
      <c r="BV62" s="21" t="s">
        <v>273</v>
      </c>
      <c r="BW62" s="21" t="s">
        <v>495</v>
      </c>
      <c r="BX62" s="31">
        <v>507459</v>
      </c>
      <c r="BY62" s="31">
        <v>507459</v>
      </c>
      <c r="BZ62" t="s">
        <v>411</v>
      </c>
      <c r="CE62" s="31"/>
      <c r="CF62" s="31"/>
      <c r="CL62" s="31"/>
      <c r="CM62" s="31"/>
      <c r="CS62" s="31"/>
      <c r="CT62" s="31"/>
      <c r="CZ62" s="31"/>
      <c r="DA62" s="31"/>
      <c r="DG62" s="31"/>
      <c r="DH62" s="31"/>
      <c r="DN62" s="31"/>
      <c r="DO62" s="31"/>
      <c r="DQ62" t="s">
        <v>260</v>
      </c>
      <c r="DR62" t="s">
        <v>225</v>
      </c>
      <c r="DS62" t="s">
        <v>621</v>
      </c>
      <c r="DT62" s="29" t="s">
        <v>627</v>
      </c>
      <c r="DU62" t="s">
        <v>175</v>
      </c>
      <c r="DV62" t="s">
        <v>622</v>
      </c>
      <c r="DW62" t="s">
        <v>173</v>
      </c>
      <c r="DX62" t="s">
        <v>170</v>
      </c>
      <c r="DY62" t="s">
        <v>171</v>
      </c>
      <c r="DZ62" s="22">
        <v>43073.921863425923</v>
      </c>
      <c r="EA62" t="s">
        <v>496</v>
      </c>
      <c r="EB62" t="s">
        <v>652</v>
      </c>
    </row>
    <row r="63" spans="1:132" x14ac:dyDescent="0.4">
      <c r="A63" s="30"/>
      <c r="B63" s="22">
        <v>42935.54583333333</v>
      </c>
      <c r="C63" s="22" t="s">
        <v>256</v>
      </c>
      <c r="D63" s="30" t="s">
        <v>222</v>
      </c>
      <c r="E63" s="30" t="s">
        <v>405</v>
      </c>
      <c r="F63" s="30" t="s">
        <v>172</v>
      </c>
      <c r="G63" s="30" t="s">
        <v>174</v>
      </c>
      <c r="H63" t="s">
        <v>94</v>
      </c>
      <c r="I63" t="s">
        <v>404</v>
      </c>
      <c r="J63" t="s">
        <v>422</v>
      </c>
      <c r="L63">
        <v>1</v>
      </c>
      <c r="M63" s="26">
        <v>3.13</v>
      </c>
      <c r="N63" t="s">
        <v>263</v>
      </c>
      <c r="Q63" s="29" t="s">
        <v>13</v>
      </c>
      <c r="R63" s="29" t="str">
        <f>IFERROR(MID(RADataTable[[#This Row],[RAtemplate]],1,LEN(RADataTable[[#This Row],[RAtemplate]])-8),"RA") &amp; " " &amp; RADataTable[[#This Row],[prop_id0]] &amp; " " &amp; RADataTable[[#This Row],[last0]]</f>
        <v>RA 1750463 Raghvendra</v>
      </c>
      <c r="U63" s="21" t="str">
        <f>IF(signer1="PD",IF(ISBLANK(RADataTable[[#This Row],[sign_blck_name]]),"",RADataTable[[#This Row],[sign_blck_name]]),IF(ISBLANK(signer1),"",signer1))</f>
        <v>Rahul Shah</v>
      </c>
      <c r="V63" s="29" t="str">
        <f t="shared" si="1"/>
        <v>Cognisant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sharathr@vt.edu</v>
      </c>
      <c r="Y63" s="15" t="str">
        <f>HYPERLINK("mailto:"&amp;RADataTable[[#This Row],[allPIemail]]&amp;"&amp;subject=NSF Proposal:  "&amp;RADataTable[[#This Row],[Div]]&amp;" "&amp;RADataTable[[#This Row],[prop_id0]], "PIs@")</f>
        <v>PIs@</v>
      </c>
      <c r="Z63" t="s">
        <v>224</v>
      </c>
      <c r="AA63" t="s">
        <v>370</v>
      </c>
      <c r="AB63">
        <v>4</v>
      </c>
      <c r="AC63">
        <v>4</v>
      </c>
      <c r="AD63"/>
      <c r="AE63" s="21">
        <v>5</v>
      </c>
      <c r="AF63" s="26">
        <v>6.5</v>
      </c>
      <c r="AG63">
        <v>8</v>
      </c>
      <c r="AH63" t="s">
        <v>510</v>
      </c>
      <c r="AI63" s="30">
        <v>43032.486805555556</v>
      </c>
      <c r="AJ63" s="13">
        <v>533991</v>
      </c>
      <c r="AK63" s="13">
        <v>533991</v>
      </c>
      <c r="AL63">
        <v>0</v>
      </c>
      <c r="AM63" s="30">
        <v>43110</v>
      </c>
      <c r="AN63" s="21">
        <v>60</v>
      </c>
      <c r="AO63" s="21" t="s">
        <v>511</v>
      </c>
      <c r="AR63" s="30"/>
      <c r="AS63" t="s">
        <v>616</v>
      </c>
      <c r="AT63" s="21" t="s">
        <v>264</v>
      </c>
      <c r="AU63" s="21">
        <v>13</v>
      </c>
      <c r="AV63" s="21" t="s">
        <v>618</v>
      </c>
      <c r="AW63" s="30">
        <v>43032</v>
      </c>
      <c r="AX63" s="21" t="s">
        <v>655</v>
      </c>
      <c r="AY63" s="21" t="s">
        <v>620</v>
      </c>
      <c r="AZ63" s="21">
        <v>14</v>
      </c>
      <c r="BA63" s="21">
        <v>2</v>
      </c>
      <c r="BF63" s="30"/>
      <c r="BI63" s="21">
        <v>14</v>
      </c>
      <c r="BJ63" s="21">
        <v>2</v>
      </c>
      <c r="BO63" s="30"/>
      <c r="BR63" s="21">
        <v>14</v>
      </c>
      <c r="BS63" s="21">
        <v>2</v>
      </c>
      <c r="BT63" t="s">
        <v>370</v>
      </c>
      <c r="BU63" s="21" t="s">
        <v>505</v>
      </c>
      <c r="BV63" s="21" t="s">
        <v>506</v>
      </c>
      <c r="BW63" s="21" t="s">
        <v>507</v>
      </c>
      <c r="BX63" s="31">
        <v>533991</v>
      </c>
      <c r="BY63" s="31">
        <v>533991</v>
      </c>
      <c r="BZ63" t="s">
        <v>411</v>
      </c>
      <c r="CE63" s="31"/>
      <c r="CF63" s="31"/>
      <c r="CL63" s="31"/>
      <c r="CM63" s="31"/>
      <c r="CS63" s="31"/>
      <c r="CT63" s="31"/>
      <c r="CZ63" s="31"/>
      <c r="DA63" s="31"/>
      <c r="DG63" s="31"/>
      <c r="DH63" s="31"/>
      <c r="DN63" s="31"/>
      <c r="DO63" s="31"/>
      <c r="DQ63" t="s">
        <v>260</v>
      </c>
      <c r="DR63" t="s">
        <v>225</v>
      </c>
      <c r="DS63" t="s">
        <v>621</v>
      </c>
      <c r="DT63" s="29" t="s">
        <v>627</v>
      </c>
      <c r="DU63" t="s">
        <v>175</v>
      </c>
      <c r="DV63" t="s">
        <v>622</v>
      </c>
      <c r="DW63" t="s">
        <v>173</v>
      </c>
      <c r="DX63" t="s">
        <v>170</v>
      </c>
      <c r="DY63" t="s">
        <v>171</v>
      </c>
      <c r="DZ63" s="22">
        <v>43073.921863425923</v>
      </c>
      <c r="EA63" t="s">
        <v>509</v>
      </c>
      <c r="EB63" t="s">
        <v>656</v>
      </c>
    </row>
    <row r="64" spans="1:132" x14ac:dyDescent="0.4">
      <c r="A64" s="30"/>
      <c r="B64" s="22">
        <v>42935.680555555555</v>
      </c>
      <c r="C64" s="22" t="s">
        <v>256</v>
      </c>
      <c r="D64" s="30" t="s">
        <v>222</v>
      </c>
      <c r="E64" s="30" t="s">
        <v>405</v>
      </c>
      <c r="F64" s="30" t="s">
        <v>172</v>
      </c>
      <c r="G64" s="30" t="s">
        <v>174</v>
      </c>
      <c r="H64" t="s">
        <v>94</v>
      </c>
      <c r="I64" t="s">
        <v>404</v>
      </c>
      <c r="J64" t="s">
        <v>406</v>
      </c>
      <c r="L64">
        <v>1</v>
      </c>
      <c r="M64" s="26">
        <v>3.13</v>
      </c>
      <c r="N64" t="s">
        <v>263</v>
      </c>
      <c r="Q64" s="29" t="s">
        <v>177</v>
      </c>
      <c r="R64" s="29" t="str">
        <f>IFERROR(MID(RADataTable[[#This Row],[RAtemplate]],1,LEN(RADataTable[[#This Row],[RAtemplate]])-8),"RA") &amp; " " &amp; RADataTable[[#This Row],[prop_id0]] &amp; " " &amp; RADataTable[[#This Row],[last0]]</f>
        <v>Decline  1751047 Gibson</v>
      </c>
      <c r="U64" s="21" t="str">
        <f>IF(signer1="PD",IF(ISBLANK(RADataTable[[#This Row],[sign_blck_name]]),"",RADataTable[[#This Row],[sign_blck_name]]),IF(ISBLANK(signer1),"",signer1))</f>
        <v>Jack Snoeyink</v>
      </c>
      <c r="V64" s="29" t="str">
        <f t="shared" si="1"/>
        <v>Cognisant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MATTHEW.GIBSON@UTSA.EDU</v>
      </c>
      <c r="Y64" s="15" t="str">
        <f>HYPERLINK("mailto:"&amp;RADataTable[[#This Row],[allPIemail]]&amp;"&amp;subject=NSF Proposal:  "&amp;RADataTable[[#This Row],[Div]]&amp;" "&amp;RADataTable[[#This Row],[prop_id0]], "PIs@")</f>
        <v>PIs@</v>
      </c>
      <c r="Z64" t="s">
        <v>224</v>
      </c>
      <c r="AA64" t="s">
        <v>372</v>
      </c>
      <c r="AB64">
        <v>4</v>
      </c>
      <c r="AC64">
        <v>4</v>
      </c>
      <c r="AD64"/>
      <c r="AE64" s="21">
        <v>3</v>
      </c>
      <c r="AF64" s="26">
        <v>4.75</v>
      </c>
      <c r="AG64">
        <v>7</v>
      </c>
      <c r="AH64" t="s">
        <v>521</v>
      </c>
      <c r="AI64" s="30">
        <v>43030.177777777775</v>
      </c>
      <c r="AJ64" s="13">
        <v>415497</v>
      </c>
      <c r="AK64" s="13">
        <v>415497</v>
      </c>
      <c r="AL64">
        <v>0</v>
      </c>
      <c r="AM64" s="30">
        <v>43132</v>
      </c>
      <c r="AN64" s="21">
        <v>60</v>
      </c>
      <c r="AO64" s="21" t="s">
        <v>522</v>
      </c>
      <c r="AR64" s="30"/>
      <c r="AS64" t="s">
        <v>616</v>
      </c>
      <c r="AT64" s="21" t="s">
        <v>264</v>
      </c>
      <c r="AU64" s="21">
        <v>13</v>
      </c>
      <c r="AV64" s="21" t="s">
        <v>618</v>
      </c>
      <c r="AW64" s="30">
        <v>43032</v>
      </c>
      <c r="AX64" s="21" t="s">
        <v>658</v>
      </c>
      <c r="AY64" s="21" t="s">
        <v>620</v>
      </c>
      <c r="AZ64" s="21">
        <v>14</v>
      </c>
      <c r="BA64" s="21">
        <v>0</v>
      </c>
      <c r="BF64" s="30"/>
      <c r="BI64" s="21">
        <v>14</v>
      </c>
      <c r="BJ64" s="21">
        <v>0</v>
      </c>
      <c r="BO64" s="30"/>
      <c r="BR64" s="21">
        <v>14</v>
      </c>
      <c r="BS64" s="21">
        <v>0</v>
      </c>
      <c r="BT64" t="s">
        <v>372</v>
      </c>
      <c r="BU64" s="21" t="s">
        <v>517</v>
      </c>
      <c r="BV64" s="21" t="s">
        <v>518</v>
      </c>
      <c r="BW64" s="21" t="s">
        <v>519</v>
      </c>
      <c r="BX64" s="31">
        <v>415497</v>
      </c>
      <c r="BY64" s="31">
        <v>415497</v>
      </c>
      <c r="BZ64" t="s">
        <v>419</v>
      </c>
      <c r="CE64" s="31"/>
      <c r="CF64" s="31"/>
      <c r="CL64" s="31"/>
      <c r="CM64" s="31"/>
      <c r="CS64" s="31"/>
      <c r="CT64" s="31"/>
      <c r="CZ64" s="31"/>
      <c r="DA64" s="31"/>
      <c r="DG64" s="31"/>
      <c r="DH64" s="31"/>
      <c r="DN64" s="31"/>
      <c r="DO64" s="31"/>
      <c r="DQ64" t="s">
        <v>260</v>
      </c>
      <c r="DR64" t="s">
        <v>225</v>
      </c>
      <c r="DS64" t="s">
        <v>621</v>
      </c>
      <c r="DT64" s="29" t="s">
        <v>214</v>
      </c>
      <c r="DU64" t="s">
        <v>175</v>
      </c>
      <c r="DV64" t="s">
        <v>622</v>
      </c>
      <c r="DW64" t="s">
        <v>173</v>
      </c>
      <c r="DX64" t="s">
        <v>170</v>
      </c>
      <c r="DY64" t="s">
        <v>171</v>
      </c>
      <c r="DZ64" s="22">
        <v>43073.921863425923</v>
      </c>
      <c r="EA64" t="s">
        <v>520</v>
      </c>
      <c r="EB64" t="s">
        <v>659</v>
      </c>
    </row>
    <row r="65" spans="1:132" x14ac:dyDescent="0.4">
      <c r="A65" s="30"/>
      <c r="B65" s="22">
        <v>42935.851388888892</v>
      </c>
      <c r="C65" s="22" t="s">
        <v>256</v>
      </c>
      <c r="D65" s="30" t="s">
        <v>222</v>
      </c>
      <c r="E65" s="30" t="s">
        <v>405</v>
      </c>
      <c r="F65" s="30" t="s">
        <v>172</v>
      </c>
      <c r="G65" s="30" t="s">
        <v>174</v>
      </c>
      <c r="H65" t="s">
        <v>94</v>
      </c>
      <c r="I65" t="s">
        <v>404</v>
      </c>
      <c r="J65" t="s">
        <v>422</v>
      </c>
      <c r="L65">
        <v>1</v>
      </c>
      <c r="M65" s="26">
        <v>3.13</v>
      </c>
      <c r="N65" t="s">
        <v>263</v>
      </c>
      <c r="Q65" s="29" t="s">
        <v>13</v>
      </c>
      <c r="R65" s="29" t="str">
        <f>IFERROR(MID(RADataTable[[#This Row],[RAtemplate]],1,LEN(RADataTable[[#This Row],[RAtemplate]])-8),"RA") &amp; " " &amp; RADataTable[[#This Row],[prop_id0]] &amp; " " &amp; RADataTable[[#This Row],[last0]]</f>
        <v>RA 1751416 Sitchinava</v>
      </c>
      <c r="U65" s="21" t="str">
        <f>IF(signer1="PD",IF(ISBLANK(RADataTable[[#This Row],[sign_blck_name]]),"",RADataTable[[#This Row],[sign_blck_name]]),IF(ISBLANK(signer1),"",signer1))</f>
        <v>Rahul Shah</v>
      </c>
      <c r="V65" s="29" t="str">
        <f t="shared" si="1"/>
        <v>Cognisant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nodari@hawaii.edu</v>
      </c>
      <c r="Y65" s="15" t="str">
        <f>HYPERLINK("mailto:"&amp;RADataTable[[#This Row],[allPIemail]]&amp;"&amp;subject=NSF Proposal:  "&amp;RADataTable[[#This Row],[Div]]&amp;" "&amp;RADataTable[[#This Row],[prop_id0]], "PIs@")</f>
        <v>PIs@</v>
      </c>
      <c r="Z65" t="s">
        <v>224</v>
      </c>
      <c r="AA65" t="s">
        <v>376</v>
      </c>
      <c r="AB65">
        <v>4</v>
      </c>
      <c r="AC65">
        <v>4</v>
      </c>
      <c r="AD65"/>
      <c r="AE65" s="21">
        <v>4</v>
      </c>
      <c r="AF65" s="26">
        <v>5.5</v>
      </c>
      <c r="AG65">
        <v>7</v>
      </c>
      <c r="AH65" t="s">
        <v>546</v>
      </c>
      <c r="AI65" s="30">
        <v>43031.703472222223</v>
      </c>
      <c r="AJ65" s="13">
        <v>549999</v>
      </c>
      <c r="AK65" s="13">
        <v>549999</v>
      </c>
      <c r="AL65">
        <v>0</v>
      </c>
      <c r="AM65" s="30">
        <v>43160</v>
      </c>
      <c r="AN65" s="21">
        <v>60</v>
      </c>
      <c r="AO65" s="21" t="s">
        <v>547</v>
      </c>
      <c r="AR65" s="30"/>
      <c r="AS65" t="s">
        <v>616</v>
      </c>
      <c r="AT65" s="21" t="s">
        <v>264</v>
      </c>
      <c r="AU65" s="21">
        <v>13</v>
      </c>
      <c r="AV65" s="21" t="s">
        <v>618</v>
      </c>
      <c r="AW65" s="30">
        <v>43032</v>
      </c>
      <c r="AX65" s="21" t="s">
        <v>664</v>
      </c>
      <c r="AY65" s="21" t="s">
        <v>620</v>
      </c>
      <c r="AZ65" s="21">
        <v>14</v>
      </c>
      <c r="BA65" s="21">
        <v>1</v>
      </c>
      <c r="BF65" s="30"/>
      <c r="BI65" s="21">
        <v>14</v>
      </c>
      <c r="BJ65" s="21">
        <v>1</v>
      </c>
      <c r="BO65" s="30"/>
      <c r="BR65" s="21">
        <v>14</v>
      </c>
      <c r="BS65" s="21">
        <v>1</v>
      </c>
      <c r="BT65" t="s">
        <v>376</v>
      </c>
      <c r="BU65" s="21" t="s">
        <v>541</v>
      </c>
      <c r="BV65" s="21" t="s">
        <v>542</v>
      </c>
      <c r="BW65" s="21" t="s">
        <v>543</v>
      </c>
      <c r="BX65" s="31">
        <v>549999</v>
      </c>
      <c r="BY65" s="31">
        <v>549999</v>
      </c>
      <c r="BZ65" t="s">
        <v>545</v>
      </c>
      <c r="CE65" s="31"/>
      <c r="CF65" s="31"/>
      <c r="CL65" s="31"/>
      <c r="CM65" s="31"/>
      <c r="CS65" s="31"/>
      <c r="CT65" s="31"/>
      <c r="CZ65" s="31"/>
      <c r="DA65" s="31"/>
      <c r="DG65" s="31"/>
      <c r="DH65" s="31"/>
      <c r="DN65" s="31"/>
      <c r="DO65" s="31"/>
      <c r="DQ65" t="s">
        <v>260</v>
      </c>
      <c r="DR65" t="s">
        <v>225</v>
      </c>
      <c r="DS65" t="s">
        <v>621</v>
      </c>
      <c r="DT65" s="29" t="s">
        <v>627</v>
      </c>
      <c r="DU65" t="s">
        <v>175</v>
      </c>
      <c r="DV65" t="s">
        <v>622</v>
      </c>
      <c r="DW65" t="s">
        <v>173</v>
      </c>
      <c r="DX65" t="s">
        <v>170</v>
      </c>
      <c r="DY65" t="s">
        <v>171</v>
      </c>
      <c r="DZ65" s="22">
        <v>43073.921863425923</v>
      </c>
      <c r="EA65" t="s">
        <v>544</v>
      </c>
      <c r="EB65" t="s">
        <v>665</v>
      </c>
    </row>
    <row r="66" spans="1:132" x14ac:dyDescent="0.4">
      <c r="A66" s="30">
        <v>42677.396296296298</v>
      </c>
      <c r="B66" s="22">
        <v>42569.623611111114</v>
      </c>
      <c r="C66" s="22" t="s">
        <v>975</v>
      </c>
      <c r="D66" s="30" t="s">
        <v>222</v>
      </c>
      <c r="E66" s="30" t="s">
        <v>405</v>
      </c>
      <c r="F66" s="30" t="s">
        <v>172</v>
      </c>
      <c r="G66" s="30" t="s">
        <v>976</v>
      </c>
      <c r="H66" t="s">
        <v>94</v>
      </c>
      <c r="I66" t="s">
        <v>974</v>
      </c>
      <c r="J66" t="s">
        <v>422</v>
      </c>
      <c r="K66" s="22">
        <v>42676.702187499999</v>
      </c>
      <c r="L66">
        <v>1</v>
      </c>
      <c r="M66" s="26">
        <v>3.18</v>
      </c>
      <c r="N66" t="s">
        <v>263</v>
      </c>
      <c r="Q66" s="29" t="s">
        <v>13</v>
      </c>
      <c r="R66" s="29" t="str">
        <f>IFERROR(MID(RADataTable[[#This Row],[RAtemplate]],1,LEN(RADataTable[[#This Row],[RAtemplate]])-8),"RA") &amp; " " &amp; RADataTable[[#This Row],[prop_id0]] &amp; " " &amp; RADataTable[[#This Row],[last0]]</f>
        <v>RA 1651369 Zhang</v>
      </c>
      <c r="U66" s="21" t="str">
        <f>IF(signer1="PD",IF(ISBLANK(RADataTable[[#This Row],[sign_blck_name]]),"",RADataTable[[#This Row],[sign_blck_name]]),IF(ISBLANK(signer1),"",signer1))</f>
        <v>Rahul Shah</v>
      </c>
      <c r="V66" s="29" t="str">
        <f t="shared" ref="V66:V92" si="2">signer2</f>
        <v>Cognisant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qzhangcs@indiana.edu</v>
      </c>
      <c r="Y66" s="15" t="str">
        <f>HYPERLINK("mailto:"&amp;RADataTable[[#This Row],[allPIemail]]&amp;"&amp;subject=NSF Proposal:  "&amp;RADataTable[[#This Row],[Div]]&amp;" "&amp;RADataTable[[#This Row],[prop_id0]], "PIs@")</f>
        <v>PIs@</v>
      </c>
      <c r="Z66" t="s">
        <v>224</v>
      </c>
      <c r="AA66" t="s">
        <v>977</v>
      </c>
      <c r="AB66">
        <v>4</v>
      </c>
      <c r="AD66">
        <v>1</v>
      </c>
      <c r="AE66" s="21">
        <v>6</v>
      </c>
      <c r="AF66" s="26">
        <v>7.5</v>
      </c>
      <c r="AG66">
        <v>9</v>
      </c>
      <c r="AH66" t="s">
        <v>984</v>
      </c>
      <c r="AI66" s="30">
        <v>42658.968055555553</v>
      </c>
      <c r="AJ66" s="13">
        <v>499038</v>
      </c>
      <c r="AK66" s="13">
        <v>499038</v>
      </c>
      <c r="AL66">
        <v>0</v>
      </c>
      <c r="AM66" s="30">
        <v>42887</v>
      </c>
      <c r="AN66" s="21">
        <v>60</v>
      </c>
      <c r="AO66" s="21" t="s">
        <v>985</v>
      </c>
      <c r="AP66">
        <v>1</v>
      </c>
      <c r="AQ66" t="s">
        <v>2007</v>
      </c>
      <c r="AR66" s="30">
        <v>42655.515277777777</v>
      </c>
      <c r="AS66" t="s">
        <v>1425</v>
      </c>
      <c r="AT66" s="21" t="s">
        <v>264</v>
      </c>
      <c r="AU66" s="21">
        <v>18</v>
      </c>
      <c r="AV66" s="21" t="s">
        <v>2008</v>
      </c>
      <c r="AW66" s="30">
        <v>42661</v>
      </c>
      <c r="AX66" s="21" t="s">
        <v>2009</v>
      </c>
      <c r="AY66" s="21" t="s">
        <v>2010</v>
      </c>
      <c r="AZ66" s="21">
        <v>12</v>
      </c>
      <c r="BA66" s="21">
        <v>2</v>
      </c>
      <c r="BF66" s="30"/>
      <c r="BI66" s="21">
        <v>12</v>
      </c>
      <c r="BJ66" s="21">
        <v>2</v>
      </c>
      <c r="BO66" s="30"/>
      <c r="BR66" s="21">
        <v>12</v>
      </c>
      <c r="BS66" s="21">
        <v>2</v>
      </c>
      <c r="BT66" t="s">
        <v>977</v>
      </c>
      <c r="BU66" s="21" t="s">
        <v>978</v>
      </c>
      <c r="BV66" s="21" t="s">
        <v>979</v>
      </c>
      <c r="BW66" s="21" t="s">
        <v>980</v>
      </c>
      <c r="BX66" s="31">
        <v>499038</v>
      </c>
      <c r="BY66" s="31">
        <v>499038</v>
      </c>
      <c r="BZ66" t="s">
        <v>983</v>
      </c>
      <c r="CE66" s="31"/>
      <c r="CF66" s="31"/>
      <c r="CL66" s="31"/>
      <c r="CM66" s="31"/>
      <c r="CS66" s="31"/>
      <c r="CT66" s="31"/>
      <c r="CZ66" s="31"/>
      <c r="DA66" s="31"/>
      <c r="DG66" s="31"/>
      <c r="DH66" s="31"/>
      <c r="DN66" s="31"/>
      <c r="DO66" s="31"/>
      <c r="DQ66" t="s">
        <v>260</v>
      </c>
      <c r="DR66" t="s">
        <v>225</v>
      </c>
      <c r="DS66" t="s">
        <v>621</v>
      </c>
      <c r="DT66" s="29" t="s">
        <v>627</v>
      </c>
      <c r="DU66" t="s">
        <v>973</v>
      </c>
      <c r="DV66" t="s">
        <v>622</v>
      </c>
      <c r="DW66" t="s">
        <v>173</v>
      </c>
      <c r="DX66" t="s">
        <v>170</v>
      </c>
      <c r="DY66" t="s">
        <v>171</v>
      </c>
      <c r="DZ66" s="22">
        <v>43073.921863425923</v>
      </c>
      <c r="EA66" t="s">
        <v>982</v>
      </c>
      <c r="EB66" t="s">
        <v>2011</v>
      </c>
    </row>
    <row r="67" spans="1:132" x14ac:dyDescent="0.4">
      <c r="A67" s="30">
        <v>42676.693391203706</v>
      </c>
      <c r="B67" s="22">
        <v>42571.410416666666</v>
      </c>
      <c r="C67" s="22" t="s">
        <v>975</v>
      </c>
      <c r="D67" s="30" t="s">
        <v>222</v>
      </c>
      <c r="E67" s="30" t="s">
        <v>405</v>
      </c>
      <c r="F67" s="30" t="s">
        <v>172</v>
      </c>
      <c r="G67" s="30" t="s">
        <v>976</v>
      </c>
      <c r="H67" t="s">
        <v>94</v>
      </c>
      <c r="I67" t="s">
        <v>974</v>
      </c>
      <c r="J67" t="s">
        <v>406</v>
      </c>
      <c r="K67" s="22">
        <v>42674.602546296293</v>
      </c>
      <c r="L67">
        <v>1</v>
      </c>
      <c r="M67" s="26">
        <v>3.18</v>
      </c>
      <c r="N67" t="s">
        <v>263</v>
      </c>
      <c r="Q67" s="29" t="s">
        <v>13</v>
      </c>
      <c r="R67" s="29" t="str">
        <f>IFERROR(MID(RADataTable[[#This Row],[RAtemplate]],1,LEN(RADataTable[[#This Row],[RAtemplate]])-8),"RA") &amp; " " &amp; RADataTable[[#This Row],[prop_id0]] &amp; " " &amp; RADataTable[[#This Row],[last0]]</f>
        <v>RA 1651932 Raghvendra</v>
      </c>
      <c r="U67" s="21" t="str">
        <f>IF(signer1="PD",IF(ISBLANK(RADataTable[[#This Row],[sign_blck_name]]),"",RADataTable[[#This Row],[sign_blck_name]]),IF(ISBLANK(signer1),"",signer1))</f>
        <v>Jack Snoeyink</v>
      </c>
      <c r="V67" s="29" t="str">
        <f t="shared" si="2"/>
        <v>Cognisant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sharathr@vt.edu</v>
      </c>
      <c r="Y67" s="15" t="str">
        <f>HYPERLINK("mailto:"&amp;RADataTable[[#This Row],[allPIemail]]&amp;"&amp;subject=NSF Proposal:  "&amp;RADataTable[[#This Row],[Div]]&amp;" "&amp;RADataTable[[#This Row],[prop_id0]], "PIs@")</f>
        <v>PIs@</v>
      </c>
      <c r="Z67" t="s">
        <v>224</v>
      </c>
      <c r="AA67" t="s">
        <v>1005</v>
      </c>
      <c r="AB67">
        <v>4</v>
      </c>
      <c r="AD67"/>
      <c r="AE67" s="21">
        <v>6</v>
      </c>
      <c r="AF67" s="26">
        <v>7.25</v>
      </c>
      <c r="AG67">
        <v>9</v>
      </c>
      <c r="AH67" t="s">
        <v>1006</v>
      </c>
      <c r="AI67" s="30">
        <v>42660.460416666669</v>
      </c>
      <c r="AJ67" s="13">
        <v>518410</v>
      </c>
      <c r="AK67" s="13">
        <v>518410</v>
      </c>
      <c r="AL67">
        <v>0</v>
      </c>
      <c r="AM67" s="30">
        <v>42736</v>
      </c>
      <c r="AN67" s="21">
        <v>60</v>
      </c>
      <c r="AO67" s="21" t="s">
        <v>1007</v>
      </c>
      <c r="AP67">
        <v>1</v>
      </c>
      <c r="AQ67" t="s">
        <v>2007</v>
      </c>
      <c r="AR67" s="30">
        <v>42649.800694444442</v>
      </c>
      <c r="AS67" t="s">
        <v>1425</v>
      </c>
      <c r="AT67" s="21" t="s">
        <v>264</v>
      </c>
      <c r="AU67" s="21">
        <v>18</v>
      </c>
      <c r="AV67" s="21" t="s">
        <v>2008</v>
      </c>
      <c r="AW67" s="30">
        <v>42661</v>
      </c>
      <c r="AX67" s="21" t="s">
        <v>2022</v>
      </c>
      <c r="AY67" s="21" t="s">
        <v>2010</v>
      </c>
      <c r="AZ67" s="21">
        <v>12</v>
      </c>
      <c r="BA67" s="21">
        <v>0</v>
      </c>
      <c r="BF67" s="30"/>
      <c r="BI67" s="21">
        <v>12</v>
      </c>
      <c r="BJ67" s="21">
        <v>0</v>
      </c>
      <c r="BO67" s="30"/>
      <c r="BR67" s="21">
        <v>12</v>
      </c>
      <c r="BS67" s="21">
        <v>0</v>
      </c>
      <c r="BT67" t="s">
        <v>1005</v>
      </c>
      <c r="BU67" s="21" t="s">
        <v>505</v>
      </c>
      <c r="BV67" s="21" t="s">
        <v>506</v>
      </c>
      <c r="BW67" s="21" t="s">
        <v>507</v>
      </c>
      <c r="BX67" s="31">
        <v>518410</v>
      </c>
      <c r="BY67" s="31">
        <v>518410</v>
      </c>
      <c r="BZ67" t="s">
        <v>419</v>
      </c>
      <c r="CE67" s="31"/>
      <c r="CF67" s="31"/>
      <c r="CL67" s="31"/>
      <c r="CM67" s="31"/>
      <c r="CS67" s="31"/>
      <c r="CT67" s="31"/>
      <c r="CZ67" s="31"/>
      <c r="DA67" s="31"/>
      <c r="DG67" s="31"/>
      <c r="DH67" s="31"/>
      <c r="DN67" s="31"/>
      <c r="DO67" s="31"/>
      <c r="DQ67" t="s">
        <v>260</v>
      </c>
      <c r="DR67" t="s">
        <v>225</v>
      </c>
      <c r="DS67" t="s">
        <v>621</v>
      </c>
      <c r="DT67" s="29" t="s">
        <v>214</v>
      </c>
      <c r="DU67" t="s">
        <v>973</v>
      </c>
      <c r="DV67" t="s">
        <v>622</v>
      </c>
      <c r="DW67" t="s">
        <v>173</v>
      </c>
      <c r="DX67" t="s">
        <v>170</v>
      </c>
      <c r="DY67" t="s">
        <v>171</v>
      </c>
      <c r="DZ67" s="22">
        <v>43073.921863425923</v>
      </c>
      <c r="EA67" t="s">
        <v>509</v>
      </c>
      <c r="EB67" t="s">
        <v>656</v>
      </c>
    </row>
    <row r="68" spans="1:132" x14ac:dyDescent="0.4">
      <c r="A68" s="30">
        <v>42677.397835648146</v>
      </c>
      <c r="B68" s="22">
        <v>42571.425000000003</v>
      </c>
      <c r="C68" s="22" t="s">
        <v>975</v>
      </c>
      <c r="D68" s="30" t="s">
        <v>222</v>
      </c>
      <c r="E68" s="30" t="s">
        <v>405</v>
      </c>
      <c r="F68" s="30" t="s">
        <v>172</v>
      </c>
      <c r="G68" s="30" t="s">
        <v>976</v>
      </c>
      <c r="H68" t="s">
        <v>94</v>
      </c>
      <c r="I68" t="s">
        <v>974</v>
      </c>
      <c r="J68" t="s">
        <v>422</v>
      </c>
      <c r="K68" s="22">
        <v>42676.671111111114</v>
      </c>
      <c r="L68">
        <v>1</v>
      </c>
      <c r="M68" s="26">
        <v>3.18</v>
      </c>
      <c r="N68" t="s">
        <v>263</v>
      </c>
      <c r="Q68" s="29" t="s">
        <v>13</v>
      </c>
      <c r="R68" s="29" t="str">
        <f>IFERROR(MID(RADataTable[[#This Row],[RAtemplate]],1,LEN(RADataTable[[#This Row],[RAtemplate]])-8),"RA") &amp; " " &amp; RADataTable[[#This Row],[prop_id0]] &amp; " " &amp; RADataTable[[#This Row],[last0]]</f>
        <v>RA 1651952 Juba</v>
      </c>
      <c r="U68" s="21" t="str">
        <f>IF(signer1="PD",IF(ISBLANK(RADataTable[[#This Row],[sign_blck_name]]),"",RADataTable[[#This Row],[sign_blck_name]]),IF(ISBLANK(signer1),"",signer1))</f>
        <v>Rahul Shah</v>
      </c>
      <c r="V68" s="29" t="str">
        <f t="shared" si="2"/>
        <v>Cognisant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bjuba@wustl.edu</v>
      </c>
      <c r="Y68" s="15" t="str">
        <f>HYPERLINK("mailto:"&amp;RADataTable[[#This Row],[allPIemail]]&amp;"&amp;subject=NSF Proposal:  "&amp;RADataTable[[#This Row],[Div]]&amp;" "&amp;RADataTable[[#This Row],[prop_id0]], "PIs@")</f>
        <v>PIs@</v>
      </c>
      <c r="Z68" t="s">
        <v>224</v>
      </c>
      <c r="AA68" t="s">
        <v>1015</v>
      </c>
      <c r="AB68">
        <v>3</v>
      </c>
      <c r="AD68"/>
      <c r="AE68" s="21">
        <v>1</v>
      </c>
      <c r="AF68" s="26">
        <v>4.666666666666667</v>
      </c>
      <c r="AG68">
        <v>7</v>
      </c>
      <c r="AH68" t="s">
        <v>1021</v>
      </c>
      <c r="AI68" s="30">
        <v>42661.834722222222</v>
      </c>
      <c r="AJ68" s="13">
        <v>681281</v>
      </c>
      <c r="AK68" s="13">
        <v>681281</v>
      </c>
      <c r="AL68">
        <v>0</v>
      </c>
      <c r="AM68" s="30">
        <v>42917</v>
      </c>
      <c r="AN68" s="21">
        <v>60</v>
      </c>
      <c r="AO68" s="21" t="s">
        <v>1022</v>
      </c>
      <c r="AP68">
        <v>1</v>
      </c>
      <c r="AQ68" t="s">
        <v>2015</v>
      </c>
      <c r="AR68" s="30">
        <v>42654.718055555553</v>
      </c>
      <c r="AS68" t="s">
        <v>1425</v>
      </c>
      <c r="AT68" s="21" t="s">
        <v>264</v>
      </c>
      <c r="AU68" s="21">
        <v>18</v>
      </c>
      <c r="AV68" s="21" t="s">
        <v>2008</v>
      </c>
      <c r="AW68" s="30">
        <v>42661</v>
      </c>
      <c r="AX68" s="21" t="s">
        <v>2025</v>
      </c>
      <c r="AY68" s="21" t="s">
        <v>2010</v>
      </c>
      <c r="AZ68" s="21">
        <v>12</v>
      </c>
      <c r="BA68" s="21">
        <v>0</v>
      </c>
      <c r="BF68" s="30"/>
      <c r="BI68" s="21">
        <v>12</v>
      </c>
      <c r="BJ68" s="21">
        <v>0</v>
      </c>
      <c r="BO68" s="30"/>
      <c r="BR68" s="21">
        <v>12</v>
      </c>
      <c r="BS68" s="21">
        <v>0</v>
      </c>
      <c r="BT68" t="s">
        <v>1015</v>
      </c>
      <c r="BU68" s="21" t="s">
        <v>1016</v>
      </c>
      <c r="BV68" s="21" t="s">
        <v>1017</v>
      </c>
      <c r="BW68" s="21" t="s">
        <v>1018</v>
      </c>
      <c r="BX68" s="31">
        <v>681281</v>
      </c>
      <c r="BY68" s="31">
        <v>681281</v>
      </c>
      <c r="BZ68" t="s">
        <v>1020</v>
      </c>
      <c r="CE68" s="31"/>
      <c r="CF68" s="31"/>
      <c r="CL68" s="31"/>
      <c r="CM68" s="31"/>
      <c r="CS68" s="31"/>
      <c r="CT68" s="31"/>
      <c r="CZ68" s="31"/>
      <c r="DA68" s="31"/>
      <c r="DG68" s="31"/>
      <c r="DH68" s="31"/>
      <c r="DN68" s="31"/>
      <c r="DO68" s="31"/>
      <c r="DQ68" t="s">
        <v>260</v>
      </c>
      <c r="DR68" t="s">
        <v>225</v>
      </c>
      <c r="DS68" t="s">
        <v>621</v>
      </c>
      <c r="DT68" s="29" t="s">
        <v>627</v>
      </c>
      <c r="DU68" t="s">
        <v>973</v>
      </c>
      <c r="DV68" t="s">
        <v>622</v>
      </c>
      <c r="DW68" t="s">
        <v>173</v>
      </c>
      <c r="DX68" t="s">
        <v>170</v>
      </c>
      <c r="DY68" t="s">
        <v>171</v>
      </c>
      <c r="DZ68" s="22">
        <v>43073.921863425923</v>
      </c>
      <c r="EA68" t="s">
        <v>1019</v>
      </c>
      <c r="EB68" t="s">
        <v>2026</v>
      </c>
    </row>
    <row r="69" spans="1:132" x14ac:dyDescent="0.4">
      <c r="A69" s="30">
        <v>42674.447048611109</v>
      </c>
      <c r="B69" s="22">
        <v>42571.428472222222</v>
      </c>
      <c r="C69" s="22" t="s">
        <v>975</v>
      </c>
      <c r="D69" s="30" t="s">
        <v>222</v>
      </c>
      <c r="E69" s="30" t="s">
        <v>405</v>
      </c>
      <c r="F69" s="30" t="s">
        <v>172</v>
      </c>
      <c r="G69" s="30" t="s">
        <v>976</v>
      </c>
      <c r="H69" t="s">
        <v>94</v>
      </c>
      <c r="I69" t="s">
        <v>974</v>
      </c>
      <c r="J69" t="s">
        <v>451</v>
      </c>
      <c r="K69" s="22">
        <v>42667.539583333331</v>
      </c>
      <c r="L69">
        <v>1</v>
      </c>
      <c r="M69" s="26">
        <v>3.18</v>
      </c>
      <c r="N69" t="s">
        <v>263</v>
      </c>
      <c r="Q69" s="29" t="s">
        <v>13</v>
      </c>
      <c r="R69" s="29" t="str">
        <f>IFERROR(MID(RADataTable[[#This Row],[RAtemplate]],1,LEN(RADataTable[[#This Row],[RAtemplate]])-8),"RA") &amp; " " &amp; RADataTable[[#This Row],[prop_id0]] &amp; " " &amp; RADataTable[[#This Row],[last0]]</f>
        <v>RA 1651964 Moseley</v>
      </c>
      <c r="U69" s="21" t="str">
        <f>IF(signer1="PD",IF(ISBLANK(RADataTable[[#This Row],[sign_blck_name]]),"",RADataTable[[#This Row],[sign_blck_name]]),IF(ISBLANK(signer1),"",signer1))</f>
        <v>Tracy J. Kimbrel</v>
      </c>
      <c r="V69" s="29" t="str">
        <f t="shared" si="2"/>
        <v>Cognisant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bmoseley@seas.wustl.edu</v>
      </c>
      <c r="Y69" s="15" t="str">
        <f>HYPERLINK("mailto:"&amp;RADataTable[[#This Row],[allPIemail]]&amp;"&amp;subject=NSF Proposal:  "&amp;RADataTable[[#This Row],[Div]]&amp;" "&amp;RADataTable[[#This Row],[prop_id0]], "PIs@")</f>
        <v>PIs@</v>
      </c>
      <c r="Z69" t="s">
        <v>224</v>
      </c>
      <c r="AA69" t="s">
        <v>1023</v>
      </c>
      <c r="AB69">
        <v>4</v>
      </c>
      <c r="AD69"/>
      <c r="AE69" s="21">
        <v>6</v>
      </c>
      <c r="AF69" s="26">
        <v>6.75</v>
      </c>
      <c r="AG69">
        <v>7</v>
      </c>
      <c r="AH69" t="s">
        <v>533</v>
      </c>
      <c r="AI69" s="30">
        <v>42661.502083333333</v>
      </c>
      <c r="AJ69" s="13">
        <v>517179</v>
      </c>
      <c r="AK69" s="13">
        <v>517179</v>
      </c>
      <c r="AL69">
        <v>0</v>
      </c>
      <c r="AM69" s="30">
        <v>42917</v>
      </c>
      <c r="AN69" s="21">
        <v>60</v>
      </c>
      <c r="AO69" s="21" t="s">
        <v>1024</v>
      </c>
      <c r="AP69">
        <v>1</v>
      </c>
      <c r="AQ69" t="s">
        <v>2027</v>
      </c>
      <c r="AR69" s="30">
        <v>42645.609027777777</v>
      </c>
      <c r="AS69" t="s">
        <v>1425</v>
      </c>
      <c r="AT69" s="21" t="s">
        <v>264</v>
      </c>
      <c r="AU69" s="21">
        <v>18</v>
      </c>
      <c r="AV69" s="21" t="s">
        <v>2008</v>
      </c>
      <c r="AW69" s="30">
        <v>42661</v>
      </c>
      <c r="AX69" s="21" t="s">
        <v>672</v>
      </c>
      <c r="AY69" s="21" t="s">
        <v>2010</v>
      </c>
      <c r="AZ69" s="21">
        <v>12</v>
      </c>
      <c r="BA69" s="21">
        <v>0</v>
      </c>
      <c r="BF69" s="30"/>
      <c r="BI69" s="21">
        <v>12</v>
      </c>
      <c r="BJ69" s="21">
        <v>0</v>
      </c>
      <c r="BO69" s="30"/>
      <c r="BR69" s="21">
        <v>12</v>
      </c>
      <c r="BS69" s="21">
        <v>0</v>
      </c>
      <c r="BT69" t="s">
        <v>1023</v>
      </c>
      <c r="BU69" s="21" t="s">
        <v>423</v>
      </c>
      <c r="BV69" s="21" t="s">
        <v>262</v>
      </c>
      <c r="BW69" s="21" t="s">
        <v>1018</v>
      </c>
      <c r="BX69" s="31">
        <v>517179</v>
      </c>
      <c r="BY69" s="31">
        <v>517179</v>
      </c>
      <c r="BZ69" t="s">
        <v>1020</v>
      </c>
      <c r="CE69" s="31"/>
      <c r="CF69" s="31"/>
      <c r="CL69" s="31"/>
      <c r="CM69" s="31"/>
      <c r="CS69" s="31"/>
      <c r="CT69" s="31"/>
      <c r="CZ69" s="31"/>
      <c r="DA69" s="31"/>
      <c r="DG69" s="31"/>
      <c r="DH69" s="31"/>
      <c r="DN69" s="31"/>
      <c r="DO69" s="31"/>
      <c r="DQ69" t="s">
        <v>260</v>
      </c>
      <c r="DR69" t="s">
        <v>225</v>
      </c>
      <c r="DS69" t="s">
        <v>621</v>
      </c>
      <c r="DT69" s="29" t="s">
        <v>638</v>
      </c>
      <c r="DU69" t="s">
        <v>973</v>
      </c>
      <c r="DV69" t="s">
        <v>622</v>
      </c>
      <c r="DW69" t="s">
        <v>173</v>
      </c>
      <c r="DX69" t="s">
        <v>170</v>
      </c>
      <c r="DY69" t="s">
        <v>171</v>
      </c>
      <c r="DZ69" s="22">
        <v>43073.921863425923</v>
      </c>
      <c r="EA69" t="s">
        <v>425</v>
      </c>
      <c r="EB69" t="s">
        <v>628</v>
      </c>
    </row>
    <row r="70" spans="1:132" x14ac:dyDescent="0.4">
      <c r="A70" s="30">
        <v>42674.448333333334</v>
      </c>
      <c r="B70" s="22">
        <v>42571.431250000001</v>
      </c>
      <c r="C70" s="22" t="s">
        <v>975</v>
      </c>
      <c r="D70" s="30" t="s">
        <v>222</v>
      </c>
      <c r="E70" s="30" t="s">
        <v>405</v>
      </c>
      <c r="F70" s="30" t="s">
        <v>172</v>
      </c>
      <c r="G70" s="30" t="s">
        <v>976</v>
      </c>
      <c r="H70" t="s">
        <v>94</v>
      </c>
      <c r="I70" t="s">
        <v>974</v>
      </c>
      <c r="J70" t="s">
        <v>451</v>
      </c>
      <c r="K70" s="22">
        <v>42667.540162037039</v>
      </c>
      <c r="L70">
        <v>1</v>
      </c>
      <c r="M70" s="26">
        <v>3.18</v>
      </c>
      <c r="N70" t="s">
        <v>263</v>
      </c>
      <c r="Q70" s="29" t="s">
        <v>13</v>
      </c>
      <c r="R70" s="29" t="str">
        <f>IFERROR(MID(RADataTable[[#This Row],[RAtemplate]],1,LEN(RADataTable[[#This Row],[RAtemplate]])-8),"RA") &amp; " " &amp; RADataTable[[#This Row],[prop_id0]] &amp; " " &amp; RADataTable[[#This Row],[last0]]</f>
        <v>RA 1651970 Ullman</v>
      </c>
      <c r="U70" s="21" t="str">
        <f>IF(signer1="PD",IF(ISBLANK(RADataTable[[#This Row],[sign_blck_name]]),"",RADataTable[[#This Row],[sign_blck_name]]),IF(ISBLANK(signer1),"",signer1))</f>
        <v>Tracy J. Kimbrel</v>
      </c>
      <c r="V70" s="29" t="str">
        <f t="shared" si="2"/>
        <v>Cognisant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jullman@ccs.neu.edu</v>
      </c>
      <c r="Y70" s="15" t="str">
        <f>HYPERLINK("mailto:"&amp;RADataTable[[#This Row],[allPIemail]]&amp;"&amp;subject=NSF Proposal:  "&amp;RADataTable[[#This Row],[Div]]&amp;" "&amp;RADataTable[[#This Row],[prop_id0]], "PIs@")</f>
        <v>PIs@</v>
      </c>
      <c r="Z70" t="s">
        <v>224</v>
      </c>
      <c r="AA70" t="s">
        <v>1025</v>
      </c>
      <c r="AB70">
        <v>4</v>
      </c>
      <c r="AD70"/>
      <c r="AE70" s="21">
        <v>7</v>
      </c>
      <c r="AF70" s="26">
        <v>7.25</v>
      </c>
      <c r="AG70">
        <v>8</v>
      </c>
      <c r="AH70" t="s">
        <v>1013</v>
      </c>
      <c r="AI70" s="30">
        <v>42661.607638888891</v>
      </c>
      <c r="AJ70" s="13">
        <v>535891</v>
      </c>
      <c r="AK70" s="13">
        <v>535891</v>
      </c>
      <c r="AL70">
        <v>0</v>
      </c>
      <c r="AM70" s="30">
        <v>42948</v>
      </c>
      <c r="AN70" s="21">
        <v>60</v>
      </c>
      <c r="AO70" s="21" t="s">
        <v>1030</v>
      </c>
      <c r="AP70">
        <v>1</v>
      </c>
      <c r="AQ70" t="s">
        <v>2015</v>
      </c>
      <c r="AR70" s="30">
        <v>42638.61041666667</v>
      </c>
      <c r="AS70" t="s">
        <v>1425</v>
      </c>
      <c r="AT70" s="21" t="s">
        <v>264</v>
      </c>
      <c r="AU70" s="21">
        <v>18</v>
      </c>
      <c r="AV70" s="21" t="s">
        <v>2008</v>
      </c>
      <c r="AW70" s="30">
        <v>42661</v>
      </c>
      <c r="AX70" s="21" t="s">
        <v>2014</v>
      </c>
      <c r="AY70" s="21" t="s">
        <v>2010</v>
      </c>
      <c r="AZ70" s="21">
        <v>12</v>
      </c>
      <c r="BA70" s="21">
        <v>0</v>
      </c>
      <c r="BF70" s="30"/>
      <c r="BI70" s="21">
        <v>12</v>
      </c>
      <c r="BJ70" s="21">
        <v>0</v>
      </c>
      <c r="BO70" s="30"/>
      <c r="BR70" s="21">
        <v>12</v>
      </c>
      <c r="BS70" s="21">
        <v>0</v>
      </c>
      <c r="BT70" t="s">
        <v>1025</v>
      </c>
      <c r="BU70" s="21" t="s">
        <v>1026</v>
      </c>
      <c r="BV70" s="21" t="s">
        <v>1027</v>
      </c>
      <c r="BW70" s="21" t="s">
        <v>1028</v>
      </c>
      <c r="BX70" s="31">
        <v>535891</v>
      </c>
      <c r="BY70" s="31">
        <v>535891</v>
      </c>
      <c r="BZ70" t="s">
        <v>411</v>
      </c>
      <c r="CE70" s="31"/>
      <c r="CF70" s="31"/>
      <c r="CL70" s="31"/>
      <c r="CM70" s="31"/>
      <c r="CS70" s="31"/>
      <c r="CT70" s="31"/>
      <c r="CZ70" s="31"/>
      <c r="DA70" s="31"/>
      <c r="DG70" s="31"/>
      <c r="DH70" s="31"/>
      <c r="DN70" s="31"/>
      <c r="DO70" s="31"/>
      <c r="DQ70" t="s">
        <v>260</v>
      </c>
      <c r="DR70" t="s">
        <v>225</v>
      </c>
      <c r="DS70" t="s">
        <v>621</v>
      </c>
      <c r="DT70" s="29" t="s">
        <v>638</v>
      </c>
      <c r="DU70" t="s">
        <v>973</v>
      </c>
      <c r="DV70" t="s">
        <v>622</v>
      </c>
      <c r="DW70" t="s">
        <v>173</v>
      </c>
      <c r="DX70" t="s">
        <v>170</v>
      </c>
      <c r="DY70" t="s">
        <v>171</v>
      </c>
      <c r="DZ70" s="22">
        <v>43073.921863425923</v>
      </c>
      <c r="EA70" t="s">
        <v>1029</v>
      </c>
      <c r="EB70" t="s">
        <v>2028</v>
      </c>
    </row>
    <row r="71" spans="1:132" x14ac:dyDescent="0.4">
      <c r="A71" s="30">
        <v>42676.693969907406</v>
      </c>
      <c r="B71" s="22">
        <v>42571.455555555556</v>
      </c>
      <c r="C71" s="22" t="s">
        <v>975</v>
      </c>
      <c r="D71" s="30" t="s">
        <v>222</v>
      </c>
      <c r="E71" s="30" t="s">
        <v>405</v>
      </c>
      <c r="F71" s="30" t="s">
        <v>172</v>
      </c>
      <c r="G71" s="30" t="s">
        <v>976</v>
      </c>
      <c r="H71" t="s">
        <v>94</v>
      </c>
      <c r="I71" t="s">
        <v>974</v>
      </c>
      <c r="J71" t="s">
        <v>406</v>
      </c>
      <c r="K71" s="22">
        <v>42674.614074074074</v>
      </c>
      <c r="L71">
        <v>1</v>
      </c>
      <c r="M71" s="26">
        <v>3.18</v>
      </c>
      <c r="N71" t="s">
        <v>263</v>
      </c>
      <c r="Q71" s="29" t="s">
        <v>13</v>
      </c>
      <c r="R71" s="29" t="str">
        <f>IFERROR(MID(RADataTable[[#This Row],[RAtemplate]],1,LEN(RADataTable[[#This Row],[RAtemplate]])-8),"RA") &amp; " " &amp; RADataTable[[#This Row],[prop_id0]] &amp; " " &amp; RADataTable[[#This Row],[last0]]</f>
        <v>RA 1651999 Peng</v>
      </c>
      <c r="U71" s="21" t="str">
        <f>IF(signer1="PD",IF(ISBLANK(RADataTable[[#This Row],[sign_blck_name]]),"",RADataTable[[#This Row],[sign_blck_name]]),IF(ISBLANK(signer1),"",signer1))</f>
        <v>Jack Snoeyink</v>
      </c>
      <c r="V71" s="29" t="str">
        <f t="shared" si="2"/>
        <v>Cognisant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rpeng@cc.gatech.edu</v>
      </c>
      <c r="Y71" s="15" t="str">
        <f>HYPERLINK("mailto:"&amp;RADataTable[[#This Row],[allPIemail]]&amp;"&amp;subject=NSF Proposal:  "&amp;RADataTable[[#This Row],[Div]]&amp;" "&amp;RADataTable[[#This Row],[prop_id0]], "PIs@")</f>
        <v>PIs@</v>
      </c>
      <c r="Z71" t="s">
        <v>224</v>
      </c>
      <c r="AA71" t="s">
        <v>1037</v>
      </c>
      <c r="AB71">
        <v>4</v>
      </c>
      <c r="AD71"/>
      <c r="AE71" s="21">
        <v>5</v>
      </c>
      <c r="AF71" s="26">
        <v>6.25</v>
      </c>
      <c r="AG71">
        <v>8</v>
      </c>
      <c r="AH71" t="s">
        <v>1042</v>
      </c>
      <c r="AI71" s="30">
        <v>42660.753472222219</v>
      </c>
      <c r="AJ71" s="13">
        <v>600000</v>
      </c>
      <c r="AK71" s="13">
        <v>600000</v>
      </c>
      <c r="AL71">
        <v>0</v>
      </c>
      <c r="AM71" s="30">
        <v>42917</v>
      </c>
      <c r="AN71" s="21">
        <v>60</v>
      </c>
      <c r="AO71" s="21" t="s">
        <v>1043</v>
      </c>
      <c r="AP71">
        <v>1</v>
      </c>
      <c r="AQ71" t="s">
        <v>2013</v>
      </c>
      <c r="AR71" s="30">
        <v>42634.429166666669</v>
      </c>
      <c r="AS71" t="s">
        <v>1425</v>
      </c>
      <c r="AT71" s="21" t="s">
        <v>264</v>
      </c>
      <c r="AU71" s="21">
        <v>18</v>
      </c>
      <c r="AV71" s="21" t="s">
        <v>2008</v>
      </c>
      <c r="AW71" s="30">
        <v>42661</v>
      </c>
      <c r="AX71" s="21" t="s">
        <v>2031</v>
      </c>
      <c r="AY71" s="21" t="s">
        <v>2010</v>
      </c>
      <c r="AZ71" s="21">
        <v>12</v>
      </c>
      <c r="BA71" s="21">
        <v>1</v>
      </c>
      <c r="BF71" s="30"/>
      <c r="BI71" s="21">
        <v>12</v>
      </c>
      <c r="BJ71" s="21">
        <v>1</v>
      </c>
      <c r="BO71" s="30"/>
      <c r="BR71" s="21">
        <v>12</v>
      </c>
      <c r="BS71" s="21">
        <v>1</v>
      </c>
      <c r="BT71" t="s">
        <v>1037</v>
      </c>
      <c r="BU71" s="21" t="s">
        <v>1038</v>
      </c>
      <c r="BV71" s="21" t="s">
        <v>1039</v>
      </c>
      <c r="BW71" s="21" t="s">
        <v>1040</v>
      </c>
      <c r="BX71" s="31">
        <v>600000</v>
      </c>
      <c r="BY71" s="31">
        <v>600000</v>
      </c>
      <c r="BZ71" t="s">
        <v>411</v>
      </c>
      <c r="CE71" s="31"/>
      <c r="CF71" s="31"/>
      <c r="CL71" s="31"/>
      <c r="CM71" s="31"/>
      <c r="CS71" s="31"/>
      <c r="CT71" s="31"/>
      <c r="CZ71" s="31"/>
      <c r="DA71" s="31"/>
      <c r="DG71" s="31"/>
      <c r="DH71" s="31"/>
      <c r="DN71" s="31"/>
      <c r="DO71" s="31"/>
      <c r="DQ71" t="s">
        <v>260</v>
      </c>
      <c r="DR71" t="s">
        <v>225</v>
      </c>
      <c r="DS71" t="s">
        <v>621</v>
      </c>
      <c r="DT71" s="29" t="s">
        <v>214</v>
      </c>
      <c r="DU71" t="s">
        <v>973</v>
      </c>
      <c r="DV71" t="s">
        <v>622</v>
      </c>
      <c r="DW71" t="s">
        <v>173</v>
      </c>
      <c r="DX71" t="s">
        <v>170</v>
      </c>
      <c r="DY71" t="s">
        <v>171</v>
      </c>
      <c r="DZ71" s="22">
        <v>43073.921863425923</v>
      </c>
      <c r="EA71" t="s">
        <v>1041</v>
      </c>
      <c r="EB71" t="s">
        <v>2032</v>
      </c>
    </row>
    <row r="72" spans="1:132" x14ac:dyDescent="0.4">
      <c r="A72" s="30">
        <v>42677.555532407408</v>
      </c>
      <c r="B72" s="22">
        <v>42571.484722222223</v>
      </c>
      <c r="C72" s="22" t="s">
        <v>975</v>
      </c>
      <c r="D72" s="30" t="s">
        <v>222</v>
      </c>
      <c r="E72" s="30" t="s">
        <v>405</v>
      </c>
      <c r="F72" s="30" t="s">
        <v>172</v>
      </c>
      <c r="G72" s="30" t="s">
        <v>976</v>
      </c>
      <c r="H72" t="s">
        <v>94</v>
      </c>
      <c r="I72" t="s">
        <v>974</v>
      </c>
      <c r="J72" t="s">
        <v>422</v>
      </c>
      <c r="K72" s="22">
        <v>42677.46193287037</v>
      </c>
      <c r="L72">
        <v>1</v>
      </c>
      <c r="M72" s="26">
        <v>3.18</v>
      </c>
      <c r="N72" t="s">
        <v>263</v>
      </c>
      <c r="Q72" s="29" t="s">
        <v>13</v>
      </c>
      <c r="R72" s="29" t="str">
        <f>IFERROR(MID(RADataTable[[#This Row],[RAtemplate]],1,LEN(RADataTable[[#This Row],[RAtemplate]])-8),"RA") &amp; " " &amp; RADataTable[[#This Row],[prop_id0]] &amp; " " &amp; RADataTable[[#This Row],[last0]]</f>
        <v>RA 1652063 Nguyen</v>
      </c>
      <c r="U72" s="21" t="str">
        <f>IF(signer1="PD",IF(ISBLANK(RADataTable[[#This Row],[sign_blck_name]]),"",RADataTable[[#This Row],[sign_blck_name]]),IF(ISBLANK(signer1),"",signer1))</f>
        <v>Rahul Shah</v>
      </c>
      <c r="V72" s="29" t="str">
        <f t="shared" si="2"/>
        <v>Cognisant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hu.nguyen@neu.edu</v>
      </c>
      <c r="Y72" s="15" t="str">
        <f>HYPERLINK("mailto:"&amp;RADataTable[[#This Row],[allPIemail]]&amp;"&amp;subject=NSF Proposal:  "&amp;RADataTable[[#This Row],[Div]]&amp;" "&amp;RADataTable[[#This Row],[prop_id0]], "PIs@")</f>
        <v>PIs@</v>
      </c>
      <c r="Z72" t="s">
        <v>224</v>
      </c>
      <c r="AA72" t="s">
        <v>1044</v>
      </c>
      <c r="AB72">
        <v>4</v>
      </c>
      <c r="AD72"/>
      <c r="AE72" s="21">
        <v>6</v>
      </c>
      <c r="AF72" s="26">
        <v>7.5</v>
      </c>
      <c r="AG72">
        <v>9</v>
      </c>
      <c r="AH72" t="s">
        <v>984</v>
      </c>
      <c r="AI72" s="30">
        <v>42660.408333333333</v>
      </c>
      <c r="AJ72" s="13">
        <v>534704</v>
      </c>
      <c r="AK72" s="13">
        <v>534704</v>
      </c>
      <c r="AL72">
        <v>0</v>
      </c>
      <c r="AM72" s="30">
        <v>42856</v>
      </c>
      <c r="AN72" s="21">
        <v>60</v>
      </c>
      <c r="AO72" s="21" t="s">
        <v>1048</v>
      </c>
      <c r="AP72">
        <v>1</v>
      </c>
      <c r="AQ72" t="s">
        <v>2007</v>
      </c>
      <c r="AR72" s="30">
        <v>42654.922222222223</v>
      </c>
      <c r="AS72" t="s">
        <v>1425</v>
      </c>
      <c r="AT72" s="21" t="s">
        <v>264</v>
      </c>
      <c r="AU72" s="21">
        <v>18</v>
      </c>
      <c r="AV72" s="21" t="s">
        <v>2008</v>
      </c>
      <c r="AW72" s="30">
        <v>42661</v>
      </c>
      <c r="AX72" s="21" t="s">
        <v>2009</v>
      </c>
      <c r="AY72" s="21" t="s">
        <v>2010</v>
      </c>
      <c r="AZ72" s="21">
        <v>12</v>
      </c>
      <c r="BA72" s="21">
        <v>0</v>
      </c>
      <c r="BF72" s="30"/>
      <c r="BI72" s="21">
        <v>12</v>
      </c>
      <c r="BJ72" s="21">
        <v>0</v>
      </c>
      <c r="BO72" s="30"/>
      <c r="BR72" s="21">
        <v>12</v>
      </c>
      <c r="BS72" s="21">
        <v>0</v>
      </c>
      <c r="BT72" t="s">
        <v>1044</v>
      </c>
      <c r="BU72" s="21" t="s">
        <v>1045</v>
      </c>
      <c r="BV72" s="21" t="s">
        <v>1046</v>
      </c>
      <c r="BW72" s="21" t="s">
        <v>1028</v>
      </c>
      <c r="BX72" s="31">
        <v>534704</v>
      </c>
      <c r="BY72" s="31">
        <v>534704</v>
      </c>
      <c r="BZ72" t="s">
        <v>411</v>
      </c>
      <c r="CE72" s="31"/>
      <c r="CF72" s="31"/>
      <c r="CL72" s="31"/>
      <c r="CM72" s="31"/>
      <c r="CS72" s="31"/>
      <c r="CT72" s="31"/>
      <c r="CZ72" s="31"/>
      <c r="DA72" s="31"/>
      <c r="DG72" s="31"/>
      <c r="DH72" s="31"/>
      <c r="DN72" s="31"/>
      <c r="DO72" s="31"/>
      <c r="DQ72" t="s">
        <v>260</v>
      </c>
      <c r="DR72" t="s">
        <v>225</v>
      </c>
      <c r="DS72" t="s">
        <v>621</v>
      </c>
      <c r="DT72" s="29" t="s">
        <v>627</v>
      </c>
      <c r="DU72" t="s">
        <v>973</v>
      </c>
      <c r="DV72" t="s">
        <v>622</v>
      </c>
      <c r="DW72" t="s">
        <v>173</v>
      </c>
      <c r="DX72" t="s">
        <v>170</v>
      </c>
      <c r="DY72" t="s">
        <v>171</v>
      </c>
      <c r="DZ72" s="22">
        <v>43073.921863425923</v>
      </c>
      <c r="EA72" t="s">
        <v>1047</v>
      </c>
      <c r="EB72" t="s">
        <v>2033</v>
      </c>
    </row>
    <row r="73" spans="1:132" x14ac:dyDescent="0.4">
      <c r="A73" s="30">
        <v>42674.449259259258</v>
      </c>
      <c r="B73" s="22">
        <v>42571.574305555558</v>
      </c>
      <c r="C73" s="22" t="s">
        <v>975</v>
      </c>
      <c r="D73" s="30" t="s">
        <v>222</v>
      </c>
      <c r="E73" s="30" t="s">
        <v>405</v>
      </c>
      <c r="F73" s="30" t="s">
        <v>172</v>
      </c>
      <c r="G73" s="30" t="s">
        <v>976</v>
      </c>
      <c r="H73" t="s">
        <v>94</v>
      </c>
      <c r="I73" t="s">
        <v>974</v>
      </c>
      <c r="J73" t="s">
        <v>451</v>
      </c>
      <c r="K73" s="22">
        <v>42667.539884259262</v>
      </c>
      <c r="L73">
        <v>1</v>
      </c>
      <c r="M73" s="26">
        <v>3.18</v>
      </c>
      <c r="N73" t="s">
        <v>263</v>
      </c>
      <c r="Q73" s="29" t="s">
        <v>13</v>
      </c>
      <c r="R73" s="29" t="str">
        <f>IFERROR(MID(RADataTable[[#This Row],[RAtemplate]],1,LEN(RADataTable[[#This Row],[RAtemplate]])-8),"RA") &amp; " " &amp; RADataTable[[#This Row],[prop_id0]] &amp; " " &amp; RADataTable[[#This Row],[last0]]</f>
        <v>RA 1652250 Panigrahi</v>
      </c>
      <c r="U73" s="21" t="str">
        <f>IF(signer1="PD",IF(ISBLANK(RADataTable[[#This Row],[sign_blck_name]]),"",RADataTable[[#This Row],[sign_blck_name]]),IF(ISBLANK(signer1),"",signer1))</f>
        <v>Tracy J. Kimbrel</v>
      </c>
      <c r="V73" s="29" t="str">
        <f t="shared" si="2"/>
        <v>Cognisant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debmalya.panigrahi@gmail.com</v>
      </c>
      <c r="Y73" s="15" t="str">
        <f>HYPERLINK("mailto:"&amp;RADataTable[[#This Row],[allPIemail]]&amp;"&amp;subject=NSF Proposal:  "&amp;RADataTable[[#This Row],[Div]]&amp;" "&amp;RADataTable[[#This Row],[prop_id0]], "PIs@")</f>
        <v>PIs@</v>
      </c>
      <c r="Z73" t="s">
        <v>224</v>
      </c>
      <c r="AA73" t="s">
        <v>1065</v>
      </c>
      <c r="AB73">
        <v>4</v>
      </c>
      <c r="AD73"/>
      <c r="AE73" s="21">
        <v>5</v>
      </c>
      <c r="AF73" s="26">
        <v>6.5</v>
      </c>
      <c r="AG73">
        <v>8</v>
      </c>
      <c r="AH73" t="s">
        <v>510</v>
      </c>
      <c r="AI73" s="30">
        <v>42660.885416666664</v>
      </c>
      <c r="AJ73" s="13">
        <v>529408</v>
      </c>
      <c r="AK73" s="13">
        <v>529408</v>
      </c>
      <c r="AL73">
        <v>0</v>
      </c>
      <c r="AM73" s="30">
        <v>42767</v>
      </c>
      <c r="AN73" s="21">
        <v>60</v>
      </c>
      <c r="AO73" s="21" t="s">
        <v>493</v>
      </c>
      <c r="AP73">
        <v>1</v>
      </c>
      <c r="AQ73" t="s">
        <v>2027</v>
      </c>
      <c r="AR73" s="30">
        <v>42628.852083333331</v>
      </c>
      <c r="AS73" t="s">
        <v>1425</v>
      </c>
      <c r="AT73" s="21" t="s">
        <v>264</v>
      </c>
      <c r="AU73" s="21">
        <v>18</v>
      </c>
      <c r="AV73" s="21" t="s">
        <v>2008</v>
      </c>
      <c r="AW73" s="30">
        <v>42661</v>
      </c>
      <c r="AX73" s="21" t="s">
        <v>2037</v>
      </c>
      <c r="AY73" s="21" t="s">
        <v>2010</v>
      </c>
      <c r="AZ73" s="21">
        <v>12</v>
      </c>
      <c r="BA73" s="21">
        <v>0</v>
      </c>
      <c r="BF73" s="30"/>
      <c r="BI73" s="21">
        <v>12</v>
      </c>
      <c r="BJ73" s="21">
        <v>0</v>
      </c>
      <c r="BO73" s="30"/>
      <c r="BR73" s="21">
        <v>12</v>
      </c>
      <c r="BS73" s="21">
        <v>0</v>
      </c>
      <c r="BT73" t="s">
        <v>1065</v>
      </c>
      <c r="BU73" s="21" t="s">
        <v>488</v>
      </c>
      <c r="BV73" s="21" t="s">
        <v>489</v>
      </c>
      <c r="BW73" s="21" t="s">
        <v>490</v>
      </c>
      <c r="BX73" s="31">
        <v>529408</v>
      </c>
      <c r="BY73" s="31">
        <v>529408</v>
      </c>
      <c r="BZ73" t="s">
        <v>411</v>
      </c>
      <c r="CE73" s="31"/>
      <c r="CF73" s="31"/>
      <c r="CL73" s="31"/>
      <c r="CM73" s="31"/>
      <c r="CS73" s="31"/>
      <c r="CT73" s="31"/>
      <c r="CZ73" s="31"/>
      <c r="DA73" s="31"/>
      <c r="DG73" s="31"/>
      <c r="DH73" s="31"/>
      <c r="DN73" s="31"/>
      <c r="DO73" s="31"/>
      <c r="DQ73" t="s">
        <v>260</v>
      </c>
      <c r="DR73" t="s">
        <v>225</v>
      </c>
      <c r="DS73" t="s">
        <v>621</v>
      </c>
      <c r="DT73" s="29" t="s">
        <v>638</v>
      </c>
      <c r="DU73" t="s">
        <v>973</v>
      </c>
      <c r="DV73" t="s">
        <v>622</v>
      </c>
      <c r="DW73" t="s">
        <v>173</v>
      </c>
      <c r="DX73" t="s">
        <v>170</v>
      </c>
      <c r="DY73" t="s">
        <v>171</v>
      </c>
      <c r="DZ73" s="22">
        <v>43073.921863425923</v>
      </c>
      <c r="EA73" t="s">
        <v>492</v>
      </c>
      <c r="EB73" t="s">
        <v>650</v>
      </c>
    </row>
    <row r="74" spans="1:132" x14ac:dyDescent="0.4">
      <c r="A74" s="30">
        <v>42682.56795138889</v>
      </c>
      <c r="B74" s="22">
        <v>42571.730555555558</v>
      </c>
      <c r="C74" s="22" t="s">
        <v>975</v>
      </c>
      <c r="D74" s="30" t="s">
        <v>222</v>
      </c>
      <c r="E74" s="30" t="s">
        <v>405</v>
      </c>
      <c r="F74" s="30" t="s">
        <v>172</v>
      </c>
      <c r="G74" s="30" t="s">
        <v>976</v>
      </c>
      <c r="H74" t="s">
        <v>94</v>
      </c>
      <c r="I74" t="s">
        <v>974</v>
      </c>
      <c r="J74" t="s">
        <v>406</v>
      </c>
      <c r="K74" s="22">
        <v>42681.576493055552</v>
      </c>
      <c r="L74">
        <v>1</v>
      </c>
      <c r="M74" s="26">
        <v>3.18</v>
      </c>
      <c r="N74" t="s">
        <v>263</v>
      </c>
      <c r="Q74" s="29" t="s">
        <v>13</v>
      </c>
      <c r="R74" s="29" t="str">
        <f>IFERROR(MID(RADataTable[[#This Row],[RAtemplate]],1,LEN(RADataTable[[#This Row],[RAtemplate]])-8),"RA") &amp; " " &amp; RADataTable[[#This Row],[prop_id0]] &amp; " " &amp; RADataTable[[#This Row],[last0]]</f>
        <v>RA 1652857 Gibson</v>
      </c>
      <c r="U74" s="21" t="str">
        <f>IF(signer1="PD",IF(ISBLANK(RADataTable[[#This Row],[sign_blck_name]]),"",RADataTable[[#This Row],[sign_blck_name]]),IF(ISBLANK(signer1),"",signer1))</f>
        <v>Jack Snoeyink</v>
      </c>
      <c r="V74" s="29" t="str">
        <f t="shared" si="2"/>
        <v>Cognisant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MATTHEW.GIBSON@UTSA.EDU</v>
      </c>
      <c r="Y74" s="15" t="str">
        <f>HYPERLINK("mailto:"&amp;RADataTable[[#This Row],[allPIemail]]&amp;"&amp;subject=NSF Proposal:  "&amp;RADataTable[[#This Row],[Div]]&amp;" "&amp;RADataTable[[#This Row],[prop_id0]], "PIs@")</f>
        <v>PIs@</v>
      </c>
      <c r="Z74" t="s">
        <v>224</v>
      </c>
      <c r="AA74" t="s">
        <v>1105</v>
      </c>
      <c r="AB74">
        <v>4</v>
      </c>
      <c r="AD74"/>
      <c r="AE74" s="21">
        <v>3</v>
      </c>
      <c r="AF74" s="26">
        <v>6.5</v>
      </c>
      <c r="AG74">
        <v>9</v>
      </c>
      <c r="AH74" t="s">
        <v>1106</v>
      </c>
      <c r="AI74" s="30">
        <v>42660.104166666664</v>
      </c>
      <c r="AJ74" s="13">
        <v>672214</v>
      </c>
      <c r="AK74" s="13">
        <v>672214</v>
      </c>
      <c r="AL74">
        <v>0</v>
      </c>
      <c r="AM74" s="30">
        <v>42736</v>
      </c>
      <c r="AN74" s="21">
        <v>60</v>
      </c>
      <c r="AO74" s="21" t="s">
        <v>1107</v>
      </c>
      <c r="AP74">
        <v>1</v>
      </c>
      <c r="AQ74" t="s">
        <v>2015</v>
      </c>
      <c r="AR74" s="30">
        <v>42633.511805555558</v>
      </c>
      <c r="AS74" t="s">
        <v>1425</v>
      </c>
      <c r="AT74" s="21" t="s">
        <v>264</v>
      </c>
      <c r="AU74" s="21">
        <v>18</v>
      </c>
      <c r="AV74" s="21" t="s">
        <v>2008</v>
      </c>
      <c r="AW74" s="30">
        <v>42661</v>
      </c>
      <c r="AX74" s="21" t="s">
        <v>2050</v>
      </c>
      <c r="AY74" s="21" t="s">
        <v>2010</v>
      </c>
      <c r="AZ74" s="21">
        <v>12</v>
      </c>
      <c r="BA74" s="21">
        <v>0</v>
      </c>
      <c r="BF74" s="30"/>
      <c r="BI74" s="21">
        <v>12</v>
      </c>
      <c r="BJ74" s="21">
        <v>0</v>
      </c>
      <c r="BO74" s="30"/>
      <c r="BR74" s="21">
        <v>12</v>
      </c>
      <c r="BS74" s="21">
        <v>0</v>
      </c>
      <c r="BT74" t="s">
        <v>1105</v>
      </c>
      <c r="BU74" s="21" t="s">
        <v>517</v>
      </c>
      <c r="BV74" s="21" t="s">
        <v>518</v>
      </c>
      <c r="BW74" s="21" t="s">
        <v>519</v>
      </c>
      <c r="BX74" s="31">
        <v>672214</v>
      </c>
      <c r="BY74" s="31">
        <v>672214</v>
      </c>
      <c r="BZ74" t="s">
        <v>419</v>
      </c>
      <c r="CE74" s="31"/>
      <c r="CF74" s="31"/>
      <c r="CL74" s="31"/>
      <c r="CM74" s="31"/>
      <c r="CS74" s="31"/>
      <c r="CT74" s="31"/>
      <c r="CZ74" s="31"/>
      <c r="DA74" s="31"/>
      <c r="DG74" s="31"/>
      <c r="DH74" s="31"/>
      <c r="DN74" s="31"/>
      <c r="DO74" s="31"/>
      <c r="DQ74" t="s">
        <v>260</v>
      </c>
      <c r="DR74" t="s">
        <v>225</v>
      </c>
      <c r="DS74" t="s">
        <v>621</v>
      </c>
      <c r="DT74" s="29" t="s">
        <v>214</v>
      </c>
      <c r="DU74" t="s">
        <v>973</v>
      </c>
      <c r="DV74" t="s">
        <v>622</v>
      </c>
      <c r="DW74" t="s">
        <v>173</v>
      </c>
      <c r="DX74" t="s">
        <v>170</v>
      </c>
      <c r="DY74" t="s">
        <v>171</v>
      </c>
      <c r="DZ74" s="22">
        <v>43073.921863425923</v>
      </c>
      <c r="EA74" t="s">
        <v>520</v>
      </c>
      <c r="EB74" t="s">
        <v>659</v>
      </c>
    </row>
    <row r="75" spans="1:132" x14ac:dyDescent="0.4">
      <c r="A75" s="30">
        <v>42721.748391203706</v>
      </c>
      <c r="B75" s="22">
        <v>42576.481944444444</v>
      </c>
      <c r="C75" s="22" t="s">
        <v>975</v>
      </c>
      <c r="D75" s="30" t="s">
        <v>1117</v>
      </c>
      <c r="E75" s="30" t="s">
        <v>1118</v>
      </c>
      <c r="F75" s="30" t="s">
        <v>172</v>
      </c>
      <c r="G75" s="30" t="s">
        <v>976</v>
      </c>
      <c r="H75" t="s">
        <v>94</v>
      </c>
      <c r="I75" t="s">
        <v>1116</v>
      </c>
      <c r="J75" t="s">
        <v>1119</v>
      </c>
      <c r="K75" s="22">
        <v>42712.581944444442</v>
      </c>
      <c r="L75">
        <v>2</v>
      </c>
      <c r="M75" s="26">
        <v>3.18</v>
      </c>
      <c r="N75" t="s">
        <v>263</v>
      </c>
      <c r="O75" t="s">
        <v>491</v>
      </c>
      <c r="Q75" s="29" t="s">
        <v>13</v>
      </c>
      <c r="R75" s="29" t="str">
        <f>IFERROR(MID(RADataTable[[#This Row],[RAtemplate]],1,LEN(RADataTable[[#This Row],[RAtemplate]])-8),"RA") &amp; " " &amp; RADataTable[[#This Row],[prop_id0]] &amp; " " &amp; RADataTable[[#This Row],[last0]]</f>
        <v>RA 1654086 Crane</v>
      </c>
      <c r="U75" s="21" t="str">
        <f>IF(signer1="PD",IF(ISBLANK(RADataTable[[#This Row],[sign_blck_name]]),"",RADataTable[[#This Row],[sign_blck_name]]),IF(ISBLANK(signer1),"",signer1))</f>
        <v/>
      </c>
      <c r="V75" s="29" t="str">
        <f t="shared" si="2"/>
        <v>Cognisant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kmcrane@cs.cmu.edu</v>
      </c>
      <c r="Y75" s="15" t="str">
        <f>HYPERLINK("mailto:"&amp;RADataTable[[#This Row],[allPIemail]]&amp;"&amp;subject=NSF Proposal:  "&amp;RADataTable[[#This Row],[Div]]&amp;" "&amp;RADataTable[[#This Row],[prop_id0]], "PIs@")</f>
        <v>PIs@</v>
      </c>
      <c r="Z75" t="s">
        <v>1120</v>
      </c>
      <c r="AA75" t="s">
        <v>1121</v>
      </c>
      <c r="AB75">
        <v>7</v>
      </c>
      <c r="AD75"/>
      <c r="AE75" s="21">
        <v>3</v>
      </c>
      <c r="AF75" s="26">
        <v>5.7142857142857144</v>
      </c>
      <c r="AG75">
        <v>7</v>
      </c>
      <c r="AH75" t="s">
        <v>1125</v>
      </c>
      <c r="AI75" s="30">
        <v>42670.978472222225</v>
      </c>
      <c r="AJ75" s="13">
        <v>514170</v>
      </c>
      <c r="AK75" s="13">
        <v>514170</v>
      </c>
      <c r="AL75">
        <v>0</v>
      </c>
      <c r="AM75" s="30">
        <v>42736</v>
      </c>
      <c r="AN75" s="21">
        <v>60</v>
      </c>
      <c r="AO75" s="21" t="s">
        <v>1126</v>
      </c>
      <c r="AP75">
        <v>1</v>
      </c>
      <c r="AQ75" t="s">
        <v>2015</v>
      </c>
      <c r="AR75" s="30">
        <v>42644.775000000001</v>
      </c>
      <c r="AS75" t="s">
        <v>1425</v>
      </c>
      <c r="AT75" s="21" t="s">
        <v>264</v>
      </c>
      <c r="AU75" s="21">
        <v>18</v>
      </c>
      <c r="AV75" s="21" t="s">
        <v>2008</v>
      </c>
      <c r="AW75" s="30">
        <v>42661</v>
      </c>
      <c r="AX75" s="21" t="s">
        <v>2055</v>
      </c>
      <c r="AY75" s="21" t="s">
        <v>2010</v>
      </c>
      <c r="AZ75" s="21">
        <v>12</v>
      </c>
      <c r="BA75" s="21">
        <v>0</v>
      </c>
      <c r="BB75" s="21" t="s">
        <v>1749</v>
      </c>
      <c r="BC75" s="21" t="s">
        <v>617</v>
      </c>
      <c r="BE75" s="21" t="s">
        <v>2056</v>
      </c>
      <c r="BF75" s="30">
        <v>42671</v>
      </c>
      <c r="BG75" s="21" t="s">
        <v>2057</v>
      </c>
      <c r="BH75" s="21" t="s">
        <v>2058</v>
      </c>
      <c r="BI75" s="21">
        <v>12</v>
      </c>
      <c r="BJ75" s="21">
        <v>0</v>
      </c>
      <c r="BO75" s="30"/>
      <c r="BR75" s="21">
        <v>12</v>
      </c>
      <c r="BS75" s="21">
        <v>0</v>
      </c>
      <c r="BT75" t="s">
        <v>1121</v>
      </c>
      <c r="BU75" s="21" t="s">
        <v>1122</v>
      </c>
      <c r="BV75" s="21" t="s">
        <v>1123</v>
      </c>
      <c r="BW75" s="21" t="s">
        <v>424</v>
      </c>
      <c r="BX75" s="31">
        <v>514170</v>
      </c>
      <c r="BY75" s="31">
        <v>514170</v>
      </c>
      <c r="BZ75" t="s">
        <v>265</v>
      </c>
      <c r="CE75" s="31"/>
      <c r="CF75" s="31"/>
      <c r="CL75" s="31"/>
      <c r="CM75" s="31"/>
      <c r="CS75" s="31"/>
      <c r="CT75" s="31"/>
      <c r="CZ75" s="31"/>
      <c r="DA75" s="31"/>
      <c r="DG75" s="31"/>
      <c r="DH75" s="31"/>
      <c r="DN75" s="31"/>
      <c r="DO75" s="31"/>
      <c r="DQ75" t="s">
        <v>260</v>
      </c>
      <c r="DR75" t="s">
        <v>2059</v>
      </c>
      <c r="DS75" t="s">
        <v>2060</v>
      </c>
      <c r="DT75" s="29"/>
      <c r="DU75" t="s">
        <v>973</v>
      </c>
      <c r="DV75" t="s">
        <v>622</v>
      </c>
      <c r="DW75" t="s">
        <v>173</v>
      </c>
      <c r="DX75" t="s">
        <v>2061</v>
      </c>
      <c r="DY75" t="s">
        <v>2062</v>
      </c>
      <c r="DZ75" s="22">
        <v>43073.921863425923</v>
      </c>
      <c r="EA75" t="s">
        <v>1124</v>
      </c>
      <c r="EB75" t="s">
        <v>2063</v>
      </c>
    </row>
    <row r="76" spans="1:132" x14ac:dyDescent="0.4">
      <c r="A76" s="30">
        <v>42682.568460648145</v>
      </c>
      <c r="B76" s="22">
        <v>42576.672222222223</v>
      </c>
      <c r="C76" s="22" t="s">
        <v>975</v>
      </c>
      <c r="D76" s="30" t="s">
        <v>222</v>
      </c>
      <c r="E76" s="30" t="s">
        <v>405</v>
      </c>
      <c r="F76" s="30" t="s">
        <v>172</v>
      </c>
      <c r="G76" s="30" t="s">
        <v>976</v>
      </c>
      <c r="H76" t="s">
        <v>94</v>
      </c>
      <c r="I76" t="s">
        <v>974</v>
      </c>
      <c r="J76" t="s">
        <v>406</v>
      </c>
      <c r="K76" s="22">
        <v>42682.524143518516</v>
      </c>
      <c r="L76">
        <v>1</v>
      </c>
      <c r="M76" s="26">
        <v>3.18</v>
      </c>
      <c r="N76" t="s">
        <v>263</v>
      </c>
      <c r="Q76" s="29" t="s">
        <v>13</v>
      </c>
      <c r="R76" s="29" t="str">
        <f>IFERROR(MID(RADataTable[[#This Row],[RAtemplate]],1,LEN(RADataTable[[#This Row],[RAtemplate]])-8),"RA") &amp; " " &amp; RADataTable[[#This Row],[prop_id0]] &amp; " " &amp; RADataTable[[#This Row],[last0]]</f>
        <v>RA 1654261 Oeding</v>
      </c>
      <c r="U76" s="21" t="str">
        <f>IF(signer1="PD",IF(ISBLANK(RADataTable[[#This Row],[sign_blck_name]]),"",RADataTable[[#This Row],[sign_blck_name]]),IF(ISBLANK(signer1),"",signer1))</f>
        <v>Jack Snoeyink</v>
      </c>
      <c r="V76" s="29" t="str">
        <f t="shared" si="2"/>
        <v>Cognisant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lukeoeding@gmail.com</v>
      </c>
      <c r="Y76" s="15" t="str">
        <f>HYPERLINK("mailto:"&amp;RADataTable[[#This Row],[allPIemail]]&amp;"&amp;subject=NSF Proposal:  "&amp;RADataTable[[#This Row],[Div]]&amp;" "&amp;RADataTable[[#This Row],[prop_id0]], "PIs@")</f>
        <v>PIs@</v>
      </c>
      <c r="Z76" t="s">
        <v>224</v>
      </c>
      <c r="AA76" t="s">
        <v>1127</v>
      </c>
      <c r="AB76">
        <v>5</v>
      </c>
      <c r="AD76"/>
      <c r="AE76" s="21">
        <v>3</v>
      </c>
      <c r="AF76" s="26">
        <v>4.8</v>
      </c>
      <c r="AG76">
        <v>7</v>
      </c>
      <c r="AH76" t="s">
        <v>1133</v>
      </c>
      <c r="AI76" s="30">
        <v>42661.424305555556</v>
      </c>
      <c r="AJ76" s="13">
        <v>601079</v>
      </c>
      <c r="AK76" s="13">
        <v>601079</v>
      </c>
      <c r="AL76">
        <v>0</v>
      </c>
      <c r="AM76" s="30">
        <v>42870</v>
      </c>
      <c r="AN76" s="21">
        <v>60</v>
      </c>
      <c r="AO76" s="21" t="s">
        <v>1134</v>
      </c>
      <c r="AP76">
        <v>2</v>
      </c>
      <c r="AQ76" t="s">
        <v>2064</v>
      </c>
      <c r="AR76" s="30">
        <v>42656.752083333333</v>
      </c>
      <c r="AS76" t="s">
        <v>1425</v>
      </c>
      <c r="AT76" s="21" t="s">
        <v>264</v>
      </c>
      <c r="AU76" s="21">
        <v>18</v>
      </c>
      <c r="AV76" s="21" t="s">
        <v>2008</v>
      </c>
      <c r="AW76" s="30">
        <v>42661</v>
      </c>
      <c r="AX76" s="21" t="s">
        <v>2065</v>
      </c>
      <c r="AY76" s="21" t="s">
        <v>2010</v>
      </c>
      <c r="AZ76" s="21">
        <v>12</v>
      </c>
      <c r="BA76" s="21">
        <v>0</v>
      </c>
      <c r="BF76" s="30"/>
      <c r="BI76" s="21">
        <v>12</v>
      </c>
      <c r="BJ76" s="21">
        <v>0</v>
      </c>
      <c r="BO76" s="30"/>
      <c r="BR76" s="21">
        <v>12</v>
      </c>
      <c r="BS76" s="21">
        <v>0</v>
      </c>
      <c r="BT76" t="s">
        <v>1127</v>
      </c>
      <c r="BU76" s="21" t="s">
        <v>1128</v>
      </c>
      <c r="BV76" s="21" t="s">
        <v>1129</v>
      </c>
      <c r="BW76" s="21" t="s">
        <v>1130</v>
      </c>
      <c r="BX76" s="31">
        <v>601079</v>
      </c>
      <c r="BY76" s="31">
        <v>601079</v>
      </c>
      <c r="BZ76" t="s">
        <v>1132</v>
      </c>
      <c r="CE76" s="31"/>
      <c r="CF76" s="31"/>
      <c r="CL76" s="31"/>
      <c r="CM76" s="31"/>
      <c r="CS76" s="31"/>
      <c r="CT76" s="31"/>
      <c r="CZ76" s="31"/>
      <c r="DA76" s="31"/>
      <c r="DG76" s="31"/>
      <c r="DH76" s="31"/>
      <c r="DN76" s="31"/>
      <c r="DO76" s="31"/>
      <c r="DQ76" t="s">
        <v>260</v>
      </c>
      <c r="DR76" t="s">
        <v>225</v>
      </c>
      <c r="DS76" t="s">
        <v>621</v>
      </c>
      <c r="DT76" s="29" t="s">
        <v>214</v>
      </c>
      <c r="DU76" t="s">
        <v>973</v>
      </c>
      <c r="DV76" t="s">
        <v>622</v>
      </c>
      <c r="DW76" t="s">
        <v>173</v>
      </c>
      <c r="DX76" t="s">
        <v>170</v>
      </c>
      <c r="DY76" t="s">
        <v>171</v>
      </c>
      <c r="DZ76" s="22">
        <v>43073.921863425923</v>
      </c>
      <c r="EA76" t="s">
        <v>1131</v>
      </c>
      <c r="EB76" t="s">
        <v>2066</v>
      </c>
    </row>
    <row r="77" spans="1:132" x14ac:dyDescent="0.4">
      <c r="A77" s="30"/>
      <c r="B77" s="22">
        <v>42954.500694444447</v>
      </c>
      <c r="C77" s="22" t="s">
        <v>549</v>
      </c>
      <c r="D77" s="30" t="s">
        <v>222</v>
      </c>
      <c r="E77" s="30" t="s">
        <v>550</v>
      </c>
      <c r="F77" s="30" t="s">
        <v>172</v>
      </c>
      <c r="G77" s="30" t="s">
        <v>174</v>
      </c>
      <c r="H77" t="s">
        <v>94</v>
      </c>
      <c r="I77" t="s">
        <v>548</v>
      </c>
      <c r="J77" t="s">
        <v>422</v>
      </c>
      <c r="L77">
        <v>1</v>
      </c>
      <c r="M77" s="26">
        <v>4.05</v>
      </c>
      <c r="N77" t="s">
        <v>491</v>
      </c>
      <c r="Q77" s="29" t="s">
        <v>13</v>
      </c>
      <c r="R77" s="29" t="str">
        <f>IFERROR(MID(RADataTable[[#This Row],[RAtemplate]],1,LEN(RADataTable[[#This Row],[RAtemplate]])-8),"RA") &amp; " " &amp; RADataTable[[#This Row],[prop_id0]] &amp; " " &amp; RADataTable[[#This Row],[last0]]</f>
        <v>RA 1755481 Wang</v>
      </c>
      <c r="U77" s="21" t="str">
        <f>IF(signer1="PD",IF(ISBLANK(RADataTable[[#This Row],[sign_blck_name]]),"",RADataTable[[#This Row],[sign_blck_name]]),IF(ISBLANK(signer1),"",signer1))</f>
        <v>Rahul Shah</v>
      </c>
      <c r="V77" s="29" t="str">
        <f t="shared" si="2"/>
        <v>Cognisant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kwang@georgiasouthern.edu</v>
      </c>
      <c r="Y77" s="15" t="str">
        <f>HYPERLINK("mailto:"&amp;RADataTable[[#This Row],[allPIemail]]&amp;"&amp;subject=NSF Proposal:  "&amp;RADataTable[[#This Row],[Div]]&amp;" "&amp;RADataTable[[#This Row],[prop_id0]], "PIs@")</f>
        <v>PIs@</v>
      </c>
      <c r="Z77" t="s">
        <v>224</v>
      </c>
      <c r="AA77" t="s">
        <v>377</v>
      </c>
      <c r="AB77">
        <v>4</v>
      </c>
      <c r="AC77">
        <v>4</v>
      </c>
      <c r="AD77"/>
      <c r="AE77" s="21">
        <v>3</v>
      </c>
      <c r="AF77" s="26">
        <v>3.25</v>
      </c>
      <c r="AG77">
        <v>4</v>
      </c>
      <c r="AH77" t="s">
        <v>555</v>
      </c>
      <c r="AI77" s="30">
        <v>43031.775694444441</v>
      </c>
      <c r="AJ77" s="13">
        <v>168126</v>
      </c>
      <c r="AK77" s="13">
        <v>168126</v>
      </c>
      <c r="AL77">
        <v>0</v>
      </c>
      <c r="AM77" s="30">
        <v>43101</v>
      </c>
      <c r="AN77" s="21">
        <v>24</v>
      </c>
      <c r="AO77" s="21" t="s">
        <v>556</v>
      </c>
      <c r="AR77" s="30"/>
      <c r="AS77" t="s">
        <v>616</v>
      </c>
      <c r="AT77" s="21" t="s">
        <v>617</v>
      </c>
      <c r="AU77" s="21">
        <v>5</v>
      </c>
      <c r="AV77" s="21" t="s">
        <v>618</v>
      </c>
      <c r="AW77" s="30">
        <v>43032</v>
      </c>
      <c r="AX77" s="21" t="s">
        <v>666</v>
      </c>
      <c r="AY77" s="21" t="s">
        <v>620</v>
      </c>
      <c r="AZ77" s="21">
        <v>14</v>
      </c>
      <c r="BA77" s="21">
        <v>0</v>
      </c>
      <c r="BF77" s="30"/>
      <c r="BI77" s="21">
        <v>14</v>
      </c>
      <c r="BJ77" s="21">
        <v>0</v>
      </c>
      <c r="BO77" s="30"/>
      <c r="BR77" s="21">
        <v>14</v>
      </c>
      <c r="BS77" s="21">
        <v>0</v>
      </c>
      <c r="BT77" t="s">
        <v>377</v>
      </c>
      <c r="BU77" s="21" t="s">
        <v>414</v>
      </c>
      <c r="BV77" s="21" t="s">
        <v>551</v>
      </c>
      <c r="BW77" s="21" t="s">
        <v>552</v>
      </c>
      <c r="BX77" s="31">
        <v>168126</v>
      </c>
      <c r="BY77" s="31">
        <v>168126</v>
      </c>
      <c r="BZ77" t="s">
        <v>554</v>
      </c>
      <c r="CE77" s="31"/>
      <c r="CF77" s="31"/>
      <c r="CL77" s="31"/>
      <c r="CM77" s="31"/>
      <c r="CS77" s="31"/>
      <c r="CT77" s="31"/>
      <c r="CZ77" s="31"/>
      <c r="DA77" s="31"/>
      <c r="DG77" s="31"/>
      <c r="DH77" s="31"/>
      <c r="DN77" s="31"/>
      <c r="DO77" s="31"/>
      <c r="DQ77" t="s">
        <v>667</v>
      </c>
      <c r="DR77" t="s">
        <v>225</v>
      </c>
      <c r="DS77" t="s">
        <v>668</v>
      </c>
      <c r="DT77" s="29" t="s">
        <v>627</v>
      </c>
      <c r="DU77" t="s">
        <v>175</v>
      </c>
      <c r="DV77" t="s">
        <v>622</v>
      </c>
      <c r="DW77" t="s">
        <v>173</v>
      </c>
      <c r="DX77" t="s">
        <v>170</v>
      </c>
      <c r="DY77" t="s">
        <v>171</v>
      </c>
      <c r="DZ77" s="22">
        <v>43073.921863425923</v>
      </c>
      <c r="EA77" t="s">
        <v>553</v>
      </c>
      <c r="EB77" t="s">
        <v>669</v>
      </c>
    </row>
    <row r="78" spans="1:132" x14ac:dyDescent="0.4">
      <c r="A78" s="30"/>
      <c r="B78" s="22">
        <v>42956.647916666669</v>
      </c>
      <c r="C78" s="22" t="s">
        <v>549</v>
      </c>
      <c r="D78" s="30" t="s">
        <v>222</v>
      </c>
      <c r="E78" s="30" t="s">
        <v>550</v>
      </c>
      <c r="F78" s="30" t="s">
        <v>172</v>
      </c>
      <c r="G78" s="30" t="s">
        <v>174</v>
      </c>
      <c r="H78" t="s">
        <v>94</v>
      </c>
      <c r="I78" t="s">
        <v>548</v>
      </c>
      <c r="J78" t="s">
        <v>406</v>
      </c>
      <c r="L78">
        <v>1</v>
      </c>
      <c r="M78" s="26">
        <v>4.05</v>
      </c>
      <c r="N78" t="s">
        <v>491</v>
      </c>
      <c r="Q78" s="29" t="s">
        <v>177</v>
      </c>
      <c r="R78" s="29" t="str">
        <f>IFERROR(MID(RADataTable[[#This Row],[RAtemplate]],1,LEN(RADataTable[[#This Row],[RAtemplate]])-8),"RA") &amp; " " &amp; RADataTable[[#This Row],[prop_id0]] &amp; " " &amp; RADataTable[[#This Row],[last0]]</f>
        <v>Decline  1755881 San</v>
      </c>
      <c r="U78" s="21" t="str">
        <f>IF(signer1="PD",IF(ISBLANK(RADataTable[[#This Row],[sign_blck_name]]),"",RADataTable[[#This Row],[sign_blck_name]]),IF(ISBLANK(signer1),"",signer1))</f>
        <v>Jack Snoeyink</v>
      </c>
      <c r="V78" s="29" t="str">
        <f t="shared" si="2"/>
        <v>Cognisant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osan@okstate.edu</v>
      </c>
      <c r="Y78" s="15" t="str">
        <f>HYPERLINK("mailto:"&amp;RADataTable[[#This Row],[allPIemail]]&amp;"&amp;subject=NSF Proposal:  "&amp;RADataTable[[#This Row],[Div]]&amp;" "&amp;RADataTable[[#This Row],[prop_id0]], "PIs@")</f>
        <v>PIs@</v>
      </c>
      <c r="Z78" t="s">
        <v>224</v>
      </c>
      <c r="AA78" t="s">
        <v>381</v>
      </c>
      <c r="AB78">
        <v>3</v>
      </c>
      <c r="AC78">
        <v>3</v>
      </c>
      <c r="AD78"/>
      <c r="AE78" s="21">
        <v>3</v>
      </c>
      <c r="AF78" s="26">
        <v>5.333333333333333</v>
      </c>
      <c r="AG78">
        <v>8</v>
      </c>
      <c r="AH78" t="s">
        <v>581</v>
      </c>
      <c r="AI78" s="30">
        <v>43031.741666666669</v>
      </c>
      <c r="AJ78" s="13">
        <v>170144</v>
      </c>
      <c r="AK78" s="13">
        <v>170144</v>
      </c>
      <c r="AL78">
        <v>0</v>
      </c>
      <c r="AM78" s="30">
        <v>43252</v>
      </c>
      <c r="AN78" s="21">
        <v>24</v>
      </c>
      <c r="AO78" s="21" t="s">
        <v>582</v>
      </c>
      <c r="AR78" s="30"/>
      <c r="AS78" t="s">
        <v>616</v>
      </c>
      <c r="AT78" s="21" t="s">
        <v>617</v>
      </c>
      <c r="AU78" s="21">
        <v>5</v>
      </c>
      <c r="AV78" s="21" t="s">
        <v>618</v>
      </c>
      <c r="AW78" s="30">
        <v>43032</v>
      </c>
      <c r="AX78" s="21" t="s">
        <v>676</v>
      </c>
      <c r="AY78" s="21" t="s">
        <v>620</v>
      </c>
      <c r="AZ78" s="21">
        <v>14</v>
      </c>
      <c r="BA78" s="21">
        <v>0</v>
      </c>
      <c r="BF78" s="30"/>
      <c r="BI78" s="21">
        <v>14</v>
      </c>
      <c r="BJ78" s="21">
        <v>0</v>
      </c>
      <c r="BO78" s="30"/>
      <c r="BR78" s="21">
        <v>14</v>
      </c>
      <c r="BS78" s="21">
        <v>0</v>
      </c>
      <c r="BT78" t="s">
        <v>381</v>
      </c>
      <c r="BU78" s="21" t="s">
        <v>576</v>
      </c>
      <c r="BV78" s="21" t="s">
        <v>577</v>
      </c>
      <c r="BW78" s="21" t="s">
        <v>578</v>
      </c>
      <c r="BX78" s="31">
        <v>170144</v>
      </c>
      <c r="BY78" s="31">
        <v>170144</v>
      </c>
      <c r="BZ78" t="s">
        <v>580</v>
      </c>
      <c r="CE78" s="31"/>
      <c r="CF78" s="31"/>
      <c r="CL78" s="31"/>
      <c r="CM78" s="31"/>
      <c r="CS78" s="31"/>
      <c r="CT78" s="31"/>
      <c r="CZ78" s="31"/>
      <c r="DA78" s="31"/>
      <c r="DG78" s="31"/>
      <c r="DH78" s="31"/>
      <c r="DN78" s="31"/>
      <c r="DO78" s="31"/>
      <c r="DQ78" t="s">
        <v>667</v>
      </c>
      <c r="DR78" t="s">
        <v>225</v>
      </c>
      <c r="DS78" t="s">
        <v>668</v>
      </c>
      <c r="DT78" s="29" t="s">
        <v>214</v>
      </c>
      <c r="DU78" t="s">
        <v>175</v>
      </c>
      <c r="DV78" t="s">
        <v>622</v>
      </c>
      <c r="DW78" t="s">
        <v>173</v>
      </c>
      <c r="DX78" t="s">
        <v>170</v>
      </c>
      <c r="DY78" t="s">
        <v>171</v>
      </c>
      <c r="DZ78" s="22">
        <v>43073.921863425923</v>
      </c>
      <c r="EA78" t="s">
        <v>579</v>
      </c>
      <c r="EB78" t="s">
        <v>677</v>
      </c>
    </row>
    <row r="79" spans="1:132" x14ac:dyDescent="0.4">
      <c r="A79" s="30"/>
      <c r="B79" s="22">
        <v>42956.697222222225</v>
      </c>
      <c r="C79" s="22" t="s">
        <v>549</v>
      </c>
      <c r="D79" s="30" t="s">
        <v>222</v>
      </c>
      <c r="E79" s="30" t="s">
        <v>550</v>
      </c>
      <c r="F79" s="30" t="s">
        <v>172</v>
      </c>
      <c r="G79" s="30" t="s">
        <v>174</v>
      </c>
      <c r="H79" t="s">
        <v>94</v>
      </c>
      <c r="I79" t="s">
        <v>548</v>
      </c>
      <c r="J79" t="s">
        <v>406</v>
      </c>
      <c r="L79">
        <v>1</v>
      </c>
      <c r="M79" s="26">
        <v>4.05</v>
      </c>
      <c r="N79" t="s">
        <v>491</v>
      </c>
      <c r="Q79" s="29" t="s">
        <v>179</v>
      </c>
      <c r="R79" s="29" t="str">
        <f>IFERROR(MID(RADataTable[[#This Row],[RAtemplate]],1,LEN(RADataTable[[#This Row],[RAtemplate]])-8),"RA") &amp; " " &amp; RADataTable[[#This Row],[prop_id0]] &amp; " " &amp; RADataTable[[#This Row],[last0]]</f>
        <v>Std Decline  1755954 Hajimirza</v>
      </c>
      <c r="U79" s="21" t="str">
        <f>IF(signer1="PD",IF(ISBLANK(RADataTable[[#This Row],[sign_blck_name]]),"",RADataTable[[#This Row],[sign_blck_name]]),IF(ISBLANK(signer1),"",signer1))</f>
        <v>Jack Snoeyink</v>
      </c>
      <c r="V79" s="29" t="str">
        <f t="shared" si="2"/>
        <v>Cognisant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shima.hm@tamu.edu</v>
      </c>
      <c r="Y79" s="15" t="str">
        <f>HYPERLINK("mailto:"&amp;RADataTable[[#This Row],[allPIemail]]&amp;"&amp;subject=NSF Proposal:  "&amp;RADataTable[[#This Row],[Div]]&amp;" "&amp;RADataTable[[#This Row],[prop_id0]], "PIs@")</f>
        <v>PIs@</v>
      </c>
      <c r="Z79" t="s">
        <v>224</v>
      </c>
      <c r="AA79" t="s">
        <v>382</v>
      </c>
      <c r="AB79">
        <v>3</v>
      </c>
      <c r="AC79">
        <v>3</v>
      </c>
      <c r="AD79"/>
      <c r="AE79" s="21">
        <v>4</v>
      </c>
      <c r="AF79" s="26">
        <v>5.333333333333333</v>
      </c>
      <c r="AG79">
        <v>7</v>
      </c>
      <c r="AH79" t="s">
        <v>587</v>
      </c>
      <c r="AI79" s="30">
        <v>43032.675694444442</v>
      </c>
      <c r="AJ79" s="13">
        <v>175000</v>
      </c>
      <c r="AK79" s="13">
        <v>175000</v>
      </c>
      <c r="AL79">
        <v>0</v>
      </c>
      <c r="AM79" s="30">
        <v>43252</v>
      </c>
      <c r="AN79" s="21">
        <v>24</v>
      </c>
      <c r="AO79" s="21" t="s">
        <v>588</v>
      </c>
      <c r="AR79" s="30"/>
      <c r="AS79" t="s">
        <v>616</v>
      </c>
      <c r="AT79" s="21" t="s">
        <v>617</v>
      </c>
      <c r="AU79" s="21">
        <v>5</v>
      </c>
      <c r="AV79" s="21" t="s">
        <v>618</v>
      </c>
      <c r="AW79" s="30">
        <v>43032</v>
      </c>
      <c r="AX79" s="21" t="s">
        <v>678</v>
      </c>
      <c r="AY79" s="21" t="s">
        <v>620</v>
      </c>
      <c r="AZ79" s="21">
        <v>14</v>
      </c>
      <c r="BA79" s="21">
        <v>0</v>
      </c>
      <c r="BF79" s="30"/>
      <c r="BI79" s="21">
        <v>14</v>
      </c>
      <c r="BJ79" s="21">
        <v>0</v>
      </c>
      <c r="BO79" s="30"/>
      <c r="BR79" s="21">
        <v>14</v>
      </c>
      <c r="BS79" s="21">
        <v>0</v>
      </c>
      <c r="BT79" t="s">
        <v>382</v>
      </c>
      <c r="BU79" s="21" t="s">
        <v>583</v>
      </c>
      <c r="BV79" s="21" t="s">
        <v>584</v>
      </c>
      <c r="BW79" s="21" t="s">
        <v>585</v>
      </c>
      <c r="BX79" s="31">
        <v>175000</v>
      </c>
      <c r="BY79" s="31">
        <v>175000</v>
      </c>
      <c r="BZ79" t="s">
        <v>573</v>
      </c>
      <c r="CE79" s="31"/>
      <c r="CF79" s="31"/>
      <c r="CL79" s="31"/>
      <c r="CM79" s="31"/>
      <c r="CS79" s="31"/>
      <c r="CT79" s="31"/>
      <c r="CZ79" s="31"/>
      <c r="DA79" s="31"/>
      <c r="DG79" s="31"/>
      <c r="DH79" s="31"/>
      <c r="DN79" s="31"/>
      <c r="DO79" s="31"/>
      <c r="DQ79" t="s">
        <v>667</v>
      </c>
      <c r="DR79" t="s">
        <v>225</v>
      </c>
      <c r="DS79" t="s">
        <v>668</v>
      </c>
      <c r="DT79" s="29" t="s">
        <v>214</v>
      </c>
      <c r="DU79" t="s">
        <v>175</v>
      </c>
      <c r="DV79" t="s">
        <v>622</v>
      </c>
      <c r="DW79" t="s">
        <v>173</v>
      </c>
      <c r="DX79" t="s">
        <v>170</v>
      </c>
      <c r="DY79" t="s">
        <v>171</v>
      </c>
      <c r="DZ79" s="22">
        <v>43073.921863425923</v>
      </c>
      <c r="EA79" t="s">
        <v>586</v>
      </c>
      <c r="EB79" t="s">
        <v>679</v>
      </c>
    </row>
    <row r="80" spans="1:132" x14ac:dyDescent="0.4">
      <c r="A80" s="30"/>
      <c r="B80" s="22">
        <v>42956.717361111114</v>
      </c>
      <c r="C80" s="22" t="s">
        <v>549</v>
      </c>
      <c r="D80" s="30" t="s">
        <v>222</v>
      </c>
      <c r="E80" s="30" t="s">
        <v>550</v>
      </c>
      <c r="F80" s="30" t="s">
        <v>172</v>
      </c>
      <c r="G80" s="30" t="s">
        <v>174</v>
      </c>
      <c r="H80" t="s">
        <v>94</v>
      </c>
      <c r="I80" t="s">
        <v>548</v>
      </c>
      <c r="J80" t="s">
        <v>406</v>
      </c>
      <c r="L80">
        <v>1</v>
      </c>
      <c r="M80" s="26">
        <v>4.05</v>
      </c>
      <c r="N80" t="s">
        <v>491</v>
      </c>
      <c r="Q80" s="29" t="s">
        <v>179</v>
      </c>
      <c r="R80" s="29" t="str">
        <f>IFERROR(MID(RADataTable[[#This Row],[RAtemplate]],1,LEN(RADataTable[[#This Row],[RAtemplate]])-8),"RA") &amp; " " &amp; RADataTable[[#This Row],[prop_id0]] &amp; " " &amp; RADataTable[[#This Row],[last0]]</f>
        <v>Std Decline  1755978 Gangammanavar</v>
      </c>
      <c r="U80" s="21" t="str">
        <f>IF(signer1="PD",IF(ISBLANK(RADataTable[[#This Row],[sign_blck_name]]),"",RADataTable[[#This Row],[sign_blck_name]]),IF(ISBLANK(signer1),"",signer1))</f>
        <v>Jack Snoeyink</v>
      </c>
      <c r="V80" s="29" t="str">
        <f t="shared" si="2"/>
        <v>Cognisant Program Director</v>
      </c>
      <c r="W80" s="15" t="str">
        <f>HYPERLINK("https://www.ejacket.nsf.gov/ej/showProposal.do?Continue=Y&amp;ID="&amp;RADataTable[[#This Row],[prop_id0]],"eJ")</f>
        <v>eJ</v>
      </c>
      <c r="X80" s="15" t="str">
        <f>HYPERLINK("mailto:"&amp;RADataTable[[#This Row],[email]]&amp;"&amp;subject=Your NSF Proposal:  "&amp;RADataTable[[#This Row],[Div]]&amp;" "&amp;RADataTable[[#This Row],[prop_id0]], RADataTable[[#This Row],[email]])</f>
        <v>harsha@smu.edu</v>
      </c>
      <c r="Y80" s="15" t="str">
        <f>HYPERLINK("mailto:"&amp;RADataTable[[#This Row],[allPIemail]]&amp;"&amp;subject=NSF Proposal:  "&amp;RADataTable[[#This Row],[Div]]&amp;" "&amp;RADataTable[[#This Row],[prop_id0]], "PIs@")</f>
        <v>PIs@</v>
      </c>
      <c r="Z80" t="s">
        <v>224</v>
      </c>
      <c r="AA80" t="s">
        <v>383</v>
      </c>
      <c r="AB80">
        <v>3</v>
      </c>
      <c r="AC80">
        <v>3</v>
      </c>
      <c r="AD80"/>
      <c r="AE80" s="21">
        <v>3</v>
      </c>
      <c r="AF80" s="26">
        <v>4.666666666666667</v>
      </c>
      <c r="AG80">
        <v>6</v>
      </c>
      <c r="AH80" t="s">
        <v>593</v>
      </c>
      <c r="AI80" s="30">
        <v>43031.75</v>
      </c>
      <c r="AJ80" s="13">
        <v>175000</v>
      </c>
      <c r="AK80" s="13">
        <v>175000</v>
      </c>
      <c r="AL80">
        <v>0</v>
      </c>
      <c r="AM80" s="30">
        <v>43101</v>
      </c>
      <c r="AN80" s="21">
        <v>24</v>
      </c>
      <c r="AO80" s="21" t="s">
        <v>594</v>
      </c>
      <c r="AR80" s="30"/>
      <c r="AS80" t="s">
        <v>616</v>
      </c>
      <c r="AT80" s="21" t="s">
        <v>617</v>
      </c>
      <c r="AU80" s="21">
        <v>5</v>
      </c>
      <c r="AV80" s="21" t="s">
        <v>618</v>
      </c>
      <c r="AW80" s="30">
        <v>43032</v>
      </c>
      <c r="AX80" s="21" t="s">
        <v>680</v>
      </c>
      <c r="AY80" s="21" t="s">
        <v>620</v>
      </c>
      <c r="AZ80" s="21">
        <v>14</v>
      </c>
      <c r="BA80" s="21">
        <v>0</v>
      </c>
      <c r="BF80" s="30"/>
      <c r="BI80" s="21">
        <v>14</v>
      </c>
      <c r="BJ80" s="21">
        <v>0</v>
      </c>
      <c r="BO80" s="30"/>
      <c r="BR80" s="21">
        <v>14</v>
      </c>
      <c r="BS80" s="21">
        <v>0</v>
      </c>
      <c r="BT80" t="s">
        <v>383</v>
      </c>
      <c r="BU80" s="21" t="s">
        <v>589</v>
      </c>
      <c r="BV80" s="21" t="s">
        <v>590</v>
      </c>
      <c r="BW80" s="21" t="s">
        <v>591</v>
      </c>
      <c r="BX80" s="31">
        <v>175000</v>
      </c>
      <c r="BY80" s="31">
        <v>175000</v>
      </c>
      <c r="BZ80" t="s">
        <v>350</v>
      </c>
      <c r="CE80" s="31"/>
      <c r="CF80" s="31"/>
      <c r="CL80" s="31"/>
      <c r="CM80" s="31"/>
      <c r="CS80" s="31"/>
      <c r="CT80" s="31"/>
      <c r="CZ80" s="31"/>
      <c r="DA80" s="31"/>
      <c r="DG80" s="31"/>
      <c r="DH80" s="31"/>
      <c r="DN80" s="31"/>
      <c r="DO80" s="31"/>
      <c r="DQ80" t="s">
        <v>667</v>
      </c>
      <c r="DR80" t="s">
        <v>225</v>
      </c>
      <c r="DS80" t="s">
        <v>668</v>
      </c>
      <c r="DT80" s="29" t="s">
        <v>214</v>
      </c>
      <c r="DU80" t="s">
        <v>175</v>
      </c>
      <c r="DV80" t="s">
        <v>622</v>
      </c>
      <c r="DW80" t="s">
        <v>173</v>
      </c>
      <c r="DX80" t="s">
        <v>170</v>
      </c>
      <c r="DY80" t="s">
        <v>171</v>
      </c>
      <c r="DZ80" s="22">
        <v>43073.921863425923</v>
      </c>
      <c r="EA80" t="s">
        <v>592</v>
      </c>
      <c r="EB80" t="s">
        <v>681</v>
      </c>
    </row>
    <row r="81" spans="1:132" x14ac:dyDescent="0.4">
      <c r="A81" s="30">
        <v>42957.678148148145</v>
      </c>
      <c r="B81" s="22">
        <v>42807.553472222222</v>
      </c>
      <c r="C81" s="22" t="s">
        <v>1136</v>
      </c>
      <c r="D81" s="30" t="s">
        <v>222</v>
      </c>
      <c r="E81" s="30" t="s">
        <v>1137</v>
      </c>
      <c r="F81" s="30" t="s">
        <v>172</v>
      </c>
      <c r="G81" s="30" t="s">
        <v>976</v>
      </c>
      <c r="H81" t="s">
        <v>94</v>
      </c>
      <c r="I81" t="s">
        <v>1135</v>
      </c>
      <c r="J81" t="s">
        <v>406</v>
      </c>
      <c r="K81" s="22">
        <v>42914.640243055554</v>
      </c>
      <c r="L81">
        <v>1</v>
      </c>
      <c r="M81" s="26">
        <v>4.22</v>
      </c>
      <c r="N81" t="s">
        <v>1808</v>
      </c>
      <c r="Q81" s="29" t="s">
        <v>13</v>
      </c>
      <c r="R81" s="29" t="str">
        <f>IFERROR(MID(RADataTable[[#This Row],[RAtemplate]],1,LEN(RADataTable[[#This Row],[RAtemplate]])-8),"RA") &amp; " " &amp; RADataTable[[#This Row],[prop_id0]] &amp; " " &amp; RADataTable[[#This Row],[last0]]</f>
        <v>RA 1740562 Crainiceanu</v>
      </c>
      <c r="U81" s="21" t="str">
        <f>IF(signer1="PD",IF(ISBLANK(RADataTable[[#This Row],[sign_blck_name]]),"",RADataTable[[#This Row],[sign_blck_name]]),IF(ISBLANK(signer1),"",signer1))</f>
        <v>Jack Snoeyink</v>
      </c>
      <c r="V81" s="29" t="str">
        <f t="shared" si="2"/>
        <v>Cognisant Program Director</v>
      </c>
      <c r="W81" s="15" t="str">
        <f>HYPERLINK("https://www.ejacket.nsf.gov/ej/showProposal.do?Continue=Y&amp;ID="&amp;RADataTable[[#This Row],[prop_id0]],"eJ")</f>
        <v>eJ</v>
      </c>
      <c r="X81" s="15" t="str">
        <f>HYPERLINK("mailto:"&amp;RADataTable[[#This Row],[email]]&amp;"&amp;subject=Your NSF Proposal:  "&amp;RADataTable[[#This Row],[Div]]&amp;" "&amp;RADataTable[[#This Row],[prop_id0]], RADataTable[[#This Row],[email]])</f>
        <v>ccraini1@jhu.edu</v>
      </c>
      <c r="Y81" s="15" t="str">
        <f>HYPERLINK("mailto:"&amp;RADataTable[[#This Row],[allPIemail]]&amp;"&amp;subject=NSF Proposal:  "&amp;RADataTable[[#This Row],[Div]]&amp;" "&amp;RADataTable[[#This Row],[prop_id0]], "PIs@")</f>
        <v>PIs@</v>
      </c>
      <c r="Z81" t="s">
        <v>224</v>
      </c>
      <c r="AA81" t="s">
        <v>1144</v>
      </c>
      <c r="AB81">
        <v>3</v>
      </c>
      <c r="AD81"/>
      <c r="AE81" s="21">
        <v>3</v>
      </c>
      <c r="AF81" s="26">
        <v>4.333333333333333</v>
      </c>
      <c r="AG81">
        <v>5</v>
      </c>
      <c r="AH81" t="s">
        <v>1149</v>
      </c>
      <c r="AI81" s="30">
        <v>42872.39166666667</v>
      </c>
      <c r="AJ81" s="13">
        <v>1496103</v>
      </c>
      <c r="AK81" s="13">
        <v>1496103</v>
      </c>
      <c r="AL81">
        <v>0</v>
      </c>
      <c r="AM81" s="30">
        <v>42948</v>
      </c>
      <c r="AN81" s="21">
        <v>36</v>
      </c>
      <c r="AO81" s="21" t="s">
        <v>1150</v>
      </c>
      <c r="AR81" s="30"/>
      <c r="AS81" t="s">
        <v>1789</v>
      </c>
      <c r="AT81" s="21" t="s">
        <v>1807</v>
      </c>
      <c r="AU81" s="21">
        <v>22</v>
      </c>
      <c r="AV81" s="21" t="s">
        <v>2067</v>
      </c>
      <c r="AW81" s="30">
        <v>42872</v>
      </c>
      <c r="AX81" s="21" t="s">
        <v>2072</v>
      </c>
      <c r="AY81" s="21" t="s">
        <v>2068</v>
      </c>
      <c r="AZ81" s="21">
        <v>12</v>
      </c>
      <c r="BA81" s="21">
        <v>0</v>
      </c>
      <c r="BF81" s="30"/>
      <c r="BI81" s="21">
        <v>12</v>
      </c>
      <c r="BJ81" s="21">
        <v>0</v>
      </c>
      <c r="BO81" s="30"/>
      <c r="BR81" s="21">
        <v>12</v>
      </c>
      <c r="BS81" s="21">
        <v>0</v>
      </c>
      <c r="BT81" t="s">
        <v>1144</v>
      </c>
      <c r="BU81" s="21" t="s">
        <v>1146</v>
      </c>
      <c r="BV81" s="21" t="s">
        <v>1147</v>
      </c>
      <c r="BW81" s="21" t="s">
        <v>495</v>
      </c>
      <c r="BX81" s="31">
        <v>748969</v>
      </c>
      <c r="BY81" s="31">
        <v>748969</v>
      </c>
      <c r="BZ81" t="s">
        <v>1142</v>
      </c>
      <c r="CA81" s="21" t="s">
        <v>1151</v>
      </c>
      <c r="CB81" s="21" t="s">
        <v>1152</v>
      </c>
      <c r="CC81" s="21" t="s">
        <v>1153</v>
      </c>
      <c r="CD81" s="21" t="s">
        <v>1154</v>
      </c>
      <c r="CE81" s="31">
        <v>374812</v>
      </c>
      <c r="CF81" s="31">
        <v>374812</v>
      </c>
      <c r="CG81" t="s">
        <v>1156</v>
      </c>
      <c r="CH81" s="21" t="s">
        <v>1157</v>
      </c>
      <c r="CI81" s="21" t="s">
        <v>1158</v>
      </c>
      <c r="CJ81" s="21" t="s">
        <v>1159</v>
      </c>
      <c r="CK81" s="21" t="s">
        <v>1160</v>
      </c>
      <c r="CL81" s="31">
        <v>372322</v>
      </c>
      <c r="CM81" s="31">
        <v>372322</v>
      </c>
      <c r="CN81" t="s">
        <v>1162</v>
      </c>
      <c r="CS81" s="31"/>
      <c r="CT81" s="31"/>
      <c r="CZ81" s="31"/>
      <c r="DA81" s="31"/>
      <c r="DG81" s="31"/>
      <c r="DH81" s="31"/>
      <c r="DN81" s="31"/>
      <c r="DO81" s="31"/>
      <c r="DQ81" t="s">
        <v>2069</v>
      </c>
      <c r="DR81" t="s">
        <v>225</v>
      </c>
      <c r="DS81" t="s">
        <v>2070</v>
      </c>
      <c r="DT81" s="29" t="s">
        <v>214</v>
      </c>
      <c r="DU81" t="s">
        <v>973</v>
      </c>
      <c r="DV81" t="s">
        <v>622</v>
      </c>
      <c r="DW81" t="s">
        <v>173</v>
      </c>
      <c r="DX81" t="s">
        <v>170</v>
      </c>
      <c r="DY81" t="s">
        <v>171</v>
      </c>
      <c r="DZ81" s="22">
        <v>43073.921863425923</v>
      </c>
      <c r="EA81" t="s">
        <v>1148</v>
      </c>
      <c r="EB81" t="s">
        <v>2073</v>
      </c>
    </row>
    <row r="82" spans="1:132" x14ac:dyDescent="0.4">
      <c r="A82" s="30">
        <v>42955.353391203702</v>
      </c>
      <c r="B82" s="22">
        <v>42807.602777777778</v>
      </c>
      <c r="C82" s="22" t="s">
        <v>1136</v>
      </c>
      <c r="D82" s="30" t="s">
        <v>222</v>
      </c>
      <c r="E82" s="30" t="s">
        <v>1137</v>
      </c>
      <c r="F82" s="30" t="s">
        <v>172</v>
      </c>
      <c r="G82" s="30" t="s">
        <v>976</v>
      </c>
      <c r="H82" t="s">
        <v>94</v>
      </c>
      <c r="I82" t="s">
        <v>1135</v>
      </c>
      <c r="J82" t="s">
        <v>451</v>
      </c>
      <c r="K82" s="22">
        <v>42951.514120370368</v>
      </c>
      <c r="L82">
        <v>1</v>
      </c>
      <c r="M82" s="26">
        <v>4.22</v>
      </c>
      <c r="N82" t="s">
        <v>1808</v>
      </c>
      <c r="Q82" s="29" t="s">
        <v>13</v>
      </c>
      <c r="R82" s="29" t="str">
        <f>IFERROR(MID(RADataTable[[#This Row],[RAtemplate]],1,LEN(RADataTable[[#This Row],[RAtemplate]])-8),"RA") &amp; " " &amp; RADataTable[[#This Row],[prop_id0]] &amp; " " &amp; RADataTable[[#This Row],[last0]]</f>
        <v>RA 1740576 Sellers</v>
      </c>
      <c r="U82" s="21" t="str">
        <f>IF(signer1="PD",IF(ISBLANK(RADataTable[[#This Row],[sign_blck_name]]),"",RADataTable[[#This Row],[sign_blck_name]]),IF(ISBLANK(signer1),"",signer1))</f>
        <v>Tracy J. Kimbrel</v>
      </c>
      <c r="V82" s="29" t="str">
        <f t="shared" si="2"/>
        <v>Cognisant Program Director</v>
      </c>
      <c r="W82" s="15" t="str">
        <f>HYPERLINK("https://www.ejacket.nsf.gov/ej/showProposal.do?Continue=Y&amp;ID="&amp;RADataTable[[#This Row],[prop_id0]],"eJ")</f>
        <v>eJ</v>
      </c>
      <c r="X82" s="15" t="str">
        <f>HYPERLINK("mailto:"&amp;RADataTable[[#This Row],[email]]&amp;"&amp;subject=Your NSF Proposal:  "&amp;RADataTable[[#This Row],[Div]]&amp;" "&amp;RADataTable[[#This Row],[prop_id0]], RADataTable[[#This Row],[email]])</f>
        <v>kfs7@georgetown.edu</v>
      </c>
      <c r="Y82" s="15" t="str">
        <f>HYPERLINK("mailto:"&amp;RADataTable[[#This Row],[allPIemail]]&amp;"&amp;subject=NSF Proposal:  "&amp;RADataTable[[#This Row],[Div]]&amp;" "&amp;RADataTable[[#This Row],[prop_id0]], "PIs@")</f>
        <v>PIs@</v>
      </c>
      <c r="Z82" t="s">
        <v>224</v>
      </c>
      <c r="AA82" t="s">
        <v>1163</v>
      </c>
      <c r="AB82">
        <v>3</v>
      </c>
      <c r="AD82"/>
      <c r="AE82" s="21">
        <v>3</v>
      </c>
      <c r="AF82" s="26">
        <v>3.6666666666666665</v>
      </c>
      <c r="AG82">
        <v>5</v>
      </c>
      <c r="AH82" t="s">
        <v>1169</v>
      </c>
      <c r="AI82" s="30">
        <v>42872.458333333336</v>
      </c>
      <c r="AJ82" s="13">
        <v>1500000</v>
      </c>
      <c r="AK82" s="13">
        <v>1500000</v>
      </c>
      <c r="AL82">
        <v>0</v>
      </c>
      <c r="AM82" s="30">
        <v>42979</v>
      </c>
      <c r="AN82" s="21">
        <v>36</v>
      </c>
      <c r="AO82" s="21" t="s">
        <v>1170</v>
      </c>
      <c r="AR82" s="30"/>
      <c r="AS82" t="s">
        <v>1789</v>
      </c>
      <c r="AT82" s="21" t="s">
        <v>1807</v>
      </c>
      <c r="AU82" s="21">
        <v>22</v>
      </c>
      <c r="AV82" s="21" t="s">
        <v>2067</v>
      </c>
      <c r="AW82" s="30">
        <v>42872</v>
      </c>
      <c r="AX82" s="21" t="s">
        <v>2074</v>
      </c>
      <c r="AY82" s="21" t="s">
        <v>2068</v>
      </c>
      <c r="AZ82" s="21">
        <v>12</v>
      </c>
      <c r="BA82" s="21">
        <v>0</v>
      </c>
      <c r="BF82" s="30"/>
      <c r="BI82" s="21">
        <v>12</v>
      </c>
      <c r="BJ82" s="21">
        <v>0</v>
      </c>
      <c r="BO82" s="30"/>
      <c r="BR82" s="21">
        <v>12</v>
      </c>
      <c r="BS82" s="21">
        <v>0</v>
      </c>
      <c r="BT82" t="s">
        <v>1163</v>
      </c>
      <c r="BU82" s="21" t="s">
        <v>1164</v>
      </c>
      <c r="BV82" s="21" t="s">
        <v>1165</v>
      </c>
      <c r="BW82" s="21" t="s">
        <v>1166</v>
      </c>
      <c r="BX82" s="31">
        <v>1221000</v>
      </c>
      <c r="BY82" s="31">
        <v>1221000</v>
      </c>
      <c r="BZ82" t="s">
        <v>1142</v>
      </c>
      <c r="CA82" s="21" t="s">
        <v>1171</v>
      </c>
      <c r="CB82" s="21" t="s">
        <v>1172</v>
      </c>
      <c r="CC82" s="21" t="s">
        <v>1173</v>
      </c>
      <c r="CD82" s="21" t="s">
        <v>1174</v>
      </c>
      <c r="CE82" s="31">
        <v>279000</v>
      </c>
      <c r="CF82" s="31">
        <v>279000</v>
      </c>
      <c r="CG82" t="s">
        <v>1176</v>
      </c>
      <c r="CL82" s="31"/>
      <c r="CM82" s="31"/>
      <c r="CS82" s="31"/>
      <c r="CT82" s="31"/>
      <c r="CZ82" s="31"/>
      <c r="DA82" s="31"/>
      <c r="DG82" s="31"/>
      <c r="DH82" s="31"/>
      <c r="DN82" s="31"/>
      <c r="DO82" s="31"/>
      <c r="DQ82" t="s">
        <v>2069</v>
      </c>
      <c r="DR82" t="s">
        <v>225</v>
      </c>
      <c r="DS82" t="s">
        <v>2070</v>
      </c>
      <c r="DT82" s="29" t="s">
        <v>638</v>
      </c>
      <c r="DU82" t="s">
        <v>973</v>
      </c>
      <c r="DV82" t="s">
        <v>622</v>
      </c>
      <c r="DW82" t="s">
        <v>173</v>
      </c>
      <c r="DX82" t="s">
        <v>170</v>
      </c>
      <c r="DY82" t="s">
        <v>171</v>
      </c>
      <c r="DZ82" s="22">
        <v>43073.921863425923</v>
      </c>
      <c r="EA82" t="s">
        <v>1168</v>
      </c>
      <c r="EB82" t="s">
        <v>2075</v>
      </c>
    </row>
    <row r="83" spans="1:132" x14ac:dyDescent="0.4">
      <c r="A83" s="30">
        <v>42955.353842592594</v>
      </c>
      <c r="B83" s="22">
        <v>42807.683333333334</v>
      </c>
      <c r="C83" s="22" t="s">
        <v>1136</v>
      </c>
      <c r="D83" s="30" t="s">
        <v>222</v>
      </c>
      <c r="E83" s="30" t="s">
        <v>1137</v>
      </c>
      <c r="F83" s="30" t="s">
        <v>172</v>
      </c>
      <c r="G83" s="30" t="s">
        <v>976</v>
      </c>
      <c r="H83" t="s">
        <v>94</v>
      </c>
      <c r="I83" t="s">
        <v>1135</v>
      </c>
      <c r="J83" t="s">
        <v>451</v>
      </c>
      <c r="K83" s="22">
        <v>42951.518680555557</v>
      </c>
      <c r="L83">
        <v>1</v>
      </c>
      <c r="M83" s="26">
        <v>4.22</v>
      </c>
      <c r="N83" t="s">
        <v>1808</v>
      </c>
      <c r="Q83" s="29" t="s">
        <v>13</v>
      </c>
      <c r="R83" s="29" t="str">
        <f>IFERROR(MID(RADataTable[[#This Row],[RAtemplate]],1,LEN(RADataTable[[#This Row],[RAtemplate]])-8),"RA") &amp; " " &amp; RADataTable[[#This Row],[prop_id0]] &amp; " " &amp; RADataTable[[#This Row],[last0]]</f>
        <v>RA 1740605 Ravishanker</v>
      </c>
      <c r="U83" s="21" t="str">
        <f>IF(signer1="PD",IF(ISBLANK(RADataTable[[#This Row],[sign_blck_name]]),"",RADataTable[[#This Row],[sign_blck_name]]),IF(ISBLANK(signer1),"",signer1))</f>
        <v>Tracy J. Kimbrel</v>
      </c>
      <c r="V83" s="29" t="str">
        <f t="shared" si="2"/>
        <v>Cognisant Program Director</v>
      </c>
      <c r="W83" s="15" t="str">
        <f>HYPERLINK("https://www.ejacket.nsf.gov/ej/showProposal.do?Continue=Y&amp;ID="&amp;RADataTable[[#This Row],[prop_id0]],"eJ")</f>
        <v>eJ</v>
      </c>
      <c r="X83" s="15" t="str">
        <f>HYPERLINK("mailto:"&amp;RADataTable[[#This Row],[email]]&amp;"&amp;subject=Your NSF Proposal:  "&amp;RADataTable[[#This Row],[Div]]&amp;" "&amp;RADataTable[[#This Row],[prop_id0]], RADataTable[[#This Row],[email]])</f>
        <v>nalini.ravishanker@uconn.edu</v>
      </c>
      <c r="Y83" s="15" t="str">
        <f>HYPERLINK("mailto:"&amp;RADataTable[[#This Row],[allPIemail]]&amp;"&amp;subject=NSF Proposal:  "&amp;RADataTable[[#This Row],[Div]]&amp;" "&amp;RADataTable[[#This Row],[prop_id0]], "PIs@")</f>
        <v>PIs@</v>
      </c>
      <c r="Z83" t="s">
        <v>224</v>
      </c>
      <c r="AA83" t="s">
        <v>1177</v>
      </c>
      <c r="AB83">
        <v>3</v>
      </c>
      <c r="AD83"/>
      <c r="AE83" s="21">
        <v>4</v>
      </c>
      <c r="AF83" s="26">
        <v>4.666666666666667</v>
      </c>
      <c r="AG83">
        <v>5</v>
      </c>
      <c r="AH83" t="s">
        <v>1181</v>
      </c>
      <c r="AI83" s="30">
        <v>42871.922222222223</v>
      </c>
      <c r="AJ83" s="13">
        <v>1424045</v>
      </c>
      <c r="AK83" s="13">
        <v>1424045</v>
      </c>
      <c r="AL83">
        <v>0</v>
      </c>
      <c r="AM83" s="30">
        <v>42979</v>
      </c>
      <c r="AN83" s="21">
        <v>36</v>
      </c>
      <c r="AO83" s="21" t="s">
        <v>1182</v>
      </c>
      <c r="AR83" s="30"/>
      <c r="AS83" t="s">
        <v>1789</v>
      </c>
      <c r="AT83" s="21" t="s">
        <v>1807</v>
      </c>
      <c r="AU83" s="21">
        <v>22</v>
      </c>
      <c r="AV83" s="21" t="s">
        <v>2067</v>
      </c>
      <c r="AW83" s="30">
        <v>42872</v>
      </c>
      <c r="AX83" s="21" t="s">
        <v>2054</v>
      </c>
      <c r="AY83" s="21" t="s">
        <v>2068</v>
      </c>
      <c r="AZ83" s="21">
        <v>12</v>
      </c>
      <c r="BA83" s="21">
        <v>0</v>
      </c>
      <c r="BF83" s="30"/>
      <c r="BI83" s="21">
        <v>12</v>
      </c>
      <c r="BJ83" s="21">
        <v>0</v>
      </c>
      <c r="BO83" s="30"/>
      <c r="BR83" s="21">
        <v>12</v>
      </c>
      <c r="BS83" s="21">
        <v>0</v>
      </c>
      <c r="BT83" t="s">
        <v>1177</v>
      </c>
      <c r="BU83" s="21" t="s">
        <v>1178</v>
      </c>
      <c r="BV83" s="21" t="s">
        <v>1179</v>
      </c>
      <c r="BW83" s="21" t="s">
        <v>1052</v>
      </c>
      <c r="BX83" s="31">
        <v>825000</v>
      </c>
      <c r="BY83" s="31">
        <v>825000</v>
      </c>
      <c r="BZ83" t="s">
        <v>1142</v>
      </c>
      <c r="CA83" s="21" t="s">
        <v>1183</v>
      </c>
      <c r="CB83" s="21" t="s">
        <v>1184</v>
      </c>
      <c r="CC83" s="21" t="s">
        <v>1185</v>
      </c>
      <c r="CD83" s="21" t="s">
        <v>1186</v>
      </c>
      <c r="CE83" s="31">
        <v>224999</v>
      </c>
      <c r="CF83" s="31">
        <v>224999</v>
      </c>
      <c r="CG83" t="s">
        <v>1142</v>
      </c>
      <c r="CH83" s="21" t="s">
        <v>1189</v>
      </c>
      <c r="CI83" s="21" t="s">
        <v>1190</v>
      </c>
      <c r="CJ83" s="21" t="s">
        <v>273</v>
      </c>
      <c r="CK83" s="21" t="s">
        <v>1075</v>
      </c>
      <c r="CL83" s="31">
        <v>374046</v>
      </c>
      <c r="CM83" s="31">
        <v>374046</v>
      </c>
      <c r="CN83" t="s">
        <v>1176</v>
      </c>
      <c r="CS83" s="31"/>
      <c r="CT83" s="31"/>
      <c r="CZ83" s="31"/>
      <c r="DA83" s="31"/>
      <c r="DG83" s="31"/>
      <c r="DH83" s="31"/>
      <c r="DN83" s="31"/>
      <c r="DO83" s="31"/>
      <c r="DQ83" t="s">
        <v>2069</v>
      </c>
      <c r="DR83" t="s">
        <v>225</v>
      </c>
      <c r="DS83" t="s">
        <v>2070</v>
      </c>
      <c r="DT83" s="29" t="s">
        <v>638</v>
      </c>
      <c r="DU83" t="s">
        <v>973</v>
      </c>
      <c r="DV83" t="s">
        <v>622</v>
      </c>
      <c r="DW83" t="s">
        <v>173</v>
      </c>
      <c r="DX83" t="s">
        <v>170</v>
      </c>
      <c r="DY83" t="s">
        <v>171</v>
      </c>
      <c r="DZ83" s="22">
        <v>43073.921863425923</v>
      </c>
      <c r="EA83" t="s">
        <v>1180</v>
      </c>
      <c r="EB83" t="s">
        <v>2076</v>
      </c>
    </row>
    <row r="84" spans="1:132" x14ac:dyDescent="0.4">
      <c r="A84" s="30">
        <v>42955.686261574076</v>
      </c>
      <c r="B84" s="22">
        <v>42809.441666666666</v>
      </c>
      <c r="C84" s="22" t="s">
        <v>1136</v>
      </c>
      <c r="D84" s="30" t="s">
        <v>222</v>
      </c>
      <c r="E84" s="30" t="s">
        <v>1137</v>
      </c>
      <c r="F84" s="30" t="s">
        <v>172</v>
      </c>
      <c r="G84" s="30" t="s">
        <v>976</v>
      </c>
      <c r="H84" t="s">
        <v>94</v>
      </c>
      <c r="I84" t="s">
        <v>1135</v>
      </c>
      <c r="J84" t="s">
        <v>406</v>
      </c>
      <c r="K84" s="22">
        <v>42914.640416666669</v>
      </c>
      <c r="L84">
        <v>1</v>
      </c>
      <c r="M84" s="26">
        <v>4.22</v>
      </c>
      <c r="N84" t="s">
        <v>1808</v>
      </c>
      <c r="Q84" s="29" t="s">
        <v>13</v>
      </c>
      <c r="R84" s="29" t="str">
        <f>IFERROR(MID(RADataTable[[#This Row],[RAtemplate]],1,LEN(RADataTable[[#This Row],[RAtemplate]])-8),"RA") &amp; " " &amp; RADataTable[[#This Row],[prop_id0]] &amp; " " &amp; RADataTable[[#This Row],[last0]]</f>
        <v>RA 1740736 Daniels</v>
      </c>
      <c r="U84" s="21" t="str">
        <f>IF(signer1="PD",IF(ISBLANK(RADataTable[[#This Row],[sign_blck_name]]),"",RADataTable[[#This Row],[sign_blck_name]]),IF(ISBLANK(signer1),"",signer1))</f>
        <v>Jack Snoeyink</v>
      </c>
      <c r="V84" s="29" t="str">
        <f t="shared" si="2"/>
        <v>Cognisant Program Director</v>
      </c>
      <c r="W84" s="15" t="str">
        <f>HYPERLINK("https://www.ejacket.nsf.gov/ej/showProposal.do?Continue=Y&amp;ID="&amp;RADataTable[[#This Row],[prop_id0]],"eJ")</f>
        <v>eJ</v>
      </c>
      <c r="X84" s="15" t="str">
        <f>HYPERLINK("mailto:"&amp;RADataTable[[#This Row],[email]]&amp;"&amp;subject=Your NSF Proposal:  "&amp;RADataTable[[#This Row],[Div]]&amp;" "&amp;RADataTable[[#This Row],[prop_id0]], RADataTable[[#This Row],[email]])</f>
        <v>noah_daniels@uri.edu</v>
      </c>
      <c r="Y84" s="15" t="str">
        <f>HYPERLINK("mailto:"&amp;RADataTable[[#This Row],[allPIemail]]&amp;"&amp;subject=NSF Proposal:  "&amp;RADataTable[[#This Row],[Div]]&amp;" "&amp;RADataTable[[#This Row],[prop_id0]], "PIs@")</f>
        <v>PIs@</v>
      </c>
      <c r="Z84" t="s">
        <v>224</v>
      </c>
      <c r="AA84" t="s">
        <v>1192</v>
      </c>
      <c r="AB84">
        <v>3</v>
      </c>
      <c r="AD84"/>
      <c r="AE84" s="21">
        <v>1</v>
      </c>
      <c r="AF84" s="26">
        <v>1.6666666666666667</v>
      </c>
      <c r="AG84">
        <v>3</v>
      </c>
      <c r="AH84" t="s">
        <v>1197</v>
      </c>
      <c r="AI84" s="30">
        <v>42872.461111111108</v>
      </c>
      <c r="AJ84" s="13">
        <v>1319163</v>
      </c>
      <c r="AK84" s="13">
        <v>1319163</v>
      </c>
      <c r="AL84">
        <v>0</v>
      </c>
      <c r="AM84" s="30">
        <v>42979</v>
      </c>
      <c r="AN84" s="21">
        <v>36</v>
      </c>
      <c r="AO84" s="21" t="s">
        <v>1198</v>
      </c>
      <c r="AR84" s="30"/>
      <c r="AS84" t="s">
        <v>1789</v>
      </c>
      <c r="AT84" s="21" t="s">
        <v>1807</v>
      </c>
      <c r="AU84" s="21">
        <v>22</v>
      </c>
      <c r="AV84" s="21" t="s">
        <v>2067</v>
      </c>
      <c r="AW84" s="30">
        <v>42872</v>
      </c>
      <c r="AX84" s="21" t="s">
        <v>2077</v>
      </c>
      <c r="AY84" s="21" t="s">
        <v>2068</v>
      </c>
      <c r="AZ84" s="21">
        <v>12</v>
      </c>
      <c r="BA84" s="21">
        <v>0</v>
      </c>
      <c r="BF84" s="30"/>
      <c r="BI84" s="21">
        <v>12</v>
      </c>
      <c r="BJ84" s="21">
        <v>0</v>
      </c>
      <c r="BO84" s="30"/>
      <c r="BR84" s="21">
        <v>12</v>
      </c>
      <c r="BS84" s="21">
        <v>0</v>
      </c>
      <c r="BT84" t="s">
        <v>1192</v>
      </c>
      <c r="BU84" s="21" t="s">
        <v>1193</v>
      </c>
      <c r="BV84" s="21" t="s">
        <v>1194</v>
      </c>
      <c r="BW84" s="21" t="s">
        <v>1195</v>
      </c>
      <c r="BX84" s="31">
        <v>1319163</v>
      </c>
      <c r="BY84" s="31">
        <v>1319163</v>
      </c>
      <c r="BZ84" t="s">
        <v>1156</v>
      </c>
      <c r="CE84" s="31"/>
      <c r="CF84" s="31"/>
      <c r="CL84" s="31"/>
      <c r="CM84" s="31"/>
      <c r="CS84" s="31"/>
      <c r="CT84" s="31"/>
      <c r="CZ84" s="31"/>
      <c r="DA84" s="31"/>
      <c r="DG84" s="31"/>
      <c r="DH84" s="31"/>
      <c r="DN84" s="31"/>
      <c r="DO84" s="31"/>
      <c r="DQ84" t="s">
        <v>2069</v>
      </c>
      <c r="DR84" t="s">
        <v>225</v>
      </c>
      <c r="DS84" t="s">
        <v>2070</v>
      </c>
      <c r="DT84" s="29" t="s">
        <v>214</v>
      </c>
      <c r="DU84" t="s">
        <v>973</v>
      </c>
      <c r="DV84" t="s">
        <v>622</v>
      </c>
      <c r="DW84" t="s">
        <v>173</v>
      </c>
      <c r="DX84" t="s">
        <v>170</v>
      </c>
      <c r="DY84" t="s">
        <v>171</v>
      </c>
      <c r="DZ84" s="22">
        <v>43073.921863425923</v>
      </c>
      <c r="EA84" t="s">
        <v>1196</v>
      </c>
      <c r="EB84" t="s">
        <v>2078</v>
      </c>
    </row>
    <row r="85" spans="1:132" x14ac:dyDescent="0.4">
      <c r="A85" s="30">
        <v>42955.725289351853</v>
      </c>
      <c r="B85" s="22">
        <v>42809.494444444441</v>
      </c>
      <c r="C85" s="22" t="s">
        <v>1136</v>
      </c>
      <c r="D85" s="30" t="s">
        <v>222</v>
      </c>
      <c r="E85" s="30" t="s">
        <v>1137</v>
      </c>
      <c r="F85" s="30" t="s">
        <v>172</v>
      </c>
      <c r="G85" s="30" t="s">
        <v>976</v>
      </c>
      <c r="H85" t="s">
        <v>94</v>
      </c>
      <c r="I85" t="s">
        <v>1135</v>
      </c>
      <c r="J85" t="s">
        <v>406</v>
      </c>
      <c r="K85" s="22">
        <v>42914.640474537038</v>
      </c>
      <c r="L85">
        <v>1</v>
      </c>
      <c r="M85" s="26">
        <v>4.22</v>
      </c>
      <c r="N85" t="s">
        <v>1808</v>
      </c>
      <c r="Q85" s="29" t="s">
        <v>13</v>
      </c>
      <c r="R85" s="29" t="str">
        <f>IFERROR(MID(RADataTable[[#This Row],[RAtemplate]],1,LEN(RADataTable[[#This Row],[RAtemplate]])-8),"RA") &amp; " " &amp; RADataTable[[#This Row],[prop_id0]] &amp; " " &amp; RADataTable[[#This Row],[last0]]</f>
        <v>RA 1740748 Edelman</v>
      </c>
      <c r="U85" s="21" t="str">
        <f>IF(signer1="PD",IF(ISBLANK(RADataTable[[#This Row],[sign_blck_name]]),"",RADataTable[[#This Row],[sign_blck_name]]),IF(ISBLANK(signer1),"",signer1))</f>
        <v>Jack Snoeyink</v>
      </c>
      <c r="V85" s="29" t="str">
        <f t="shared" si="2"/>
        <v>Cognisant Program Director</v>
      </c>
      <c r="W85" s="15" t="str">
        <f>HYPERLINK("https://www.ejacket.nsf.gov/ej/showProposal.do?Continue=Y&amp;ID="&amp;RADataTable[[#This Row],[prop_id0]],"eJ")</f>
        <v>eJ</v>
      </c>
      <c r="X85" s="15" t="str">
        <f>HYPERLINK("mailto:"&amp;RADataTable[[#This Row],[email]]&amp;"&amp;subject=Your NSF Proposal:  "&amp;RADataTable[[#This Row],[Div]]&amp;" "&amp;RADataTable[[#This Row],[prop_id0]], RADataTable[[#This Row],[email]])</f>
        <v>EDELMAN@MATH.MIT.EDU</v>
      </c>
      <c r="Y85" s="15" t="str">
        <f>HYPERLINK("mailto:"&amp;RADataTable[[#This Row],[allPIemail]]&amp;"&amp;subject=NSF Proposal:  "&amp;RADataTable[[#This Row],[Div]]&amp;" "&amp;RADataTable[[#This Row],[prop_id0]], "PIs@")</f>
        <v>PIs@</v>
      </c>
      <c r="Z85" t="s">
        <v>224</v>
      </c>
      <c r="AA85" t="s">
        <v>1207</v>
      </c>
      <c r="AB85">
        <v>3</v>
      </c>
      <c r="AD85"/>
      <c r="AE85" s="21">
        <v>3</v>
      </c>
      <c r="AF85" s="26">
        <v>4.333333333333333</v>
      </c>
      <c r="AG85">
        <v>5</v>
      </c>
      <c r="AH85" t="s">
        <v>1149</v>
      </c>
      <c r="AI85" s="30">
        <v>42871.874305555553</v>
      </c>
      <c r="AJ85" s="13">
        <v>1488059</v>
      </c>
      <c r="AK85" s="13">
        <v>1488059</v>
      </c>
      <c r="AL85">
        <v>1</v>
      </c>
      <c r="AM85" s="30">
        <v>43009</v>
      </c>
      <c r="AN85" s="21">
        <v>36</v>
      </c>
      <c r="AO85" s="21" t="s">
        <v>1211</v>
      </c>
      <c r="AR85" s="30"/>
      <c r="AS85" t="s">
        <v>1789</v>
      </c>
      <c r="AT85" s="21" t="s">
        <v>1807</v>
      </c>
      <c r="AU85" s="21">
        <v>22</v>
      </c>
      <c r="AV85" s="21" t="s">
        <v>2067</v>
      </c>
      <c r="AW85" s="30">
        <v>42872</v>
      </c>
      <c r="AX85" s="21" t="s">
        <v>2072</v>
      </c>
      <c r="AY85" s="21" t="s">
        <v>2068</v>
      </c>
      <c r="AZ85" s="21">
        <v>12</v>
      </c>
      <c r="BA85" s="21">
        <v>0</v>
      </c>
      <c r="BF85" s="30"/>
      <c r="BI85" s="21">
        <v>12</v>
      </c>
      <c r="BJ85" s="21">
        <v>0</v>
      </c>
      <c r="BO85" s="30"/>
      <c r="BR85" s="21">
        <v>12</v>
      </c>
      <c r="BS85" s="21">
        <v>0</v>
      </c>
      <c r="BT85" t="s">
        <v>1207</v>
      </c>
      <c r="BU85" s="21" t="s">
        <v>1208</v>
      </c>
      <c r="BV85" s="21" t="s">
        <v>1209</v>
      </c>
      <c r="BW85" s="21" t="s">
        <v>223</v>
      </c>
      <c r="BX85" s="31">
        <v>600000</v>
      </c>
      <c r="BY85" s="31">
        <v>600000</v>
      </c>
      <c r="BZ85" t="s">
        <v>1142</v>
      </c>
      <c r="CA85" s="21" t="s">
        <v>1212</v>
      </c>
      <c r="CB85" s="21" t="s">
        <v>1213</v>
      </c>
      <c r="CC85" s="21" t="s">
        <v>1214</v>
      </c>
      <c r="CD85" s="21" t="s">
        <v>1215</v>
      </c>
      <c r="CE85" s="31">
        <v>450000</v>
      </c>
      <c r="CF85" s="31">
        <v>450000</v>
      </c>
      <c r="CG85" t="s">
        <v>1142</v>
      </c>
      <c r="CH85" s="21" t="s">
        <v>1217</v>
      </c>
      <c r="CI85" s="21" t="s">
        <v>1218</v>
      </c>
      <c r="CJ85" s="21" t="s">
        <v>1219</v>
      </c>
      <c r="CK85" s="21" t="s">
        <v>1220</v>
      </c>
      <c r="CL85" s="31">
        <v>438059</v>
      </c>
      <c r="CM85" s="31">
        <v>438059</v>
      </c>
      <c r="CN85" t="s">
        <v>1142</v>
      </c>
      <c r="CS85" s="31"/>
      <c r="CT85" s="31"/>
      <c r="CZ85" s="31"/>
      <c r="DA85" s="31"/>
      <c r="DG85" s="31"/>
      <c r="DH85" s="31"/>
      <c r="DN85" s="31"/>
      <c r="DO85" s="31"/>
      <c r="DQ85" t="s">
        <v>2069</v>
      </c>
      <c r="DR85" t="s">
        <v>225</v>
      </c>
      <c r="DS85" t="s">
        <v>2070</v>
      </c>
      <c r="DT85" s="29" t="s">
        <v>214</v>
      </c>
      <c r="DU85" t="s">
        <v>973</v>
      </c>
      <c r="DV85" t="s">
        <v>622</v>
      </c>
      <c r="DW85" t="s">
        <v>173</v>
      </c>
      <c r="DX85" t="s">
        <v>170</v>
      </c>
      <c r="DY85" t="s">
        <v>171</v>
      </c>
      <c r="DZ85" s="22">
        <v>43073.921863425923</v>
      </c>
      <c r="EA85" t="s">
        <v>1210</v>
      </c>
      <c r="EB85" t="s">
        <v>2081</v>
      </c>
    </row>
    <row r="86" spans="1:132" x14ac:dyDescent="0.4">
      <c r="A86" s="30">
        <v>42955.695937500001</v>
      </c>
      <c r="B86" s="22">
        <v>42809.513194444444</v>
      </c>
      <c r="C86" s="22" t="s">
        <v>1136</v>
      </c>
      <c r="D86" s="30" t="s">
        <v>222</v>
      </c>
      <c r="E86" s="30" t="s">
        <v>1137</v>
      </c>
      <c r="F86" s="30" t="s">
        <v>172</v>
      </c>
      <c r="G86" s="30" t="s">
        <v>976</v>
      </c>
      <c r="H86" t="s">
        <v>94</v>
      </c>
      <c r="I86" t="s">
        <v>1135</v>
      </c>
      <c r="J86" t="s">
        <v>406</v>
      </c>
      <c r="K86" s="22">
        <v>42914.640543981484</v>
      </c>
      <c r="L86">
        <v>1</v>
      </c>
      <c r="M86" s="26">
        <v>4.22</v>
      </c>
      <c r="N86" t="s">
        <v>1808</v>
      </c>
      <c r="Q86" s="29" t="s">
        <v>13</v>
      </c>
      <c r="R86" s="29" t="str">
        <f>IFERROR(MID(RADataTable[[#This Row],[RAtemplate]],1,LEN(RADataTable[[#This Row],[RAtemplate]])-8),"RA") &amp; " " &amp; RADataTable[[#This Row],[prop_id0]] &amp; " " &amp; RADataTable[[#This Row],[last0]]</f>
        <v>RA 1740752 Davison</v>
      </c>
      <c r="U86" s="21" t="str">
        <f>IF(signer1="PD",IF(ISBLANK(RADataTable[[#This Row],[sign_blck_name]]),"",RADataTable[[#This Row],[sign_blck_name]]),IF(ISBLANK(signer1),"",signer1))</f>
        <v>Jack Snoeyink</v>
      </c>
      <c r="V86" s="29" t="str">
        <f t="shared" si="2"/>
        <v>Cognisant Program Director</v>
      </c>
      <c r="W86" s="15" t="str">
        <f>HYPERLINK("https://www.ejacket.nsf.gov/ej/showProposal.do?Continue=Y&amp;ID="&amp;RADataTable[[#This Row],[prop_id0]],"eJ")</f>
        <v>eJ</v>
      </c>
      <c r="X86" s="15" t="str">
        <f>HYPERLINK("mailto:"&amp;RADataTable[[#This Row],[email]]&amp;"&amp;subject=Your NSF Proposal:  "&amp;RADataTable[[#This Row],[Div]]&amp;" "&amp;RADataTable[[#This Row],[prop_id0]], RADataTable[[#This Row],[email]])</f>
        <v>brian@cse.lehigh.edu</v>
      </c>
      <c r="Y86" s="15" t="str">
        <f>HYPERLINK("mailto:"&amp;RADataTable[[#This Row],[allPIemail]]&amp;"&amp;subject=NSF Proposal:  "&amp;RADataTable[[#This Row],[Div]]&amp;" "&amp;RADataTable[[#This Row],[prop_id0]], "PIs@")</f>
        <v>PIs@</v>
      </c>
      <c r="Z86" t="s">
        <v>224</v>
      </c>
      <c r="AA86" t="s">
        <v>1228</v>
      </c>
      <c r="AB86">
        <v>3</v>
      </c>
      <c r="AD86"/>
      <c r="AE86" s="21">
        <v>3</v>
      </c>
      <c r="AF86" s="26">
        <v>3.6666666666666665</v>
      </c>
      <c r="AG86">
        <v>4</v>
      </c>
      <c r="AH86" t="s">
        <v>1233</v>
      </c>
      <c r="AI86" s="30">
        <v>42870.936111111114</v>
      </c>
      <c r="AJ86" s="13">
        <v>1499915</v>
      </c>
      <c r="AK86" s="13">
        <v>1499915</v>
      </c>
      <c r="AL86">
        <v>0</v>
      </c>
      <c r="AM86" s="30">
        <v>43009</v>
      </c>
      <c r="AN86" s="21">
        <v>36</v>
      </c>
      <c r="AO86" s="21" t="s">
        <v>1234</v>
      </c>
      <c r="AR86" s="30"/>
      <c r="AS86" t="s">
        <v>1789</v>
      </c>
      <c r="AT86" s="21" t="s">
        <v>1807</v>
      </c>
      <c r="AU86" s="21">
        <v>22</v>
      </c>
      <c r="AV86" s="21" t="s">
        <v>2067</v>
      </c>
      <c r="AW86" s="30">
        <v>42872</v>
      </c>
      <c r="AX86" s="21" t="s">
        <v>2083</v>
      </c>
      <c r="AY86" s="21" t="s">
        <v>2068</v>
      </c>
      <c r="AZ86" s="21">
        <v>12</v>
      </c>
      <c r="BA86" s="21">
        <v>0</v>
      </c>
      <c r="BF86" s="30"/>
      <c r="BI86" s="21">
        <v>12</v>
      </c>
      <c r="BJ86" s="21">
        <v>0</v>
      </c>
      <c r="BO86" s="30"/>
      <c r="BR86" s="21">
        <v>12</v>
      </c>
      <c r="BS86" s="21">
        <v>0</v>
      </c>
      <c r="BT86" t="s">
        <v>1228</v>
      </c>
      <c r="BU86" s="21" t="s">
        <v>1229</v>
      </c>
      <c r="BV86" s="21" t="s">
        <v>1230</v>
      </c>
      <c r="BW86" s="21" t="s">
        <v>1231</v>
      </c>
      <c r="BX86" s="31">
        <v>1499915</v>
      </c>
      <c r="BY86" s="31">
        <v>1499915</v>
      </c>
      <c r="BZ86" t="s">
        <v>1142</v>
      </c>
      <c r="CE86" s="31"/>
      <c r="CF86" s="31"/>
      <c r="CL86" s="31"/>
      <c r="CM86" s="31"/>
      <c r="CS86" s="31"/>
      <c r="CT86" s="31"/>
      <c r="CZ86" s="31"/>
      <c r="DA86" s="31"/>
      <c r="DG86" s="31"/>
      <c r="DH86" s="31"/>
      <c r="DN86" s="31"/>
      <c r="DO86" s="31"/>
      <c r="DQ86" t="s">
        <v>2069</v>
      </c>
      <c r="DR86" t="s">
        <v>225</v>
      </c>
      <c r="DS86" t="s">
        <v>2070</v>
      </c>
      <c r="DT86" s="29" t="s">
        <v>214</v>
      </c>
      <c r="DU86" t="s">
        <v>973</v>
      </c>
      <c r="DV86" t="s">
        <v>622</v>
      </c>
      <c r="DW86" t="s">
        <v>173</v>
      </c>
      <c r="DX86" t="s">
        <v>170</v>
      </c>
      <c r="DY86" t="s">
        <v>171</v>
      </c>
      <c r="DZ86" s="22">
        <v>43073.921863425923</v>
      </c>
      <c r="EA86" t="s">
        <v>1232</v>
      </c>
      <c r="EB86" t="s">
        <v>2084</v>
      </c>
    </row>
    <row r="87" spans="1:132" x14ac:dyDescent="0.4">
      <c r="A87" s="30">
        <v>42955.726944444446</v>
      </c>
      <c r="B87" s="22">
        <v>42809.597916666666</v>
      </c>
      <c r="C87" s="22" t="s">
        <v>1136</v>
      </c>
      <c r="D87" s="30" t="s">
        <v>222</v>
      </c>
      <c r="E87" s="30" t="s">
        <v>1137</v>
      </c>
      <c r="F87" s="30" t="s">
        <v>172</v>
      </c>
      <c r="G87" s="30" t="s">
        <v>976</v>
      </c>
      <c r="H87" t="s">
        <v>94</v>
      </c>
      <c r="I87" t="s">
        <v>1135</v>
      </c>
      <c r="J87" t="s">
        <v>406</v>
      </c>
      <c r="K87" s="22">
        <v>42914.640601851854</v>
      </c>
      <c r="L87">
        <v>1</v>
      </c>
      <c r="M87" s="26">
        <v>4.22</v>
      </c>
      <c r="N87" t="s">
        <v>1808</v>
      </c>
      <c r="Q87" s="29" t="s">
        <v>13</v>
      </c>
      <c r="R87" s="29" t="str">
        <f>IFERROR(MID(RADataTable[[#This Row],[RAtemplate]],1,LEN(RADataTable[[#This Row],[RAtemplate]])-8),"RA") &amp; " " &amp; RADataTable[[#This Row],[prop_id0]] &amp; " " &amp; RADataTable[[#This Row],[last0]]</f>
        <v>RA 1740779 Carbonara</v>
      </c>
      <c r="U87" s="21" t="str">
        <f>IF(signer1="PD",IF(ISBLANK(RADataTable[[#This Row],[sign_blck_name]]),"",RADataTable[[#This Row],[sign_blck_name]]),IF(ISBLANK(signer1),"",signer1))</f>
        <v>Jack Snoeyink</v>
      </c>
      <c r="V87" s="29" t="str">
        <f t="shared" si="2"/>
        <v>Cognisant Program Director</v>
      </c>
      <c r="W87" s="15" t="str">
        <f>HYPERLINK("https://www.ejacket.nsf.gov/ej/showProposal.do?Continue=Y&amp;ID="&amp;RADataTable[[#This Row],[prop_id0]],"eJ")</f>
        <v>eJ</v>
      </c>
      <c r="X87" s="15" t="str">
        <f>HYPERLINK("mailto:"&amp;RADataTable[[#This Row],[email]]&amp;"&amp;subject=Your NSF Proposal:  "&amp;RADataTable[[#This Row],[Div]]&amp;" "&amp;RADataTable[[#This Row],[prop_id0]], RADataTable[[#This Row],[email]])</f>
        <v>carbonjo@buffalostate.edu</v>
      </c>
      <c r="Y87" s="15" t="str">
        <f>HYPERLINK("mailto:"&amp;RADataTable[[#This Row],[allPIemail]]&amp;"&amp;subject=NSF Proposal:  "&amp;RADataTable[[#This Row],[Div]]&amp;" "&amp;RADataTable[[#This Row],[prop_id0]], "PIs@")</f>
        <v>PIs@</v>
      </c>
      <c r="Z87" t="s">
        <v>224</v>
      </c>
      <c r="AA87" t="s">
        <v>1247</v>
      </c>
      <c r="AB87">
        <v>3</v>
      </c>
      <c r="AD87"/>
      <c r="AE87" s="21">
        <v>1</v>
      </c>
      <c r="AF87" s="26">
        <v>3.6666666666666665</v>
      </c>
      <c r="AG87">
        <v>5</v>
      </c>
      <c r="AH87" t="s">
        <v>1252</v>
      </c>
      <c r="AI87" s="30">
        <v>42871.856249999997</v>
      </c>
      <c r="AJ87" s="13">
        <v>1499079</v>
      </c>
      <c r="AK87" s="13">
        <v>1499079</v>
      </c>
      <c r="AL87">
        <v>0</v>
      </c>
      <c r="AM87" s="30">
        <v>42979</v>
      </c>
      <c r="AN87" s="21">
        <v>36</v>
      </c>
      <c r="AO87" s="21" t="s">
        <v>1253</v>
      </c>
      <c r="AR87" s="30"/>
      <c r="AS87" t="s">
        <v>1789</v>
      </c>
      <c r="AT87" s="21" t="s">
        <v>1807</v>
      </c>
      <c r="AU87" s="21">
        <v>22</v>
      </c>
      <c r="AV87" s="21" t="s">
        <v>2067</v>
      </c>
      <c r="AW87" s="30">
        <v>42872</v>
      </c>
      <c r="AX87" s="21" t="s">
        <v>2089</v>
      </c>
      <c r="AY87" s="21" t="s">
        <v>2068</v>
      </c>
      <c r="AZ87" s="21">
        <v>12</v>
      </c>
      <c r="BA87" s="21">
        <v>1</v>
      </c>
      <c r="BF87" s="30"/>
      <c r="BI87" s="21">
        <v>12</v>
      </c>
      <c r="BJ87" s="21">
        <v>1</v>
      </c>
      <c r="BO87" s="30"/>
      <c r="BR87" s="21">
        <v>12</v>
      </c>
      <c r="BS87" s="21">
        <v>1</v>
      </c>
      <c r="BT87" t="s">
        <v>1247</v>
      </c>
      <c r="BU87" s="21" t="s">
        <v>1248</v>
      </c>
      <c r="BV87" s="21" t="s">
        <v>1249</v>
      </c>
      <c r="BW87" s="21" t="s">
        <v>1250</v>
      </c>
      <c r="BX87" s="31">
        <v>285964</v>
      </c>
      <c r="BY87" s="31">
        <v>285964</v>
      </c>
      <c r="BZ87" t="s">
        <v>1176</v>
      </c>
      <c r="CA87" s="21" t="s">
        <v>1254</v>
      </c>
      <c r="CB87" s="21" t="s">
        <v>1255</v>
      </c>
      <c r="CC87" s="21" t="s">
        <v>1256</v>
      </c>
      <c r="CD87" s="21" t="s">
        <v>220</v>
      </c>
      <c r="CE87" s="31">
        <v>209549</v>
      </c>
      <c r="CF87" s="31">
        <v>209549</v>
      </c>
      <c r="CG87" t="s">
        <v>1176</v>
      </c>
      <c r="CH87" s="21" t="s">
        <v>1258</v>
      </c>
      <c r="CI87" s="21" t="s">
        <v>1259</v>
      </c>
      <c r="CJ87" s="21" t="s">
        <v>1260</v>
      </c>
      <c r="CK87" s="21" t="s">
        <v>1261</v>
      </c>
      <c r="CL87" s="31">
        <v>361729</v>
      </c>
      <c r="CM87" s="31">
        <v>361729</v>
      </c>
      <c r="CN87" t="s">
        <v>1176</v>
      </c>
      <c r="CO87" s="21" t="s">
        <v>1263</v>
      </c>
      <c r="CP87" s="21" t="s">
        <v>1264</v>
      </c>
      <c r="CQ87" s="21" t="s">
        <v>1265</v>
      </c>
      <c r="CR87" s="21" t="s">
        <v>1266</v>
      </c>
      <c r="CS87" s="31">
        <v>248472</v>
      </c>
      <c r="CT87" s="31">
        <v>248472</v>
      </c>
      <c r="CU87" t="s">
        <v>1142</v>
      </c>
      <c r="CV87" s="21" t="s">
        <v>1269</v>
      </c>
      <c r="CW87" s="21" t="s">
        <v>1270</v>
      </c>
      <c r="CX87" s="21" t="s">
        <v>1271</v>
      </c>
      <c r="CY87" s="21" t="s">
        <v>1272</v>
      </c>
      <c r="CZ87" s="31">
        <v>393365</v>
      </c>
      <c r="DA87" s="31">
        <v>393365</v>
      </c>
      <c r="DB87" t="s">
        <v>1142</v>
      </c>
      <c r="DG87" s="31"/>
      <c r="DH87" s="31"/>
      <c r="DN87" s="31"/>
      <c r="DO87" s="31"/>
      <c r="DQ87" t="s">
        <v>2069</v>
      </c>
      <c r="DR87" t="s">
        <v>225</v>
      </c>
      <c r="DS87" t="s">
        <v>2070</v>
      </c>
      <c r="DT87" s="29" t="s">
        <v>214</v>
      </c>
      <c r="DU87" t="s">
        <v>973</v>
      </c>
      <c r="DV87" t="s">
        <v>622</v>
      </c>
      <c r="DW87" t="s">
        <v>173</v>
      </c>
      <c r="DX87" t="s">
        <v>170</v>
      </c>
      <c r="DY87" t="s">
        <v>171</v>
      </c>
      <c r="DZ87" s="22">
        <v>43073.921863425923</v>
      </c>
      <c r="EA87" t="s">
        <v>1251</v>
      </c>
      <c r="EB87" t="s">
        <v>2090</v>
      </c>
    </row>
    <row r="88" spans="1:132" x14ac:dyDescent="0.4">
      <c r="A88" s="30">
        <v>42955.728993055556</v>
      </c>
      <c r="B88" s="22">
        <v>42809.663888888892</v>
      </c>
      <c r="C88" s="22" t="s">
        <v>1136</v>
      </c>
      <c r="D88" s="30" t="s">
        <v>222</v>
      </c>
      <c r="E88" s="30" t="s">
        <v>1137</v>
      </c>
      <c r="F88" s="30" t="s">
        <v>172</v>
      </c>
      <c r="G88" s="30" t="s">
        <v>976</v>
      </c>
      <c r="H88" t="s">
        <v>94</v>
      </c>
      <c r="I88" t="s">
        <v>1135</v>
      </c>
      <c r="J88" t="s">
        <v>406</v>
      </c>
      <c r="K88" s="22">
        <v>42914.640648148146</v>
      </c>
      <c r="L88">
        <v>1</v>
      </c>
      <c r="M88" s="26">
        <v>4.22</v>
      </c>
      <c r="N88" t="s">
        <v>1808</v>
      </c>
      <c r="Q88" s="29" t="s">
        <v>13</v>
      </c>
      <c r="R88" s="29" t="str">
        <f>IFERROR(MID(RADataTable[[#This Row],[RAtemplate]],1,LEN(RADataTable[[#This Row],[RAtemplate]])-8),"RA") &amp; " " &amp; RADataTable[[#This Row],[prop_id0]] &amp; " " &amp; RADataTable[[#This Row],[last0]]</f>
        <v>RA 1740811 Mishra</v>
      </c>
      <c r="U88" s="21" t="str">
        <f>IF(signer1="PD",IF(ISBLANK(RADataTable[[#This Row],[sign_blck_name]]),"",RADataTable[[#This Row],[sign_blck_name]]),IF(ISBLANK(signer1),"",signer1))</f>
        <v>Jack Snoeyink</v>
      </c>
      <c r="V88" s="29" t="str">
        <f t="shared" si="2"/>
        <v>Cognisant Program Director</v>
      </c>
      <c r="W88" s="15" t="str">
        <f>HYPERLINK("https://www.ejacket.nsf.gov/ej/showProposal.do?Continue=Y&amp;ID="&amp;RADataTable[[#This Row],[prop_id0]],"eJ")</f>
        <v>eJ</v>
      </c>
      <c r="X88" s="15" t="str">
        <f>HYPERLINK("mailto:"&amp;RADataTable[[#This Row],[email]]&amp;"&amp;subject=Your NSF Proposal:  "&amp;RADataTable[[#This Row],[Div]]&amp;" "&amp;RADataTable[[#This Row],[prop_id0]], RADataTable[[#This Row],[email]])</f>
        <v>mishra@cs.nyu.edu</v>
      </c>
      <c r="Y88" s="15" t="str">
        <f>HYPERLINK("mailto:"&amp;RADataTable[[#This Row],[allPIemail]]&amp;"&amp;subject=NSF Proposal:  "&amp;RADataTable[[#This Row],[Div]]&amp;" "&amp;RADataTable[[#This Row],[prop_id0]], "PIs@")</f>
        <v>PIs@</v>
      </c>
      <c r="Z88" t="s">
        <v>224</v>
      </c>
      <c r="AA88" t="s">
        <v>1326</v>
      </c>
      <c r="AB88">
        <v>3</v>
      </c>
      <c r="AD88"/>
      <c r="AE88" s="21">
        <v>3</v>
      </c>
      <c r="AF88" s="26">
        <v>3</v>
      </c>
      <c r="AG88">
        <v>3</v>
      </c>
      <c r="AH88" t="s">
        <v>1331</v>
      </c>
      <c r="AI88" s="30">
        <v>42872.489583333336</v>
      </c>
      <c r="AJ88" s="13">
        <v>1500000</v>
      </c>
      <c r="AK88" s="13">
        <v>1500000</v>
      </c>
      <c r="AL88">
        <v>0</v>
      </c>
      <c r="AM88" s="30">
        <v>42979</v>
      </c>
      <c r="AN88" s="21">
        <v>36</v>
      </c>
      <c r="AO88" s="21" t="s">
        <v>1332</v>
      </c>
      <c r="AR88" s="30"/>
      <c r="AS88" t="s">
        <v>1789</v>
      </c>
      <c r="AT88" s="21" t="s">
        <v>1807</v>
      </c>
      <c r="AU88" s="21">
        <v>22</v>
      </c>
      <c r="AV88" s="21" t="s">
        <v>2067</v>
      </c>
      <c r="AW88" s="30">
        <v>42872</v>
      </c>
      <c r="AX88" s="21" t="s">
        <v>2102</v>
      </c>
      <c r="AY88" s="21" t="s">
        <v>2068</v>
      </c>
      <c r="AZ88" s="21">
        <v>12</v>
      </c>
      <c r="BA88" s="21">
        <v>0</v>
      </c>
      <c r="BF88" s="30"/>
      <c r="BI88" s="21">
        <v>12</v>
      </c>
      <c r="BJ88" s="21">
        <v>0</v>
      </c>
      <c r="BO88" s="30"/>
      <c r="BR88" s="21">
        <v>12</v>
      </c>
      <c r="BS88" s="21">
        <v>0</v>
      </c>
      <c r="BT88" t="s">
        <v>1326</v>
      </c>
      <c r="BU88" s="21" t="s">
        <v>1327</v>
      </c>
      <c r="BV88" s="21" t="s">
        <v>1328</v>
      </c>
      <c r="BW88" s="21" t="s">
        <v>1329</v>
      </c>
      <c r="BX88" s="31">
        <v>1050000</v>
      </c>
      <c r="BY88" s="31">
        <v>1050000</v>
      </c>
      <c r="BZ88" t="s">
        <v>1142</v>
      </c>
      <c r="CA88" s="21" t="s">
        <v>1333</v>
      </c>
      <c r="CB88" s="21" t="s">
        <v>1334</v>
      </c>
      <c r="CC88" s="21" t="s">
        <v>1335</v>
      </c>
      <c r="CD88" s="21" t="s">
        <v>223</v>
      </c>
      <c r="CE88" s="31">
        <v>450000</v>
      </c>
      <c r="CF88" s="31">
        <v>450000</v>
      </c>
      <c r="CG88" t="s">
        <v>1142</v>
      </c>
      <c r="CL88" s="31"/>
      <c r="CM88" s="31"/>
      <c r="CS88" s="31"/>
      <c r="CT88" s="31"/>
      <c r="CZ88" s="31"/>
      <c r="DA88" s="31"/>
      <c r="DG88" s="31"/>
      <c r="DH88" s="31"/>
      <c r="DN88" s="31"/>
      <c r="DO88" s="31"/>
      <c r="DQ88" t="s">
        <v>2069</v>
      </c>
      <c r="DR88" t="s">
        <v>225</v>
      </c>
      <c r="DS88" t="s">
        <v>2070</v>
      </c>
      <c r="DT88" s="29" t="s">
        <v>214</v>
      </c>
      <c r="DU88" t="s">
        <v>973</v>
      </c>
      <c r="DV88" t="s">
        <v>622</v>
      </c>
      <c r="DW88" t="s">
        <v>173</v>
      </c>
      <c r="DX88" t="s">
        <v>170</v>
      </c>
      <c r="DY88" t="s">
        <v>171</v>
      </c>
      <c r="DZ88" s="22">
        <v>43073.921863425923</v>
      </c>
      <c r="EA88" t="s">
        <v>1330</v>
      </c>
      <c r="EB88" t="s">
        <v>2103</v>
      </c>
    </row>
    <row r="89" spans="1:132" x14ac:dyDescent="0.4">
      <c r="A89" s="30">
        <v>42955.702997685185</v>
      </c>
      <c r="B89" s="22">
        <v>42809.665972222225</v>
      </c>
      <c r="C89" s="22" t="s">
        <v>1136</v>
      </c>
      <c r="D89" s="30" t="s">
        <v>222</v>
      </c>
      <c r="E89" s="30" t="s">
        <v>1137</v>
      </c>
      <c r="F89" s="30" t="s">
        <v>172</v>
      </c>
      <c r="G89" s="30" t="s">
        <v>976</v>
      </c>
      <c r="H89" t="s">
        <v>94</v>
      </c>
      <c r="I89" t="s">
        <v>1135</v>
      </c>
      <c r="J89" t="s">
        <v>406</v>
      </c>
      <c r="K89" s="22">
        <v>42954.60597222222</v>
      </c>
      <c r="L89">
        <v>1</v>
      </c>
      <c r="M89" s="26">
        <v>4.22</v>
      </c>
      <c r="N89" t="s">
        <v>1808</v>
      </c>
      <c r="Q89" s="29" t="s">
        <v>13</v>
      </c>
      <c r="R89" s="29" t="str">
        <f>IFERROR(MID(RADataTable[[#This Row],[RAtemplate]],1,LEN(RADataTable[[#This Row],[RAtemplate]])-8),"RA") &amp; " " &amp; RADataTable[[#This Row],[prop_id0]] &amp; " " &amp; RADataTable[[#This Row],[last0]]</f>
        <v>RA 1740813 Anderson</v>
      </c>
      <c r="U89" s="21" t="str">
        <f>IF(signer1="PD",IF(ISBLANK(RADataTable[[#This Row],[sign_blck_name]]),"",RADataTable[[#This Row],[sign_blck_name]]),IF(ISBLANK(signer1),"",signer1))</f>
        <v>Jack Snoeyink</v>
      </c>
      <c r="V89" s="29" t="str">
        <f t="shared" si="2"/>
        <v>Cognisant Program Director</v>
      </c>
      <c r="W89" s="15" t="str">
        <f>HYPERLINK("https://www.ejacket.nsf.gov/ej/showProposal.do?Continue=Y&amp;ID="&amp;RADataTable[[#This Row],[prop_id0]],"eJ")</f>
        <v>eJ</v>
      </c>
      <c r="X89" s="15" t="str">
        <f>HYPERLINK("mailto:"&amp;RADataTable[[#This Row],[email]]&amp;"&amp;subject=Your NSF Proposal:  "&amp;RADataTable[[#This Row],[Div]]&amp;" "&amp;RADataTable[[#This Row],[prop_id0]], RADataTable[[#This Row],[email]])</f>
        <v>andersonpe2@cofc.edu</v>
      </c>
      <c r="Y89" s="15" t="str">
        <f>HYPERLINK("mailto:"&amp;RADataTable[[#This Row],[allPIemail]]&amp;"&amp;subject=NSF Proposal:  "&amp;RADataTable[[#This Row],[Div]]&amp;" "&amp;RADataTable[[#This Row],[prop_id0]], "PIs@")</f>
        <v>PIs@</v>
      </c>
      <c r="Z89" t="s">
        <v>224</v>
      </c>
      <c r="AA89" t="s">
        <v>1337</v>
      </c>
      <c r="AB89">
        <v>3</v>
      </c>
      <c r="AD89"/>
      <c r="AE89" s="21">
        <v>2</v>
      </c>
      <c r="AF89" s="26">
        <v>3</v>
      </c>
      <c r="AG89">
        <v>5</v>
      </c>
      <c r="AH89" t="s">
        <v>1341</v>
      </c>
      <c r="AI89" s="30">
        <v>42867.839583333334</v>
      </c>
      <c r="AJ89" s="13">
        <v>1500000</v>
      </c>
      <c r="AK89" s="13">
        <v>1500000</v>
      </c>
      <c r="AL89">
        <v>0</v>
      </c>
      <c r="AM89" s="30">
        <v>43070</v>
      </c>
      <c r="AN89" s="21">
        <v>36</v>
      </c>
      <c r="AO89" s="21" t="s">
        <v>1342</v>
      </c>
      <c r="AR89" s="30"/>
      <c r="AS89" t="s">
        <v>1789</v>
      </c>
      <c r="AT89" s="21" t="s">
        <v>1807</v>
      </c>
      <c r="AU89" s="21">
        <v>22</v>
      </c>
      <c r="AV89" s="21" t="s">
        <v>2067</v>
      </c>
      <c r="AW89" s="30">
        <v>42872</v>
      </c>
      <c r="AX89" s="21" t="s">
        <v>2104</v>
      </c>
      <c r="AY89" s="21" t="s">
        <v>2068</v>
      </c>
      <c r="AZ89" s="21">
        <v>12</v>
      </c>
      <c r="BA89" s="21">
        <v>0</v>
      </c>
      <c r="BF89" s="30"/>
      <c r="BI89" s="21">
        <v>12</v>
      </c>
      <c r="BJ89" s="21">
        <v>0</v>
      </c>
      <c r="BO89" s="30"/>
      <c r="BR89" s="21">
        <v>12</v>
      </c>
      <c r="BS89" s="21">
        <v>0</v>
      </c>
      <c r="BT89" t="s">
        <v>1337</v>
      </c>
      <c r="BU89" s="21" t="s">
        <v>1338</v>
      </c>
      <c r="BV89" s="21" t="s">
        <v>524</v>
      </c>
      <c r="BW89" s="21" t="s">
        <v>1339</v>
      </c>
      <c r="BX89" s="31">
        <v>1500000</v>
      </c>
      <c r="BY89" s="31">
        <v>1500000</v>
      </c>
      <c r="BZ89" t="s">
        <v>1156</v>
      </c>
      <c r="CE89" s="31"/>
      <c r="CF89" s="31"/>
      <c r="CL89" s="31"/>
      <c r="CM89" s="31"/>
      <c r="CS89" s="31"/>
      <c r="CT89" s="31"/>
      <c r="CZ89" s="31"/>
      <c r="DA89" s="31"/>
      <c r="DG89" s="31"/>
      <c r="DH89" s="31"/>
      <c r="DN89" s="31"/>
      <c r="DO89" s="31"/>
      <c r="DQ89" t="s">
        <v>2069</v>
      </c>
      <c r="DR89" t="s">
        <v>225</v>
      </c>
      <c r="DS89" t="s">
        <v>2070</v>
      </c>
      <c r="DT89" s="29" t="s">
        <v>214</v>
      </c>
      <c r="DU89" t="s">
        <v>973</v>
      </c>
      <c r="DV89" t="s">
        <v>622</v>
      </c>
      <c r="DW89" t="s">
        <v>173</v>
      </c>
      <c r="DX89" t="s">
        <v>170</v>
      </c>
      <c r="DY89" t="s">
        <v>171</v>
      </c>
      <c r="DZ89" s="22">
        <v>43073.921863425923</v>
      </c>
      <c r="EA89" t="s">
        <v>1340</v>
      </c>
      <c r="EB89" t="s">
        <v>2105</v>
      </c>
    </row>
    <row r="90" spans="1:132" x14ac:dyDescent="0.4">
      <c r="A90" s="30"/>
      <c r="B90" s="22">
        <v>42930.554166666669</v>
      </c>
      <c r="C90" s="22" t="s">
        <v>256</v>
      </c>
      <c r="D90" s="30" t="s">
        <v>222</v>
      </c>
      <c r="E90" s="30" t="s">
        <v>405</v>
      </c>
      <c r="F90" s="30" t="s">
        <v>172</v>
      </c>
      <c r="G90" s="30" t="s">
        <v>174</v>
      </c>
      <c r="H90" t="s">
        <v>94</v>
      </c>
      <c r="I90" t="s">
        <v>404</v>
      </c>
      <c r="J90" t="s">
        <v>406</v>
      </c>
      <c r="L90">
        <v>1</v>
      </c>
      <c r="M90" s="26">
        <v>4.22</v>
      </c>
      <c r="N90" t="s">
        <v>491</v>
      </c>
      <c r="Q90" s="29" t="s">
        <v>179</v>
      </c>
      <c r="R90" s="29" t="str">
        <f>IFERROR(MID(RADataTable[[#This Row],[RAtemplate]],1,LEN(RADataTable[[#This Row],[RAtemplate]])-8),"RA") &amp; " " &amp; RADataTable[[#This Row],[prop_id0]] &amp; " " &amp; RADataTable[[#This Row],[last0]]</f>
        <v>Std Decline  1749173 Borgwardt</v>
      </c>
      <c r="U90" s="21" t="str">
        <f>IF(signer1="PD",IF(ISBLANK(RADataTable[[#This Row],[sign_blck_name]]),"",RADataTable[[#This Row],[sign_blck_name]]),IF(ISBLANK(signer1),"",signer1))</f>
        <v>Jack Snoeyink</v>
      </c>
      <c r="V90" s="29" t="str">
        <f t="shared" si="2"/>
        <v>Cognisant Program Director</v>
      </c>
      <c r="W90" s="15" t="str">
        <f>HYPERLINK("https://www.ejacket.nsf.gov/ej/showProposal.do?Continue=Y&amp;ID="&amp;RADataTable[[#This Row],[prop_id0]],"eJ")</f>
        <v>eJ</v>
      </c>
      <c r="X90" s="15" t="str">
        <f>HYPERLINK("mailto:"&amp;RADataTable[[#This Row],[email]]&amp;"&amp;subject=Your NSF Proposal:  "&amp;RADataTable[[#This Row],[Div]]&amp;" "&amp;RADataTable[[#This Row],[prop_id0]], RADataTable[[#This Row],[email]])</f>
        <v>steffen.borgwardt@ucdenver.edu</v>
      </c>
      <c r="Y90" s="15" t="str">
        <f>HYPERLINK("mailto:"&amp;RADataTable[[#This Row],[allPIemail]]&amp;"&amp;subject=NSF Proposal:  "&amp;RADataTable[[#This Row],[Div]]&amp;" "&amp;RADataTable[[#This Row],[prop_id0]], "PIs@")</f>
        <v>PIs@</v>
      </c>
      <c r="Z90" t="s">
        <v>224</v>
      </c>
      <c r="AA90" t="s">
        <v>354</v>
      </c>
      <c r="AB90">
        <v>4</v>
      </c>
      <c r="AC90">
        <v>4</v>
      </c>
      <c r="AD90"/>
      <c r="AE90" s="21">
        <v>2</v>
      </c>
      <c r="AF90" s="26">
        <v>3.75</v>
      </c>
      <c r="AG90">
        <v>7</v>
      </c>
      <c r="AH90" t="s">
        <v>412</v>
      </c>
      <c r="AI90" s="30">
        <v>43031.583333333336</v>
      </c>
      <c r="AJ90" s="13">
        <v>470400</v>
      </c>
      <c r="AK90" s="13">
        <v>470400</v>
      </c>
      <c r="AL90">
        <v>0</v>
      </c>
      <c r="AM90" s="30">
        <v>43101</v>
      </c>
      <c r="AN90" s="21">
        <v>60</v>
      </c>
      <c r="AO90" s="21" t="s">
        <v>413</v>
      </c>
      <c r="AR90" s="30"/>
      <c r="AS90" t="s">
        <v>616</v>
      </c>
      <c r="AT90" s="21" t="s">
        <v>617</v>
      </c>
      <c r="AU90" s="21">
        <v>22</v>
      </c>
      <c r="AV90" s="21" t="s">
        <v>618</v>
      </c>
      <c r="AW90" s="30">
        <v>43032</v>
      </c>
      <c r="AX90" s="21" t="s">
        <v>619</v>
      </c>
      <c r="AY90" s="21" t="s">
        <v>620</v>
      </c>
      <c r="AZ90" s="21">
        <v>14</v>
      </c>
      <c r="BA90" s="21">
        <v>0</v>
      </c>
      <c r="BF90" s="30"/>
      <c r="BI90" s="21">
        <v>14</v>
      </c>
      <c r="BJ90" s="21">
        <v>0</v>
      </c>
      <c r="BO90" s="30"/>
      <c r="BR90" s="21">
        <v>14</v>
      </c>
      <c r="BS90" s="21">
        <v>0</v>
      </c>
      <c r="BT90" t="s">
        <v>354</v>
      </c>
      <c r="BU90" s="21" t="s">
        <v>407</v>
      </c>
      <c r="BV90" s="21" t="s">
        <v>408</v>
      </c>
      <c r="BW90" s="21" t="s">
        <v>409</v>
      </c>
      <c r="BX90" s="31">
        <v>470400</v>
      </c>
      <c r="BY90" s="31">
        <v>470400</v>
      </c>
      <c r="BZ90" t="s">
        <v>411</v>
      </c>
      <c r="CE90" s="31"/>
      <c r="CF90" s="31"/>
      <c r="CL90" s="31"/>
      <c r="CM90" s="31"/>
      <c r="CS90" s="31"/>
      <c r="CT90" s="31"/>
      <c r="CZ90" s="31"/>
      <c r="DA90" s="31"/>
      <c r="DG90" s="31"/>
      <c r="DH90" s="31"/>
      <c r="DN90" s="31"/>
      <c r="DO90" s="31"/>
      <c r="DQ90" t="s">
        <v>260</v>
      </c>
      <c r="DR90" t="s">
        <v>225</v>
      </c>
      <c r="DS90" t="s">
        <v>621</v>
      </c>
      <c r="DT90" s="29" t="s">
        <v>214</v>
      </c>
      <c r="DU90" t="s">
        <v>175</v>
      </c>
      <c r="DV90" t="s">
        <v>622</v>
      </c>
      <c r="DW90" t="s">
        <v>173</v>
      </c>
      <c r="DX90" t="s">
        <v>170</v>
      </c>
      <c r="DY90" t="s">
        <v>171</v>
      </c>
      <c r="DZ90" s="22">
        <v>43073.921863425923</v>
      </c>
      <c r="EA90" t="s">
        <v>410</v>
      </c>
      <c r="EB90" t="s">
        <v>623</v>
      </c>
    </row>
    <row r="91" spans="1:132" x14ac:dyDescent="0.4">
      <c r="A91" s="30"/>
      <c r="B91" s="22">
        <v>42934.808333333334</v>
      </c>
      <c r="C91" s="22" t="s">
        <v>256</v>
      </c>
      <c r="D91" s="30" t="s">
        <v>222</v>
      </c>
      <c r="E91" s="30" t="s">
        <v>405</v>
      </c>
      <c r="F91" s="30" t="s">
        <v>172</v>
      </c>
      <c r="G91" s="30" t="s">
        <v>174</v>
      </c>
      <c r="H91" t="s">
        <v>94</v>
      </c>
      <c r="I91" t="s">
        <v>404</v>
      </c>
      <c r="J91" t="s">
        <v>406</v>
      </c>
      <c r="L91">
        <v>1</v>
      </c>
      <c r="M91" s="26">
        <v>4.22</v>
      </c>
      <c r="N91" t="s">
        <v>491</v>
      </c>
      <c r="Q91" s="29" t="s">
        <v>179</v>
      </c>
      <c r="R91" s="29" t="str">
        <f>IFERROR(MID(RADataTable[[#This Row],[RAtemplate]],1,LEN(RADataTable[[#This Row],[RAtemplate]])-8),"RA") &amp; " " &amp; RADataTable[[#This Row],[prop_id0]] &amp; " " &amp; RADataTable[[#This Row],[last0]]</f>
        <v>Std Decline  1750076 Schroeder</v>
      </c>
      <c r="U91" s="21" t="str">
        <f>IF(signer1="PD",IF(ISBLANK(RADataTable[[#This Row],[sign_blck_name]]),"",RADataTable[[#This Row],[sign_blck_name]]),IF(ISBLANK(signer1),"",signer1))</f>
        <v>Jack Snoeyink</v>
      </c>
      <c r="V91" s="29" t="str">
        <f t="shared" si="2"/>
        <v>Cognisant Program Director</v>
      </c>
      <c r="W91" s="15" t="str">
        <f>HYPERLINK("https://www.ejacket.nsf.gov/ej/showProposal.do?Continue=Y&amp;ID="&amp;RADataTable[[#This Row],[prop_id0]],"eJ")</f>
        <v>eJ</v>
      </c>
      <c r="X91" s="15" t="str">
        <f>HYPERLINK("mailto:"&amp;RADataTable[[#This Row],[email]]&amp;"&amp;subject=Your NSF Proposal:  "&amp;RADataTable[[#This Row],[Div]]&amp;" "&amp;RADataTable[[#This Row],[prop_id0]], RADataTable[[#This Row],[email]])</f>
        <v>craig@ucr.edu</v>
      </c>
      <c r="Y91" s="15" t="str">
        <f>HYPERLINK("mailto:"&amp;RADataTable[[#This Row],[allPIemail]]&amp;"&amp;subject=NSF Proposal:  "&amp;RADataTable[[#This Row],[Div]]&amp;" "&amp;RADataTable[[#This Row],[prop_id0]], "PIs@")</f>
        <v>PIs@</v>
      </c>
      <c r="Z91" t="s">
        <v>224</v>
      </c>
      <c r="AA91" t="s">
        <v>364</v>
      </c>
      <c r="AB91">
        <v>4</v>
      </c>
      <c r="AC91">
        <v>4</v>
      </c>
      <c r="AD91"/>
      <c r="AE91" s="21">
        <v>3</v>
      </c>
      <c r="AF91" s="26">
        <v>4</v>
      </c>
      <c r="AG91">
        <v>7</v>
      </c>
      <c r="AH91" t="s">
        <v>474</v>
      </c>
      <c r="AI91" s="30">
        <v>43031.584027777775</v>
      </c>
      <c r="AJ91" s="13">
        <v>440331</v>
      </c>
      <c r="AK91" s="13">
        <v>440331</v>
      </c>
      <c r="AL91">
        <v>0</v>
      </c>
      <c r="AM91" s="30">
        <v>43101</v>
      </c>
      <c r="AN91" s="21">
        <v>60</v>
      </c>
      <c r="AO91" s="21" t="s">
        <v>475</v>
      </c>
      <c r="AR91" s="30"/>
      <c r="AS91" t="s">
        <v>616</v>
      </c>
      <c r="AT91" s="21" t="s">
        <v>617</v>
      </c>
      <c r="AU91" s="21">
        <v>22</v>
      </c>
      <c r="AV91" s="21" t="s">
        <v>618</v>
      </c>
      <c r="AW91" s="30">
        <v>43032</v>
      </c>
      <c r="AX91" s="21" t="s">
        <v>644</v>
      </c>
      <c r="AY91" s="21" t="s">
        <v>620</v>
      </c>
      <c r="AZ91" s="21">
        <v>14</v>
      </c>
      <c r="BA91" s="21">
        <v>0</v>
      </c>
      <c r="BF91" s="30"/>
      <c r="BI91" s="21">
        <v>14</v>
      </c>
      <c r="BJ91" s="21">
        <v>0</v>
      </c>
      <c r="BO91" s="30"/>
      <c r="BR91" s="21">
        <v>14</v>
      </c>
      <c r="BS91" s="21">
        <v>0</v>
      </c>
      <c r="BT91" t="s">
        <v>364</v>
      </c>
      <c r="BU91" s="21" t="s">
        <v>469</v>
      </c>
      <c r="BV91" s="21" t="s">
        <v>470</v>
      </c>
      <c r="BW91" s="21" t="s">
        <v>471</v>
      </c>
      <c r="BX91" s="31">
        <v>440331</v>
      </c>
      <c r="BY91" s="31">
        <v>440331</v>
      </c>
      <c r="BZ91" t="s">
        <v>473</v>
      </c>
      <c r="CE91" s="31"/>
      <c r="CF91" s="31"/>
      <c r="CL91" s="31"/>
      <c r="CM91" s="31"/>
      <c r="CS91" s="31"/>
      <c r="CT91" s="31"/>
      <c r="CZ91" s="31"/>
      <c r="DA91" s="31"/>
      <c r="DG91" s="31"/>
      <c r="DH91" s="31"/>
      <c r="DN91" s="31"/>
      <c r="DO91" s="31"/>
      <c r="DQ91" t="s">
        <v>260</v>
      </c>
      <c r="DR91" t="s">
        <v>225</v>
      </c>
      <c r="DS91" t="s">
        <v>621</v>
      </c>
      <c r="DT91" s="29" t="s">
        <v>214</v>
      </c>
      <c r="DU91" t="s">
        <v>175</v>
      </c>
      <c r="DV91" t="s">
        <v>622</v>
      </c>
      <c r="DW91" t="s">
        <v>173</v>
      </c>
      <c r="DX91" t="s">
        <v>170</v>
      </c>
      <c r="DY91" t="s">
        <v>171</v>
      </c>
      <c r="DZ91" s="22">
        <v>43073.921863425923</v>
      </c>
      <c r="EA91" t="s">
        <v>472</v>
      </c>
      <c r="EB91" t="s">
        <v>645</v>
      </c>
    </row>
    <row r="92" spans="1:132" x14ac:dyDescent="0.4">
      <c r="A92" s="30">
        <v>42677.401122685187</v>
      </c>
      <c r="B92" s="22">
        <v>42571.899305555555</v>
      </c>
      <c r="C92" s="22" t="s">
        <v>975</v>
      </c>
      <c r="D92" s="30" t="s">
        <v>222</v>
      </c>
      <c r="E92" s="30" t="s">
        <v>405</v>
      </c>
      <c r="F92" s="30" t="s">
        <v>172</v>
      </c>
      <c r="G92" s="30" t="s">
        <v>976</v>
      </c>
      <c r="H92" t="s">
        <v>94</v>
      </c>
      <c r="I92" t="s">
        <v>974</v>
      </c>
      <c r="J92" t="s">
        <v>422</v>
      </c>
      <c r="K92" s="22">
        <v>42676.678472222222</v>
      </c>
      <c r="L92">
        <v>1</v>
      </c>
      <c r="M92" s="26">
        <v>4.29</v>
      </c>
      <c r="N92" t="s">
        <v>491</v>
      </c>
      <c r="Q92" s="29" t="s">
        <v>13</v>
      </c>
      <c r="R92" s="29" t="str">
        <f>IFERROR(MID(RADataTable[[#This Row],[RAtemplate]],1,LEN(RADataTable[[#This Row],[RAtemplate]])-8),"RA") &amp; " " &amp; RADataTable[[#This Row],[prop_id0]] &amp; " " &amp; RADataTable[[#This Row],[last0]]</f>
        <v>RA 1652983 Sitchinava</v>
      </c>
      <c r="U92" s="21" t="str">
        <f>IF(signer1="PD",IF(ISBLANK(RADataTable[[#This Row],[sign_blck_name]]),"",RADataTable[[#This Row],[sign_blck_name]]),IF(ISBLANK(signer1),"",signer1))</f>
        <v>Rahul Shah</v>
      </c>
      <c r="V92" s="29" t="str">
        <f t="shared" si="2"/>
        <v>Cognisant Program Director</v>
      </c>
      <c r="W92" s="15" t="str">
        <f>HYPERLINK("https://www.ejacket.nsf.gov/ej/showProposal.do?Continue=Y&amp;ID="&amp;RADataTable[[#This Row],[prop_id0]],"eJ")</f>
        <v>eJ</v>
      </c>
      <c r="X92" s="15" t="str">
        <f>HYPERLINK("mailto:"&amp;RADataTable[[#This Row],[email]]&amp;"&amp;subject=Your NSF Proposal:  "&amp;RADataTable[[#This Row],[Div]]&amp;" "&amp;RADataTable[[#This Row],[prop_id0]], RADataTable[[#This Row],[email]])</f>
        <v>nodari@hawaii.edu</v>
      </c>
      <c r="Y92" s="15" t="str">
        <f>HYPERLINK("mailto:"&amp;RADataTable[[#This Row],[allPIemail]]&amp;"&amp;subject=NSF Proposal:  "&amp;RADataTable[[#This Row],[Div]]&amp;" "&amp;RADataTable[[#This Row],[prop_id0]], "PIs@")</f>
        <v>PIs@</v>
      </c>
      <c r="Z92" t="s">
        <v>224</v>
      </c>
      <c r="AA92" t="s">
        <v>1114</v>
      </c>
      <c r="AB92">
        <v>4</v>
      </c>
      <c r="AD92"/>
      <c r="AE92" s="21">
        <v>4</v>
      </c>
      <c r="AF92" s="26">
        <v>4.5</v>
      </c>
      <c r="AG92">
        <v>5</v>
      </c>
      <c r="AH92" t="s">
        <v>1115</v>
      </c>
      <c r="AI92" s="30">
        <v>42660.406944444447</v>
      </c>
      <c r="AJ92" s="13">
        <v>542978</v>
      </c>
      <c r="AK92" s="13">
        <v>542978</v>
      </c>
      <c r="AL92">
        <v>0</v>
      </c>
      <c r="AM92" s="30">
        <v>42795</v>
      </c>
      <c r="AN92" s="21">
        <v>60</v>
      </c>
      <c r="AO92" s="21" t="s">
        <v>547</v>
      </c>
      <c r="AP92">
        <v>1</v>
      </c>
      <c r="AQ92" t="s">
        <v>2053</v>
      </c>
      <c r="AR92" s="30">
        <v>42655.838194444441</v>
      </c>
      <c r="AS92" t="s">
        <v>1425</v>
      </c>
      <c r="AT92" s="21" t="s">
        <v>617</v>
      </c>
      <c r="AU92" s="21">
        <v>29</v>
      </c>
      <c r="AV92" s="21" t="s">
        <v>2008</v>
      </c>
      <c r="AW92" s="30">
        <v>42661</v>
      </c>
      <c r="AX92" s="21" t="s">
        <v>2054</v>
      </c>
      <c r="AY92" s="21" t="s">
        <v>2010</v>
      </c>
      <c r="AZ92" s="21">
        <v>12</v>
      </c>
      <c r="BA92" s="21">
        <v>0</v>
      </c>
      <c r="BF92" s="30"/>
      <c r="BI92" s="21">
        <v>12</v>
      </c>
      <c r="BJ92" s="21">
        <v>0</v>
      </c>
      <c r="BO92" s="30"/>
      <c r="BR92" s="21">
        <v>12</v>
      </c>
      <c r="BS92" s="21">
        <v>0</v>
      </c>
      <c r="BT92" t="s">
        <v>1114</v>
      </c>
      <c r="BU92" s="21" t="s">
        <v>541</v>
      </c>
      <c r="BV92" s="21" t="s">
        <v>542</v>
      </c>
      <c r="BW92" s="21" t="s">
        <v>543</v>
      </c>
      <c r="BX92" s="31">
        <v>542978</v>
      </c>
      <c r="BY92" s="31">
        <v>542978</v>
      </c>
      <c r="BZ92" t="s">
        <v>545</v>
      </c>
      <c r="CE92" s="31"/>
      <c r="CF92" s="31"/>
      <c r="CL92" s="31"/>
      <c r="CM92" s="31"/>
      <c r="CS92" s="31"/>
      <c r="CT92" s="31"/>
      <c r="CZ92" s="31"/>
      <c r="DA92" s="31"/>
      <c r="DG92" s="31"/>
      <c r="DH92" s="31"/>
      <c r="DN92" s="31"/>
      <c r="DO92" s="31"/>
      <c r="DQ92" t="s">
        <v>260</v>
      </c>
      <c r="DR92" t="s">
        <v>225</v>
      </c>
      <c r="DS92" t="s">
        <v>621</v>
      </c>
      <c r="DT92" s="29" t="s">
        <v>627</v>
      </c>
      <c r="DU92" t="s">
        <v>973</v>
      </c>
      <c r="DV92" t="s">
        <v>622</v>
      </c>
      <c r="DW92" t="s">
        <v>173</v>
      </c>
      <c r="DX92" t="s">
        <v>170</v>
      </c>
      <c r="DY92" t="s">
        <v>171</v>
      </c>
      <c r="DZ92" s="22">
        <v>43073.921863425923</v>
      </c>
      <c r="EA92" t="s">
        <v>544</v>
      </c>
      <c r="EB92" t="s">
        <v>665</v>
      </c>
    </row>
  </sheetData>
  <conditionalFormatting sqref="Z2:Z92">
    <cfRule type="expression" dxfId="1" priority="2">
      <formula>LEFT(#REF!,1)="E"</formula>
    </cfRule>
  </conditionalFormatting>
  <conditionalFormatting sqref="Q2:Q92">
    <cfRule type="expression" dxfId="0" priority="1">
      <formula>LEFT($AH2,1)="E"</formula>
    </cfRule>
  </conditionalFormatting>
  <dataValidations count="1">
    <dataValidation type="list" allowBlank="1" showInputMessage="1" showErrorMessage="1" sqref="O2:O92 Q2:Q92">
      <formula1>INDIRECT("AvailableTemplates[Available templates:]")</formula1>
    </dataValidation>
  </dataValidations>
  <pageMargins left="0.25" right="0.25" top="0.75" bottom="0.75" header="0.3" footer="0.3"/>
  <pageSetup paperSize="5" scale="2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163286</xdr:colOff>
                    <xdr:row>0</xdr:row>
                    <xdr:rowOff>65314</xdr:rowOff>
                  </from>
                  <to>
                    <xdr:col>16</xdr:col>
                    <xdr:colOff>892629</xdr:colOff>
                    <xdr:row>0</xdr:row>
                    <xdr:rowOff>321129</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AF2:AF92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workbookViewId="0">
      <selection activeCell="C39" sqref="C39"/>
    </sheetView>
  </sheetViews>
  <sheetFormatPr defaultColWidth="9.3046875" defaultRowHeight="14.6" x14ac:dyDescent="0.4"/>
  <cols>
    <col min="1" max="1" width="16.69140625" style="65" customWidth="1"/>
    <col min="2" max="2" width="16.53515625" style="65" customWidth="1"/>
    <col min="3" max="3" width="98.53515625" style="84" customWidth="1"/>
    <col min="4" max="16384" width="9.3046875" style="63"/>
  </cols>
  <sheetData>
    <row r="1" spans="1:2" x14ac:dyDescent="0.4">
      <c r="A1" s="65" t="s">
        <v>317</v>
      </c>
    </row>
    <row r="2" spans="1:2" x14ac:dyDescent="0.4">
      <c r="A2" s="66" t="s">
        <v>318</v>
      </c>
      <c r="B2" s="67" t="s">
        <v>319</v>
      </c>
    </row>
    <row r="3" spans="1:2" x14ac:dyDescent="0.4">
      <c r="A3" s="66" t="s">
        <v>320</v>
      </c>
      <c r="B3" s="68" t="s">
        <v>338</v>
      </c>
    </row>
    <row r="4" spans="1:2" x14ac:dyDescent="0.4">
      <c r="A4" s="65" t="s">
        <v>321</v>
      </c>
      <c r="B4" s="67" t="s">
        <v>322</v>
      </c>
    </row>
    <row r="5" spans="1:2" x14ac:dyDescent="0.4">
      <c r="A5" s="65" t="s">
        <v>323</v>
      </c>
      <c r="B5" s="67" t="s">
        <v>324</v>
      </c>
    </row>
    <row r="7" spans="1:2" x14ac:dyDescent="0.4">
      <c r="A7" s="69" t="s">
        <v>303</v>
      </c>
      <c r="B7" s="70" t="s">
        <v>304</v>
      </c>
    </row>
    <row r="8" spans="1:2" x14ac:dyDescent="0.4">
      <c r="A8" s="71" t="s">
        <v>308</v>
      </c>
      <c r="B8" s="72"/>
    </row>
    <row r="9" spans="1:2" x14ac:dyDescent="0.4">
      <c r="A9" s="71" t="s">
        <v>293</v>
      </c>
      <c r="B9" s="72"/>
    </row>
    <row r="10" spans="1:2" x14ac:dyDescent="0.4">
      <c r="A10" s="71" t="s">
        <v>307</v>
      </c>
      <c r="B10" s="72"/>
    </row>
    <row r="11" spans="1:2" x14ac:dyDescent="0.4">
      <c r="A11" s="71" t="s">
        <v>306</v>
      </c>
      <c r="B11" s="72"/>
    </row>
    <row r="12" spans="1:2" x14ac:dyDescent="0.4">
      <c r="A12" s="71" t="s">
        <v>305</v>
      </c>
      <c r="B12" s="72"/>
    </row>
    <row r="13" spans="1:2" x14ac:dyDescent="0.4">
      <c r="A13" s="71" t="s">
        <v>309</v>
      </c>
      <c r="B13" s="72"/>
    </row>
    <row r="14" spans="1:2" x14ac:dyDescent="0.4">
      <c r="A14" s="71" t="s">
        <v>174</v>
      </c>
      <c r="B14" s="72"/>
    </row>
    <row r="15" spans="1:2" x14ac:dyDescent="0.4">
      <c r="A15" s="71" t="s">
        <v>310</v>
      </c>
      <c r="B15" s="72"/>
    </row>
    <row r="16" spans="1:2" x14ac:dyDescent="0.4">
      <c r="A16" s="71" t="s">
        <v>297</v>
      </c>
      <c r="B16" s="72"/>
    </row>
    <row r="17" spans="1:3" x14ac:dyDescent="0.4">
      <c r="A17" s="71" t="s">
        <v>300</v>
      </c>
      <c r="B17" s="72"/>
    </row>
    <row r="18" spans="1:3" x14ac:dyDescent="0.4">
      <c r="A18" s="73" t="s">
        <v>302</v>
      </c>
      <c r="B18" s="74"/>
    </row>
    <row r="24" spans="1:3" x14ac:dyDescent="0.4">
      <c r="A24" s="75" t="s">
        <v>187</v>
      </c>
      <c r="B24" s="76" t="s">
        <v>325</v>
      </c>
      <c r="C24" s="85" t="s">
        <v>326</v>
      </c>
    </row>
    <row r="25" spans="1:3" ht="35.700000000000003" customHeight="1" x14ac:dyDescent="0.4">
      <c r="A25" s="65" t="s">
        <v>327</v>
      </c>
      <c r="B25" s="77">
        <v>43073.612708333334</v>
      </c>
      <c r="C25" s="86" t="s">
        <v>710</v>
      </c>
    </row>
    <row r="26" spans="1:3" ht="35.700000000000003" customHeight="1" x14ac:dyDescent="0.4">
      <c r="A26" s="65" t="s">
        <v>328</v>
      </c>
      <c r="B26" s="77">
        <v>43073.612708333334</v>
      </c>
      <c r="C26" s="86" t="s">
        <v>1402</v>
      </c>
    </row>
    <row r="27" spans="1:3" ht="35.700000000000003" customHeight="1" x14ac:dyDescent="0.4">
      <c r="A27" s="65" t="s">
        <v>329</v>
      </c>
      <c r="B27" s="77">
        <v>43073.612708333334</v>
      </c>
      <c r="C27" s="86" t="s">
        <v>1403</v>
      </c>
    </row>
    <row r="28" spans="1:3" ht="35.700000000000003" customHeight="1" x14ac:dyDescent="0.4">
      <c r="A28" s="65" t="s">
        <v>330</v>
      </c>
      <c r="B28" s="77">
        <v>43073.612708333334</v>
      </c>
      <c r="C28" s="86" t="s">
        <v>1404</v>
      </c>
    </row>
    <row r="29" spans="1:3" ht="35.700000000000003" customHeight="1" x14ac:dyDescent="0.4">
      <c r="A29" s="65" t="s">
        <v>331</v>
      </c>
      <c r="B29" s="77">
        <v>43073.612708333334</v>
      </c>
      <c r="C29" s="86" t="s">
        <v>1405</v>
      </c>
    </row>
    <row r="30" spans="1:3" ht="35.700000000000003" customHeight="1" x14ac:dyDescent="0.4">
      <c r="A30" s="65" t="s">
        <v>332</v>
      </c>
      <c r="B30" s="77">
        <v>43073.612708333334</v>
      </c>
      <c r="C30" s="86" t="s">
        <v>709</v>
      </c>
    </row>
    <row r="31" spans="1:3" ht="35.700000000000003" customHeight="1" x14ac:dyDescent="0.4">
      <c r="A31" s="65" t="s">
        <v>333</v>
      </c>
      <c r="B31" s="77">
        <v>43073.612708333334</v>
      </c>
      <c r="C31" s="86" t="s">
        <v>1406</v>
      </c>
    </row>
    <row r="32" spans="1:3" ht="35.700000000000003" customHeight="1" x14ac:dyDescent="0.4">
      <c r="A32" s="65" t="s">
        <v>334</v>
      </c>
      <c r="B32" s="77">
        <v>43073.612708333334</v>
      </c>
      <c r="C32" s="86" t="s">
        <v>711</v>
      </c>
    </row>
    <row r="33" spans="1:3" ht="35.700000000000003" customHeight="1" x14ac:dyDescent="0.4">
      <c r="A33" s="65" t="s">
        <v>335</v>
      </c>
      <c r="B33" s="77">
        <v>43073.612708333334</v>
      </c>
      <c r="C33" s="86" t="s">
        <v>1412</v>
      </c>
    </row>
    <row r="34" spans="1:3" ht="35.700000000000003" customHeight="1" x14ac:dyDescent="0.4">
      <c r="A34" s="65" t="s">
        <v>336</v>
      </c>
      <c r="B34" s="77">
        <v>43073.612708333334</v>
      </c>
      <c r="C34" s="86" t="s">
        <v>1411</v>
      </c>
    </row>
    <row r="35" spans="1:3" ht="35.700000000000003" customHeight="1" x14ac:dyDescent="0.4">
      <c r="A35" s="65" t="s">
        <v>706</v>
      </c>
      <c r="B35" s="77">
        <v>43073.612708333334</v>
      </c>
      <c r="C35" s="86" t="s">
        <v>1407</v>
      </c>
    </row>
    <row r="36" spans="1:3" ht="35.700000000000003" customHeight="1" x14ac:dyDescent="0.4">
      <c r="A36" s="65" t="s">
        <v>708</v>
      </c>
      <c r="B36" s="77">
        <v>43073.612708333334</v>
      </c>
      <c r="C36" s="86" t="s">
        <v>1408</v>
      </c>
    </row>
    <row r="37" spans="1:3" ht="36" customHeight="1" x14ac:dyDescent="0.4">
      <c r="A37" s="65" t="s">
        <v>707</v>
      </c>
      <c r="B37" s="77">
        <v>43073.686574074076</v>
      </c>
      <c r="C37" s="86" t="s">
        <v>2163</v>
      </c>
    </row>
    <row r="38" spans="1:3" ht="36" customHeight="1" x14ac:dyDescent="0.4">
      <c r="A38" s="65" t="s">
        <v>1409</v>
      </c>
      <c r="B38" s="77">
        <v>43073.612708333334</v>
      </c>
      <c r="C38" s="86" t="s">
        <v>1410</v>
      </c>
    </row>
    <row r="39" spans="1:3" ht="29.15" x14ac:dyDescent="0.4">
      <c r="A39" s="65" t="s">
        <v>712</v>
      </c>
      <c r="B39" s="77">
        <v>43073.612708333334</v>
      </c>
      <c r="C39" s="86" t="s">
        <v>1401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44</vt:i4>
      </vt:variant>
    </vt:vector>
  </HeadingPairs>
  <TitlesOfParts>
    <vt:vector size="54"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2017-12-04T14:20:37Z</cp:lastPrinted>
  <dcterms:created xsi:type="dcterms:W3CDTF">2015-12-15T02:29:55Z</dcterms:created>
  <dcterms:modified xsi:type="dcterms:W3CDTF">2017-12-05T17:25:07Z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