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14\projects\lookups-da14-riyanjoy13\"/>
    </mc:Choice>
  </mc:AlternateContent>
  <xr:revisionPtr revIDLastSave="0" documentId="8_{39968A01-3A56-420A-B3BC-FF93CB4D5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 final " sheetId="3" r:id="rId1"/>
    <sheet name="metro_budget" sheetId="1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5" i="3" l="1" a="1"/>
  <c r="C95" i="3"/>
  <c r="C96" i="3" a="1"/>
  <c r="C96" i="3" s="1"/>
  <c r="C97" i="3" a="1"/>
  <c r="C97" i="3"/>
  <c r="G103" i="3"/>
  <c r="G104" i="3"/>
  <c r="G102" i="3"/>
  <c r="E103" i="3"/>
  <c r="E104" i="3"/>
  <c r="E102" i="3"/>
  <c r="C103" i="3"/>
  <c r="C104" i="3"/>
  <c r="C102" i="3"/>
  <c r="G96" i="3" a="1"/>
  <c r="G96" i="3"/>
  <c r="G97" i="3" a="1"/>
  <c r="G97" i="3" s="1"/>
  <c r="G95" i="3" a="1"/>
  <c r="G95" i="3"/>
  <c r="E96" i="3" a="1"/>
  <c r="E96" i="3" s="1"/>
  <c r="E97" i="3" a="1"/>
  <c r="E97" i="3" s="1"/>
  <c r="E95" i="3" a="1"/>
  <c r="E95" i="3"/>
  <c r="F103" i="3"/>
  <c r="F104" i="3"/>
  <c r="F102" i="3"/>
  <c r="D103" i="3"/>
  <c r="D104" i="3"/>
  <c r="D102" i="3"/>
  <c r="F96" i="3" a="1"/>
  <c r="F96" i="3" s="1"/>
  <c r="F97" i="3" a="1"/>
  <c r="F97" i="3" s="1"/>
  <c r="F95" i="3" a="1"/>
  <c r="F95" i="3" s="1"/>
  <c r="D96" i="3" a="1"/>
  <c r="D96" i="3"/>
  <c r="D97" i="3" a="1"/>
  <c r="D97" i="3" s="1"/>
  <c r="D95" i="3" a="1"/>
  <c r="D95" i="3"/>
  <c r="B96" i="3" a="1"/>
  <c r="B96" i="3"/>
  <c r="B97" i="3" a="1"/>
  <c r="B97" i="3"/>
  <c r="B103" i="3"/>
  <c r="B104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2" i="3"/>
  <c r="B102" i="3"/>
  <c r="B95" i="3" a="1"/>
  <c r="B95" i="3" s="1"/>
  <c r="C86" i="3"/>
  <c r="C85" i="3"/>
  <c r="C84" i="3"/>
  <c r="B86" i="3"/>
  <c r="B85" i="3"/>
  <c r="B84" i="3"/>
  <c r="C74" i="3"/>
  <c r="D74" i="3"/>
  <c r="C75" i="3"/>
  <c r="D75" i="3"/>
  <c r="C76" i="3"/>
  <c r="D76" i="3"/>
  <c r="C77" i="3"/>
  <c r="D77" i="3"/>
  <c r="C78" i="3"/>
  <c r="D78" i="3"/>
  <c r="C79" i="3"/>
  <c r="D79" i="3"/>
  <c r="B75" i="3"/>
  <c r="B76" i="3"/>
  <c r="B77" i="3"/>
  <c r="B78" i="3"/>
  <c r="B79" i="3"/>
  <c r="B74" i="3"/>
  <c r="C65" i="3" a="1"/>
  <c r="C65" i="3" s="1"/>
  <c r="D65" i="3" a="1"/>
  <c r="D65" i="3" s="1"/>
  <c r="C66" i="3" a="1"/>
  <c r="C66" i="3" s="1"/>
  <c r="D66" i="3" a="1"/>
  <c r="D66" i="3" s="1"/>
  <c r="C67" i="3" a="1"/>
  <c r="C67" i="3" s="1"/>
  <c r="D67" i="3" a="1"/>
  <c r="D67" i="3" s="1"/>
  <c r="C68" i="3" a="1"/>
  <c r="C68" i="3" s="1"/>
  <c r="D68" i="3" a="1"/>
  <c r="D68" i="3" s="1"/>
  <c r="C69" i="3" a="1"/>
  <c r="C69" i="3" s="1"/>
  <c r="D69" i="3" a="1"/>
  <c r="D69" i="3" s="1"/>
  <c r="C70" i="3" a="1"/>
  <c r="C70" i="3" s="1"/>
  <c r="D70" i="3" a="1"/>
  <c r="D70" i="3" s="1"/>
  <c r="B66" i="3" a="1"/>
  <c r="B66" i="3" s="1"/>
  <c r="B67" i="3" a="1"/>
  <c r="B67" i="3"/>
  <c r="B68" i="3" a="1"/>
  <c r="B68" i="3" s="1"/>
  <c r="B69" i="3" a="1"/>
  <c r="B69" i="3" s="1"/>
  <c r="B70" i="3" a="1"/>
  <c r="B70" i="3" s="1"/>
  <c r="B65" i="3" a="1"/>
  <c r="B65" i="3" s="1"/>
  <c r="C56" i="3"/>
  <c r="D56" i="3"/>
  <c r="C57" i="3"/>
  <c r="D57" i="3"/>
  <c r="C58" i="3"/>
  <c r="D58" i="3"/>
  <c r="C59" i="3"/>
  <c r="D59" i="3"/>
  <c r="C60" i="3"/>
  <c r="D60" i="3"/>
  <c r="C61" i="3"/>
  <c r="D61" i="3"/>
  <c r="B57" i="3"/>
  <c r="B58" i="3"/>
  <c r="B59" i="3"/>
  <c r="B60" i="3"/>
  <c r="B61" i="3"/>
  <c r="B56" i="3"/>
  <c r="N52" i="3"/>
  <c r="O52" i="3" s="1"/>
  <c r="J52" i="3"/>
  <c r="I52" i="3"/>
  <c r="E52" i="3"/>
  <c r="D52" i="3"/>
  <c r="N51" i="3"/>
  <c r="O51" i="3" s="1"/>
  <c r="I51" i="3"/>
  <c r="J51" i="3" s="1"/>
  <c r="E51" i="3"/>
  <c r="D51" i="3"/>
  <c r="O50" i="3"/>
  <c r="N50" i="3"/>
  <c r="I50" i="3"/>
  <c r="J50" i="3" s="1"/>
  <c r="D50" i="3"/>
  <c r="E50" i="3" s="1"/>
  <c r="O49" i="3"/>
  <c r="N49" i="3"/>
  <c r="J49" i="3"/>
  <c r="I49" i="3"/>
  <c r="D49" i="3"/>
  <c r="E49" i="3" s="1"/>
  <c r="N48" i="3"/>
  <c r="O48" i="3" s="1"/>
  <c r="J48" i="3"/>
  <c r="I48" i="3"/>
  <c r="E48" i="3"/>
  <c r="D48" i="3"/>
  <c r="N47" i="3"/>
  <c r="O47" i="3" s="1"/>
  <c r="I47" i="3"/>
  <c r="J47" i="3" s="1"/>
  <c r="E47" i="3"/>
  <c r="D47" i="3"/>
  <c r="O46" i="3"/>
  <c r="N46" i="3"/>
  <c r="I46" i="3"/>
  <c r="J46" i="3" s="1"/>
  <c r="D46" i="3"/>
  <c r="E46" i="3" s="1"/>
  <c r="O45" i="3"/>
  <c r="N45" i="3"/>
  <c r="J45" i="3"/>
  <c r="I45" i="3"/>
  <c r="D45" i="3"/>
  <c r="E45" i="3" s="1"/>
  <c r="N44" i="3"/>
  <c r="O44" i="3" s="1"/>
  <c r="J44" i="3"/>
  <c r="I44" i="3"/>
  <c r="E44" i="3"/>
  <c r="D44" i="3"/>
  <c r="N43" i="3"/>
  <c r="O43" i="3" s="1"/>
  <c r="I43" i="3"/>
  <c r="J43" i="3" s="1"/>
  <c r="E43" i="3"/>
  <c r="D43" i="3"/>
  <c r="O42" i="3"/>
  <c r="N42" i="3"/>
  <c r="I42" i="3"/>
  <c r="J42" i="3" s="1"/>
  <c r="D42" i="3"/>
  <c r="E42" i="3" s="1"/>
  <c r="O41" i="3"/>
  <c r="N41" i="3"/>
  <c r="J41" i="3"/>
  <c r="I41" i="3"/>
  <c r="D41" i="3"/>
  <c r="N40" i="3"/>
  <c r="O40" i="3" s="1"/>
  <c r="J40" i="3"/>
  <c r="I40" i="3"/>
  <c r="E40" i="3"/>
  <c r="D40" i="3"/>
  <c r="N39" i="3"/>
  <c r="O39" i="3" s="1"/>
  <c r="I39" i="3"/>
  <c r="J39" i="3" s="1"/>
  <c r="E39" i="3"/>
  <c r="D39" i="3"/>
  <c r="O38" i="3"/>
  <c r="N38" i="3"/>
  <c r="I38" i="3"/>
  <c r="J38" i="3" s="1"/>
  <c r="D38" i="3"/>
  <c r="E38" i="3" s="1"/>
  <c r="O37" i="3"/>
  <c r="N37" i="3"/>
  <c r="J37" i="3"/>
  <c r="I37" i="3"/>
  <c r="D37" i="3"/>
  <c r="E37" i="3" s="1"/>
  <c r="N36" i="3"/>
  <c r="O36" i="3" s="1"/>
  <c r="J36" i="3"/>
  <c r="I36" i="3"/>
  <c r="E36" i="3"/>
  <c r="D36" i="3"/>
  <c r="O35" i="3"/>
  <c r="N35" i="3"/>
  <c r="J35" i="3"/>
  <c r="I35" i="3"/>
  <c r="E35" i="3"/>
  <c r="D35" i="3"/>
  <c r="O34" i="3"/>
  <c r="N34" i="3"/>
  <c r="I34" i="3"/>
  <c r="J34" i="3" s="1"/>
  <c r="D34" i="3"/>
  <c r="E34" i="3" s="1"/>
  <c r="O33" i="3"/>
  <c r="N33" i="3"/>
  <c r="J33" i="3"/>
  <c r="I33" i="3"/>
  <c r="D33" i="3"/>
  <c r="E33" i="3" s="1"/>
  <c r="N32" i="3"/>
  <c r="O32" i="3" s="1"/>
  <c r="J32" i="3"/>
  <c r="I32" i="3"/>
  <c r="E32" i="3"/>
  <c r="D32" i="3"/>
  <c r="N31" i="3"/>
  <c r="O31" i="3" s="1"/>
  <c r="I31" i="3"/>
  <c r="J31" i="3" s="1"/>
  <c r="E31" i="3"/>
  <c r="D31" i="3"/>
  <c r="O30" i="3"/>
  <c r="N30" i="3"/>
  <c r="I30" i="3"/>
  <c r="J30" i="3" s="1"/>
  <c r="D30" i="3"/>
  <c r="E30" i="3" s="1"/>
  <c r="O29" i="3"/>
  <c r="N29" i="3"/>
  <c r="J29" i="3"/>
  <c r="I29" i="3"/>
  <c r="D29" i="3"/>
  <c r="E29" i="3" s="1"/>
  <c r="N28" i="3"/>
  <c r="O28" i="3" s="1"/>
  <c r="J28" i="3"/>
  <c r="I28" i="3"/>
  <c r="E28" i="3"/>
  <c r="D28" i="3"/>
  <c r="O27" i="3"/>
  <c r="N27" i="3"/>
  <c r="J27" i="3"/>
  <c r="I27" i="3"/>
  <c r="E27" i="3"/>
  <c r="D27" i="3"/>
  <c r="O26" i="3"/>
  <c r="N26" i="3"/>
  <c r="I26" i="3"/>
  <c r="J26" i="3" s="1"/>
  <c r="D26" i="3"/>
  <c r="E26" i="3" s="1"/>
  <c r="O25" i="3"/>
  <c r="N25" i="3"/>
  <c r="J25" i="3"/>
  <c r="I25" i="3"/>
  <c r="D25" i="3"/>
  <c r="N24" i="3"/>
  <c r="O24" i="3" s="1"/>
  <c r="J24" i="3"/>
  <c r="I24" i="3"/>
  <c r="E24" i="3"/>
  <c r="D24" i="3"/>
  <c r="N23" i="3"/>
  <c r="O23" i="3" s="1"/>
  <c r="I23" i="3"/>
  <c r="J23" i="3" s="1"/>
  <c r="E23" i="3"/>
  <c r="D23" i="3"/>
  <c r="O22" i="3"/>
  <c r="N22" i="3"/>
  <c r="I22" i="3"/>
  <c r="J22" i="3" s="1"/>
  <c r="D22" i="3"/>
  <c r="E22" i="3" s="1"/>
  <c r="O21" i="3"/>
  <c r="N21" i="3"/>
  <c r="J21" i="3"/>
  <c r="I21" i="3"/>
  <c r="D21" i="3"/>
  <c r="E21" i="3" s="1"/>
  <c r="N20" i="3"/>
  <c r="O20" i="3" s="1"/>
  <c r="J20" i="3"/>
  <c r="I20" i="3"/>
  <c r="E20" i="3"/>
  <c r="D20" i="3"/>
  <c r="N19" i="3"/>
  <c r="O19" i="3" s="1"/>
  <c r="I19" i="3"/>
  <c r="J19" i="3" s="1"/>
  <c r="E19" i="3"/>
  <c r="D19" i="3"/>
  <c r="O18" i="3"/>
  <c r="N18" i="3"/>
  <c r="I18" i="3"/>
  <c r="D18" i="3"/>
  <c r="E18" i="3" s="1"/>
  <c r="O17" i="3"/>
  <c r="N17" i="3"/>
  <c r="J17" i="3"/>
  <c r="I17" i="3"/>
  <c r="D17" i="3"/>
  <c r="E17" i="3" s="1"/>
  <c r="N16" i="3"/>
  <c r="O16" i="3" s="1"/>
  <c r="J16" i="3"/>
  <c r="I16" i="3"/>
  <c r="E16" i="3"/>
  <c r="D16" i="3"/>
  <c r="N15" i="3"/>
  <c r="O15" i="3" s="1"/>
  <c r="I15" i="3"/>
  <c r="J15" i="3" s="1"/>
  <c r="E15" i="3"/>
  <c r="D15" i="3"/>
  <c r="O14" i="3"/>
  <c r="N14" i="3"/>
  <c r="I14" i="3"/>
  <c r="J14" i="3" s="1"/>
  <c r="D14" i="3"/>
  <c r="E14" i="3" s="1"/>
  <c r="O13" i="3"/>
  <c r="N13" i="3"/>
  <c r="J13" i="3"/>
  <c r="I13" i="3"/>
  <c r="D13" i="3"/>
  <c r="E13" i="3" s="1"/>
  <c r="N12" i="3"/>
  <c r="O12" i="3" s="1"/>
  <c r="J12" i="3"/>
  <c r="I12" i="3"/>
  <c r="E12" i="3"/>
  <c r="D12" i="3"/>
  <c r="N11" i="3"/>
  <c r="J11" i="3"/>
  <c r="I11" i="3"/>
  <c r="E11" i="3"/>
  <c r="D11" i="3"/>
  <c r="O10" i="3"/>
  <c r="N10" i="3"/>
  <c r="I10" i="3"/>
  <c r="D10" i="3"/>
  <c r="E10" i="3" s="1"/>
  <c r="O9" i="3"/>
  <c r="N9" i="3"/>
  <c r="J9" i="3"/>
  <c r="I9" i="3"/>
  <c r="D9" i="3"/>
  <c r="E9" i="3" s="1"/>
  <c r="N8" i="3"/>
  <c r="O8" i="3" s="1"/>
  <c r="J8" i="3"/>
  <c r="I8" i="3"/>
  <c r="E8" i="3"/>
  <c r="D8" i="3"/>
  <c r="N7" i="3"/>
  <c r="O7" i="3" s="1"/>
  <c r="I7" i="3"/>
  <c r="J7" i="3" s="1"/>
  <c r="E7" i="3"/>
  <c r="D7" i="3"/>
  <c r="O6" i="3"/>
  <c r="N6" i="3"/>
  <c r="J6" i="3"/>
  <c r="I6" i="3"/>
  <c r="D6" i="3"/>
  <c r="E6" i="3" s="1"/>
  <c r="O5" i="3"/>
  <c r="N5" i="3"/>
  <c r="J5" i="3"/>
  <c r="I5" i="3"/>
  <c r="D5" i="3"/>
  <c r="E5" i="3" s="1"/>
  <c r="N4" i="3"/>
  <c r="O4" i="3" s="1"/>
  <c r="J4" i="3"/>
  <c r="I4" i="3"/>
  <c r="E4" i="3"/>
  <c r="D4" i="3"/>
  <c r="O3" i="3"/>
  <c r="N3" i="3"/>
  <c r="I3" i="3"/>
  <c r="J3" i="3" s="1"/>
  <c r="E3" i="3"/>
  <c r="D3" i="3"/>
  <c r="O2" i="3"/>
  <c r="N2" i="3"/>
  <c r="I2" i="3"/>
  <c r="J2" i="3" s="1"/>
  <c r="D2" i="3"/>
  <c r="E2" i="3" s="1"/>
  <c r="B86" i="1"/>
  <c r="C86" i="1"/>
  <c r="C85" i="1"/>
  <c r="B85" i="1"/>
  <c r="C84" i="1"/>
  <c r="B84" i="1"/>
  <c r="O27" i="1"/>
  <c r="O35" i="1"/>
  <c r="O49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74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D67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D68" i="1" s="1"/>
  <c r="N25" i="1"/>
  <c r="D69" i="1" s="1"/>
  <c r="N26" i="1"/>
  <c r="O26" i="1" s="1"/>
  <c r="N27" i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N36" i="1"/>
  <c r="O36" i="1" s="1"/>
  <c r="N37" i="1"/>
  <c r="O37" i="1" s="1"/>
  <c r="N38" i="1"/>
  <c r="O38" i="1" s="1"/>
  <c r="N39" i="1"/>
  <c r="O39" i="1" s="1"/>
  <c r="N40" i="1"/>
  <c r="O40" i="1" s="1"/>
  <c r="N41" i="1"/>
  <c r="D70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N50" i="1"/>
  <c r="O50" i="1" s="1"/>
  <c r="N51" i="1"/>
  <c r="O51" i="1" s="1"/>
  <c r="N52" i="1"/>
  <c r="O52" i="1" s="1"/>
  <c r="N2" i="1"/>
  <c r="O2" i="1" s="1"/>
  <c r="J11" i="1"/>
  <c r="J27" i="1"/>
  <c r="J35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C57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C5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C77" i="1" s="1"/>
  <c r="I25" i="1"/>
  <c r="C78" i="1" s="1"/>
  <c r="I26" i="1"/>
  <c r="J26" i="1" s="1"/>
  <c r="I27" i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I36" i="1"/>
  <c r="J36" i="1" s="1"/>
  <c r="I37" i="1"/>
  <c r="J37" i="1" s="1"/>
  <c r="I38" i="1"/>
  <c r="J38" i="1" s="1"/>
  <c r="I39" i="1"/>
  <c r="J39" i="1" s="1"/>
  <c r="I40" i="1"/>
  <c r="J40" i="1" s="1"/>
  <c r="I41" i="1"/>
  <c r="C79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E11" i="1"/>
  <c r="E27" i="1"/>
  <c r="E35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65" i="1" s="1"/>
  <c r="D11" i="1"/>
  <c r="B75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B67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B68" i="1" s="1"/>
  <c r="D25" i="1"/>
  <c r="B69" i="1" s="1"/>
  <c r="D26" i="1"/>
  <c r="E26" i="1" s="1"/>
  <c r="D27" i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E25" i="3" l="1"/>
  <c r="F43" i="3" s="1"/>
  <c r="O11" i="3"/>
  <c r="E41" i="3"/>
  <c r="F41" i="3" s="1"/>
  <c r="J10" i="3"/>
  <c r="F27" i="3"/>
  <c r="F37" i="3"/>
  <c r="J18" i="3"/>
  <c r="F24" i="3"/>
  <c r="D56" i="1"/>
  <c r="B74" i="1"/>
  <c r="B79" i="1"/>
  <c r="C76" i="1"/>
  <c r="D79" i="1"/>
  <c r="E25" i="1"/>
  <c r="B57" i="1"/>
  <c r="C75" i="1"/>
  <c r="D61" i="1"/>
  <c r="D75" i="1"/>
  <c r="D59" i="1"/>
  <c r="O24" i="1"/>
  <c r="D57" i="1"/>
  <c r="O18" i="1"/>
  <c r="B66" i="1"/>
  <c r="C65" i="1"/>
  <c r="C66" i="1"/>
  <c r="O41" i="1"/>
  <c r="D66" i="1"/>
  <c r="C70" i="1"/>
  <c r="E24" i="1"/>
  <c r="J18" i="1"/>
  <c r="D60" i="1"/>
  <c r="C69" i="1"/>
  <c r="B78" i="1"/>
  <c r="D78" i="1"/>
  <c r="J41" i="1"/>
  <c r="C68" i="1"/>
  <c r="B77" i="1"/>
  <c r="D77" i="1"/>
  <c r="C56" i="1"/>
  <c r="E10" i="1"/>
  <c r="O25" i="1"/>
  <c r="D58" i="1"/>
  <c r="C67" i="1"/>
  <c r="B76" i="1"/>
  <c r="D76" i="1"/>
  <c r="C61" i="1"/>
  <c r="C60" i="1"/>
  <c r="B56" i="1"/>
  <c r="D65" i="1"/>
  <c r="C74" i="1"/>
  <c r="C59" i="1"/>
  <c r="J25" i="1"/>
  <c r="O10" i="1"/>
  <c r="B61" i="1"/>
  <c r="B70" i="1"/>
  <c r="E18" i="1"/>
  <c r="F34" i="1" s="1"/>
  <c r="J24" i="1"/>
  <c r="B60" i="1"/>
  <c r="B59" i="1"/>
  <c r="B58" i="1"/>
  <c r="F48" i="3" l="1"/>
  <c r="F21" i="3"/>
  <c r="F22" i="3"/>
  <c r="F20" i="3"/>
  <c r="F5" i="3"/>
  <c r="F52" i="3"/>
  <c r="F51" i="3"/>
  <c r="F9" i="3"/>
  <c r="F50" i="3"/>
  <c r="F47" i="3"/>
  <c r="F16" i="3"/>
  <c r="F14" i="3"/>
  <c r="F38" i="3"/>
  <c r="F2" i="3"/>
  <c r="F12" i="3"/>
  <c r="F44" i="3"/>
  <c r="F26" i="3"/>
  <c r="F28" i="3"/>
  <c r="F45" i="3"/>
  <c r="F35" i="3"/>
  <c r="F42" i="3"/>
  <c r="F39" i="3"/>
  <c r="F3" i="3"/>
  <c r="F49" i="3"/>
  <c r="F10" i="3"/>
  <c r="F34" i="3"/>
  <c r="F13" i="3"/>
  <c r="F7" i="3"/>
  <c r="F32" i="3"/>
  <c r="F25" i="3"/>
  <c r="F8" i="3"/>
  <c r="F18" i="3"/>
  <c r="F40" i="3"/>
  <c r="F15" i="3"/>
  <c r="F30" i="3"/>
  <c r="F36" i="3"/>
  <c r="F11" i="3"/>
  <c r="F29" i="3"/>
  <c r="F31" i="3"/>
  <c r="F19" i="3"/>
  <c r="F17" i="3"/>
  <c r="F46" i="3"/>
  <c r="F33" i="3"/>
  <c r="F4" i="3"/>
  <c r="F6" i="3"/>
  <c r="F23" i="3"/>
  <c r="F22" i="1"/>
  <c r="K2" i="1"/>
  <c r="P10" i="1"/>
  <c r="K5" i="1"/>
  <c r="F43" i="1"/>
  <c r="K7" i="1"/>
  <c r="K4" i="1"/>
  <c r="F10" i="1"/>
  <c r="K50" i="1"/>
  <c r="F40" i="1"/>
  <c r="F21" i="1"/>
  <c r="F52" i="1"/>
  <c r="F49" i="1"/>
  <c r="F25" i="1"/>
  <c r="F5" i="1"/>
  <c r="F50" i="1"/>
  <c r="F17" i="1"/>
  <c r="K25" i="1"/>
  <c r="K32" i="1"/>
  <c r="K8" i="1"/>
  <c r="P19" i="1"/>
  <c r="B103" i="1"/>
  <c r="C103" i="1" s="1"/>
  <c r="F29" i="1"/>
  <c r="P47" i="1"/>
  <c r="P48" i="1"/>
  <c r="P24" i="1"/>
  <c r="P13" i="1"/>
  <c r="P26" i="1"/>
  <c r="F46" i="1"/>
  <c r="K37" i="1"/>
  <c r="F12" i="1"/>
  <c r="P5" i="1"/>
  <c r="K33" i="1"/>
  <c r="K35" i="1"/>
  <c r="P16" i="1"/>
  <c r="F41" i="1"/>
  <c r="P22" i="1"/>
  <c r="P11" i="1"/>
  <c r="P49" i="1"/>
  <c r="P37" i="1"/>
  <c r="P38" i="1"/>
  <c r="P43" i="1"/>
  <c r="K49" i="1"/>
  <c r="F36" i="1"/>
  <c r="K3" i="1"/>
  <c r="K6" i="1"/>
  <c r="K11" i="1"/>
  <c r="P42" i="1"/>
  <c r="A110" i="1"/>
  <c r="P34" i="1"/>
  <c r="P23" i="1"/>
  <c r="K15" i="1"/>
  <c r="K19" i="1"/>
  <c r="P50" i="1"/>
  <c r="K29" i="1"/>
  <c r="F20" i="1"/>
  <c r="F48" i="1"/>
  <c r="K31" i="1"/>
  <c r="P32" i="1"/>
  <c r="P44" i="1"/>
  <c r="P17" i="1"/>
  <c r="P52" i="1"/>
  <c r="P25" i="1"/>
  <c r="K30" i="1"/>
  <c r="P9" i="1"/>
  <c r="P46" i="1"/>
  <c r="K43" i="1"/>
  <c r="K44" i="1"/>
  <c r="P29" i="1"/>
  <c r="F45" i="1"/>
  <c r="P36" i="1"/>
  <c r="F97" i="1"/>
  <c r="G97" i="1" s="1"/>
  <c r="P18" i="1"/>
  <c r="A120" i="1"/>
  <c r="D97" i="1"/>
  <c r="E97" i="1" s="1"/>
  <c r="K18" i="1"/>
  <c r="D103" i="1"/>
  <c r="E103" i="1" s="1"/>
  <c r="F2" i="1"/>
  <c r="K14" i="1"/>
  <c r="K20" i="1"/>
  <c r="K24" i="1"/>
  <c r="F104" i="1"/>
  <c r="G104" i="1" s="1"/>
  <c r="F24" i="1"/>
  <c r="K42" i="1"/>
  <c r="F103" i="1"/>
  <c r="G103" i="1" s="1"/>
  <c r="P21" i="1"/>
  <c r="A111" i="1"/>
  <c r="K38" i="1"/>
  <c r="K39" i="1"/>
  <c r="K10" i="1"/>
  <c r="K23" i="1"/>
  <c r="K45" i="1"/>
  <c r="B104" i="1"/>
  <c r="C104" i="1" s="1"/>
  <c r="F23" i="1"/>
  <c r="F26" i="1"/>
  <c r="K16" i="1"/>
  <c r="P33" i="1"/>
  <c r="P3" i="1"/>
  <c r="F47" i="1"/>
  <c r="K17" i="1"/>
  <c r="K28" i="1"/>
  <c r="D104" i="1"/>
  <c r="E104" i="1" s="1"/>
  <c r="F96" i="1"/>
  <c r="G96" i="1" s="1"/>
  <c r="P14" i="1"/>
  <c r="F18" i="1"/>
  <c r="F3" i="1"/>
  <c r="A114" i="1"/>
  <c r="A109" i="1"/>
  <c r="F9" i="1"/>
  <c r="F11" i="1"/>
  <c r="K22" i="1"/>
  <c r="K47" i="1"/>
  <c r="K12" i="1"/>
  <c r="B97" i="1"/>
  <c r="C97" i="1" s="1"/>
  <c r="A119" i="1"/>
  <c r="P12" i="1"/>
  <c r="F32" i="1"/>
  <c r="A115" i="1"/>
  <c r="P45" i="1"/>
  <c r="F95" i="1"/>
  <c r="G95" i="1" s="1"/>
  <c r="F35" i="1"/>
  <c r="F37" i="1"/>
  <c r="K34" i="1"/>
  <c r="F14" i="1"/>
  <c r="K36" i="1"/>
  <c r="P15" i="1"/>
  <c r="P6" i="1"/>
  <c r="F27" i="1"/>
  <c r="K40" i="1"/>
  <c r="P41" i="1"/>
  <c r="F4" i="1"/>
  <c r="A116" i="1"/>
  <c r="K9" i="1"/>
  <c r="B102" i="1"/>
  <c r="F6" i="1"/>
  <c r="F7" i="1"/>
  <c r="K46" i="1"/>
  <c r="F39" i="1"/>
  <c r="K48" i="1"/>
  <c r="P39" i="1"/>
  <c r="P30" i="1"/>
  <c r="P4" i="1"/>
  <c r="K52" i="1"/>
  <c r="K13" i="1"/>
  <c r="A121" i="1"/>
  <c r="P27" i="1"/>
  <c r="P2" i="1"/>
  <c r="P8" i="1"/>
  <c r="F16" i="1"/>
  <c r="B96" i="1"/>
  <c r="C96" i="1" s="1"/>
  <c r="F8" i="1"/>
  <c r="D102" i="1"/>
  <c r="E102" i="1" s="1"/>
  <c r="F30" i="1"/>
  <c r="F19" i="1"/>
  <c r="F13" i="1"/>
  <c r="P40" i="1"/>
  <c r="F15" i="1"/>
  <c r="P51" i="1"/>
  <c r="K26" i="1"/>
  <c r="P35" i="1"/>
  <c r="F51" i="1"/>
  <c r="P31" i="1"/>
  <c r="K41" i="1"/>
  <c r="P20" i="1"/>
  <c r="F28" i="1"/>
  <c r="D96" i="1"/>
  <c r="E96" i="1" s="1"/>
  <c r="F33" i="1"/>
  <c r="F102" i="1"/>
  <c r="G102" i="1" s="1"/>
  <c r="F42" i="1"/>
  <c r="F31" i="1"/>
  <c r="F38" i="1"/>
  <c r="P28" i="1"/>
  <c r="F44" i="1"/>
  <c r="K21" i="1"/>
  <c r="K51" i="1"/>
  <c r="K27" i="1"/>
  <c r="P7" i="1"/>
  <c r="B120" i="1" l="1"/>
  <c r="C120" i="1"/>
  <c r="C111" i="1"/>
  <c r="B111" i="1"/>
  <c r="C110" i="1"/>
  <c r="B110" i="1"/>
  <c r="B116" i="1"/>
  <c r="C116" i="1"/>
  <c r="B109" i="1"/>
  <c r="C109" i="1"/>
  <c r="D95" i="1"/>
  <c r="E95" i="1" s="1"/>
  <c r="B95" i="1"/>
  <c r="B121" i="1"/>
  <c r="C121" i="1"/>
  <c r="C114" i="1"/>
  <c r="B114" i="1"/>
  <c r="B119" i="1"/>
  <c r="C119" i="1"/>
  <c r="B115" i="1"/>
  <c r="C115" i="1"/>
  <c r="C102" i="1" l="1"/>
  <c r="C9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<sst xmlns="http://schemas.openxmlformats.org/spreadsheetml/2006/main" count="291" uniqueCount="93">
  <si>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</si>
  <si>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</si>
  <si>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</si>
  <si>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</si>
  <si>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</si>
  <si>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</si>
  <si>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</si>
  <si>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</si>
  <si>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</si>
  <si>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</si>
  <si>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</si>
  <si>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</si>
  <si>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</si>
  <si>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</si>
  <si>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</si>
  <si>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</si>
  <si>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</si>
  <si>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</si>
  <si>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</si>
  <si>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</si>
  <si>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</si>
  <si>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</si>
  <si>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</si>
  <si>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</si>
  <si>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</si>
  <si>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</si>
  <si>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</si>
  <si>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</si>
  <si>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</si>
  <si>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</si>
  <si>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</si>
  <si>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</si>
  <si>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</si>
  <si>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</si>
  <si>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</si>
  <si>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</si>
  <si>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</si>
  <si>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</si>
  <si>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</si>
  <si>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</si>
  <si>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</si>
  <si>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</si>
  <si>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</si>
  <si>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</si>
  <si>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</si>
  <si>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</si>
  <si>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</si>
  <si>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</si>
  <si>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</si>
  <si>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</si>
  <si>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</si>
  <si>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</si>
  <si>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</si>
  <si>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</si>
  <si>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</si>
  <si>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</si>
  <si>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</si>
  <si>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</si>
  <si>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</si>
  <si>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</si>
  <si>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</si>
  <si>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</si>
  <si>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</si>
  <si>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</si>
  <si>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</si>
  <si>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</si>
  <si>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</si>
  <si>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</si>
  <si>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</si>
  <si>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</si>
  <si>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</si>
  <si>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</si>
  <si>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</si>
  <si>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</si>
  <si>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</si>
  <si>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</si>
  <si>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</si>
  <si>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</si>
  <si>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</si>
  <si>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</si>
  <si>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</si>
  <si>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</si>
  <si>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</si>
  <si>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</si>
  <si>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</si>
  <si>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</si>
  <si>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</si>
  <si>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</si>
  <si>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</si>
  <si>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</si>
  <si>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Department Name</t>
  </si>
  <si>
    <t>This is a help table. Not part of the solution for assignment. Used for extra exercise.</t>
  </si>
  <si>
    <t>Note: This worksheet has different functions. Kept for self reference!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</si>
</sst>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10" fontId="16" fillId="0" borderId="0" xfId="0" applyNumberFormat="1" applyFont="1"/>
    <xf numFmtId="0" fontId="16" fillId="33" borderId="0" xfId="0" applyFont="1" applyFill="1"/>
    <xf numFmtId="0" fontId="16" fillId="35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0" borderId="0" xfId="0" applyFont="1" applyAlignment="1">
      <alignment horizontal="left"/>
    </xf>
    <xf numFmtId="0" fontId="22" fillId="0" borderId="0" xfId="0" applyFont="1"/>
    <xf numFmtId="0" fontId="16" fillId="40" borderId="0" xfId="0" applyFont="1" applyFill="1"/>
    <xf numFmtId="0" fontId="13" fillId="39" borderId="0" xfId="0" applyFont="1" applyFill="1"/>
    <xf numFmtId="0" fontId="21" fillId="33" borderId="0" xfId="0" applyFont="1" applyFill="1"/>
    <xf numFmtId="0" fontId="16" fillId="41" borderId="0" xfId="0" applyFont="1" applyFill="1"/>
    <xf numFmtId="0" fontId="24" fillId="39" borderId="0" xfId="0" applyFont="1" applyFill="1" applyAlignment="1">
      <alignment horizontal="center"/>
    </xf>
    <xf numFmtId="0" fontId="25" fillId="33" borderId="0" xfId="0" applyFont="1" applyFill="1"/>
    <xf numFmtId="0" fontId="26" fillId="33" borderId="0" xfId="0" applyFont="1" applyFill="1"/>
    <xf numFmtId="0" fontId="26" fillId="36" borderId="0" xfId="0" applyFont="1" applyFill="1"/>
    <xf numFmtId="0" fontId="26" fillId="41" borderId="0" xfId="0" applyFont="1" applyFill="1"/>
    <xf numFmtId="10" fontId="0" fillId="42" borderId="0" xfId="0" applyNumberFormat="1" applyFill="1"/>
    <xf numFmtId="10" fontId="0" fillId="43" borderId="0" xfId="0" applyNumberFormat="1" applyFill="1"/>
    <xf numFmtId="10" fontId="0" fillId="44" borderId="0" xfId="0" applyNumberFormat="1" applyFill="1"/>
    <xf numFmtId="165" fontId="0" fillId="42" borderId="0" xfId="0" applyNumberFormat="1" applyFill="1"/>
    <xf numFmtId="10" fontId="0" fillId="34" borderId="0" xfId="0" applyNumberFormat="1" applyFill="1"/>
    <xf numFmtId="0" fontId="13" fillId="39" borderId="0" xfId="0" applyFont="1" applyFill="1" applyAlignment="1">
      <alignment horizontal="left"/>
    </xf>
    <xf numFmtId="0" fontId="27" fillId="39" borderId="0" xfId="0" applyFont="1" applyFill="1"/>
    <xf numFmtId="0" fontId="21" fillId="38" borderId="0" xfId="0" applyFont="1" applyFill="1"/>
    <xf numFmtId="0" fontId="20" fillId="37" borderId="0" xfId="0" applyFont="1" applyFill="1" applyAlignment="1">
      <alignment horizontal="center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  <xf numFmtId="0" fontId="16" fillId="37" borderId="0" xfId="0" applyFont="1" applyFill="1" applyAlignment="1">
      <alignment horizontal="left"/>
    </xf>
    <xf numFmtId="0" fontId="21" fillId="41" borderId="0" xfId="0" applyFont="1" applyFill="1"/>
    <xf numFmtId="0" fontId="21" fillId="35" borderId="0" xfId="0" applyFont="1" applyFill="1"/>
    <xf numFmtId="0" fontId="21" fillId="36" borderId="0" xfId="0" applyFont="1" applyFill="1"/>
    <xf numFmtId="0" fontId="21" fillId="37" borderId="0" xfId="0" applyFont="1" applyFill="1"/>
    <xf numFmtId="0" fontId="20" fillId="37" borderId="0" xfId="0" applyFont="1" applyFill="1"/>
    <xf numFmtId="0" fontId="23" fillId="37" borderId="0" xfId="0" applyFont="1" applyFill="1" applyAlignment="1">
      <alignment horizontal="center"/>
    </xf>
    <xf numFmtId="0" fontId="23" fillId="37" borderId="0" xfId="0" applyFont="1" applyFill="1"/>
    <xf numFmtId="0" fontId="26" fillId="34" borderId="0" xfId="0" applyFont="1" applyFill="1"/>
    <xf numFmtId="165" fontId="0" fillId="34" borderId="0" xfId="0" applyNumberFormat="1" applyFill="1"/>
    <xf numFmtId="0" fontId="16" fillId="45" borderId="0" xfId="0" applyFont="1" applyFill="1"/>
    <xf numFmtId="0" fontId="21" fillId="4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/>
              <a:t>Dept.</a:t>
            </a:r>
            <a:r>
              <a:rPr lang="en-US" b="0" baseline="0"/>
              <a:t> Budget Chart</a:t>
            </a:r>
          </a:p>
          <a:p>
            <a:pPr algn="ctr">
              <a:defRPr/>
            </a:pPr>
            <a:endParaRPr lang="en-US"/>
          </a:p>
        </c:rich>
      </c:tx>
      <c:layout>
        <c:manualLayout>
          <c:xMode val="edge"/>
          <c:yMode val="edge"/>
          <c:x val="0.31396803745988444"/>
          <c:y val="6.31912742424706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75649074271122"/>
          <c:y val="0.19940860215053766"/>
          <c:w val="0.69114380128159658"/>
          <c:h val="0.55288502243671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'metro_budget final '!$B$82:$B$83</c:f>
              <c:strCache>
                <c:ptCount val="2"/>
                <c:pt idx="0">
                  <c:v>Administrative</c:v>
                </c:pt>
                <c:pt idx="1">
                  <c:v>Budget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'metro_budget final '!$A$84:$A$86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'metro_budget final '!$B$84:$B$86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D-4A38-B6A8-C0C8E89C2CFB}"/>
            </c:ext>
          </c:extLst>
        </c:ser>
        <c:ser>
          <c:idx val="1"/>
          <c:order val="1"/>
          <c:tx>
            <c:strRef>
              <c:f>'metro_budget final '!$C$82:$C$83</c:f>
              <c:strCache>
                <c:ptCount val="2"/>
                <c:pt idx="0">
                  <c:v>Administrative</c:v>
                </c:pt>
                <c:pt idx="1">
                  <c:v>Actual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'metro_budget final '!$A$84:$A$86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'metro_budget final '!$C$84:$C$86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1D-4A38-B6A8-C0C8E89C2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03111328"/>
        <c:axId val="1353275248"/>
      </c:barChart>
      <c:catAx>
        <c:axId val="160311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275248"/>
        <c:crosses val="autoZero"/>
        <c:auto val="1"/>
        <c:lblAlgn val="ctr"/>
        <c:lblOffset val="100"/>
        <c:noMultiLvlLbl val="0"/>
      </c:catAx>
      <c:valAx>
        <c:axId val="1353275248"/>
        <c:scaling>
          <c:orientation val="minMax"/>
        </c:scaling>
        <c:delete val="0"/>
        <c:axPos val="l"/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11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/>
              <a:t>Dept.</a:t>
            </a:r>
            <a:r>
              <a:rPr lang="en-US" b="0" baseline="0"/>
              <a:t> Budget Chart</a:t>
            </a:r>
          </a:p>
          <a:p>
            <a:pPr algn="ctr">
              <a:defRPr/>
            </a:pPr>
            <a:endParaRPr lang="en-US"/>
          </a:p>
        </c:rich>
      </c:tx>
      <c:layout>
        <c:manualLayout>
          <c:xMode val="edge"/>
          <c:yMode val="edge"/>
          <c:x val="0.31396803745988444"/>
          <c:y val="6.31912742424706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75649074271122"/>
          <c:y val="0.19940860215053766"/>
          <c:w val="0.69114380128159658"/>
          <c:h val="0.55288502243671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District Attorney</c:v>
                </c:pt>
                <c:pt idx="1">
                  <c:v>Budget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6600700</c:v>
                </c:pt>
                <c:pt idx="1">
                  <c:v>7352500</c:v>
                </c:pt>
                <c:pt idx="2">
                  <c:v>7397200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0-464B-A499-93DCE8D291D1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District Attorney</c:v>
                </c:pt>
                <c:pt idx="1">
                  <c:v>Actual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6522480.4599999897</c:v>
                </c:pt>
                <c:pt idx="1">
                  <c:v>7350464.0800000001</c:v>
                </c:pt>
                <c:pt idx="2">
                  <c:v>7397093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20-464B-A499-93DCE8D29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03111328"/>
        <c:axId val="1353275248"/>
      </c:barChart>
      <c:catAx>
        <c:axId val="160311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275248"/>
        <c:crosses val="autoZero"/>
        <c:auto val="1"/>
        <c:lblAlgn val="ctr"/>
        <c:lblOffset val="100"/>
        <c:noMultiLvlLbl val="0"/>
      </c:catAx>
      <c:valAx>
        <c:axId val="1353275248"/>
        <c:scaling>
          <c:orientation val="minMax"/>
        </c:scaling>
        <c:delete val="0"/>
        <c:axPos val="l"/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11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80</xdr:row>
      <xdr:rowOff>34290</xdr:rowOff>
    </xdr:from>
    <xdr:to>
      <xdr:col>5</xdr:col>
      <xdr:colOff>887730</xdr:colOff>
      <xdr:row>91</xdr:row>
      <xdr:rowOff>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EBF7E-EAAF-4A8E-BC70-37C7608AB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80</xdr:row>
      <xdr:rowOff>34290</xdr:rowOff>
    </xdr:from>
    <xdr:to>
      <xdr:col>5</xdr:col>
      <xdr:colOff>887730</xdr:colOff>
      <xdr:row>91</xdr:row>
      <xdr:rowOff>1905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0D2CFE-6EB3-0663-2974-6BE1A64E3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7A49-8DDE-4647-9B3B-0B8B6DD25CB4}">
  <dimension ref="A1:P120"/>
  <sheetViews>
    <sheetView tabSelected="1" zoomScale="80" zoomScaleNormal="80" workbookViewId="0">
      <pane ySplit="1" topLeftCell="A78" activePane="bottomLeft" state="frozen"/>
      <selection pane="bottomLeft" activeCell="B79" sqref="B79"/>
    </sheetView>
  </sheetViews>
  <sheetFormatPr defaultColWidth="8.88671875" defaultRowHeight="14.4" x14ac:dyDescent="0.3"/>
  <cols>
    <col min="1" max="1" width="32.33203125" bestFit="1" customWidth="1"/>
    <col min="2" max="16" width="25.88671875" customWidth="1"/>
    <col min="17" max="17" width="13.33203125" bestFit="1" customWidth="1"/>
  </cols>
  <sheetData>
    <row r="1" spans="1:16" s="6" customFormat="1" x14ac:dyDescent="0.3">
      <c r="A1" s="30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6" t="s">
        <v>5</v>
      </c>
      <c r="G1" s="32" t="s">
        <v>6</v>
      </c>
      <c r="H1" s="33" t="s">
        <v>7</v>
      </c>
      <c r="I1" s="34" t="s">
        <v>8</v>
      </c>
      <c r="J1" s="35" t="s">
        <v>9</v>
      </c>
      <c r="K1" s="36" t="s">
        <v>10</v>
      </c>
      <c r="L1" s="32" t="s">
        <v>11</v>
      </c>
      <c r="M1" s="33" t="s">
        <v>12</v>
      </c>
      <c r="N1" s="34" t="s">
        <v>13</v>
      </c>
      <c r="O1" s="35" t="s">
        <v>14</v>
      </c>
      <c r="P1" s="36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4">
        <f>IF(B2=0, 0, D2/B2)</f>
        <v>-4.3170750765267295E-2</v>
      </c>
      <c r="F2">
        <f>_xlfn.RANK.EQ(E2, E$2:E$52, 1)</f>
        <v>14</v>
      </c>
      <c r="G2">
        <v>382685200</v>
      </c>
      <c r="H2">
        <v>346340810.81999999</v>
      </c>
      <c r="I2">
        <f>H2-G2</f>
        <v>-36344389.180000007</v>
      </c>
      <c r="J2" s="4">
        <f>IF(G2=0, 0, I2/G2)</f>
        <v>-9.4972027086493035E-2</v>
      </c>
      <c r="K2">
        <f>_xlfn.RANK.EQ(J2, J$2:J$52, 1)</f>
        <v>10</v>
      </c>
      <c r="L2">
        <v>376548600</v>
      </c>
      <c r="M2">
        <v>355279492.22999901</v>
      </c>
      <c r="N2">
        <f>M2-L2</f>
        <v>-21269107.770000994</v>
      </c>
      <c r="O2" s="4">
        <f>IF(L2=0, 0, N2/L2)</f>
        <v>-5.6484362894991494E-2</v>
      </c>
      <c r="P2">
        <f>_xlfn.RANK.EQ(O2, O$2:O$52, 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4">
        <f t="shared" ref="E3:E52" si="1">IF(B3=0, 0, D3/B3)</f>
        <v>-2.3069981751824741E-2</v>
      </c>
      <c r="F3">
        <f t="shared" ref="F3:F52" si="2">_xlfn.RANK.EQ(E3, E$2:E$52,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4">
        <f t="shared" ref="J3:J52" si="4">IF(G3=0, 0, I3/G3)</f>
        <v>-6.6804928315415249E-2</v>
      </c>
      <c r="K3">
        <f t="shared" ref="K3:K52" si="5">_xlfn.RANK.EQ(J3, J$2:J$52,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4">
        <f t="shared" ref="O3:O52" si="7">IF(L3=0, 0, N3/L3)</f>
        <v>-1.3540749922529313E-3</v>
      </c>
      <c r="P3">
        <f t="shared" ref="P3:P52" si="8">_xlfn.RANK.EQ(O3, O$2:O$52, 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4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4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4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4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4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4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4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4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4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4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4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4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4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4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4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4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4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4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4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4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4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4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4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4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4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4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4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4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4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4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4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4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4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4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4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4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4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4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4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4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4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4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4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4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4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4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4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4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4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4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4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4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4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4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4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4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4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4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4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4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4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4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4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4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4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4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4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4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4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4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4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4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4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4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4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4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4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4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4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4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4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4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4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4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4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4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4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4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4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4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4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4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4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4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4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4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4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4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4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4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4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4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4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4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4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4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4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4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4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4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4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4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4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4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4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4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4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4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4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4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4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4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4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4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4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4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4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4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4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4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4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4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4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4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4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4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4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4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4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4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4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4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4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4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4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4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4">
        <f t="shared" si="7"/>
        <v>-0.11404408166781529</v>
      </c>
      <c r="P52">
        <f t="shared" si="8"/>
        <v>6</v>
      </c>
    </row>
    <row r="54" spans="1:16" x14ac:dyDescent="0.3">
      <c r="A54" s="29" t="s">
        <v>67</v>
      </c>
    </row>
    <row r="55" spans="1:16" s="6" customFormat="1" x14ac:dyDescent="0.3">
      <c r="A55" s="11" t="s">
        <v>0</v>
      </c>
      <c r="B55" s="9" t="s">
        <v>3</v>
      </c>
      <c r="C55" s="9" t="s">
        <v>8</v>
      </c>
      <c r="D55" s="9" t="s">
        <v>13</v>
      </c>
    </row>
    <row r="56" spans="1:16" x14ac:dyDescent="0.3">
      <c r="A56" t="s">
        <v>24</v>
      </c>
      <c r="B56">
        <f>VLOOKUP($A56,$A$2:$P$52,MATCH(B$55,$A$1:$P$1,0),0)</f>
        <v>-36209.630000000005</v>
      </c>
      <c r="C56">
        <f t="shared" ref="C56:D56" si="9">VLOOKUP($A56,$A$2:$P$52,MATCH(C$55,$A$1:$P$1,0),0)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D61" si="10">VLOOKUP($A57,$A$2:$P$52,MATCH(B$55,$A$1:$P$1,0),0)</f>
        <v>0</v>
      </c>
      <c r="C57">
        <f t="shared" si="10"/>
        <v>0</v>
      </c>
      <c r="D57">
        <f t="shared" si="10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10"/>
        <v>-189254.06000000006</v>
      </c>
      <c r="D58">
        <f t="shared" si="10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10"/>
        <v>-45485.580000000075</v>
      </c>
      <c r="D59">
        <f t="shared" si="10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10"/>
        <v>-8005.7900000010268</v>
      </c>
      <c r="D60">
        <f t="shared" si="10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10"/>
        <v>-133456.33000001032</v>
      </c>
      <c r="D61">
        <f t="shared" si="10"/>
        <v>-82077.349999999627</v>
      </c>
    </row>
    <row r="63" spans="1:16" x14ac:dyDescent="0.3">
      <c r="A63" s="15" t="s">
        <v>68</v>
      </c>
    </row>
    <row r="64" spans="1:16" x14ac:dyDescent="0.3">
      <c r="A64" s="11" t="s">
        <v>0</v>
      </c>
      <c r="B64" s="9" t="s">
        <v>3</v>
      </c>
      <c r="C64" s="9" t="s">
        <v>8</v>
      </c>
      <c r="D64" s="9" t="s">
        <v>13</v>
      </c>
    </row>
    <row r="65" spans="1:4" x14ac:dyDescent="0.3">
      <c r="A65" t="s">
        <v>24</v>
      </c>
      <c r="B65" cm="1">
        <f t="array" ref="B65">_xlfn.XLOOKUP($A65, $A$2:$A$52, INDEX($A$2:$P$52, , MATCH(B$64, $A$1:$P$1, 0)), "", 0)</f>
        <v>-36209.630000000005</v>
      </c>
      <c r="C65" cm="1">
        <f t="array" ref="C65">_xlfn.XLOOKUP($A65, $A$2:$A$52, INDEX($A$2:$P$52, , MATCH(C$64, $A$1:$P$1, 0)), "", 0)</f>
        <v>-27292.159999999974</v>
      </c>
      <c r="D65" cm="1">
        <f t="array" ref="D65">_xlfn.XLOOKUP($A65, $A$2:$A$52, INDEX($A$2:$P$52, , MATCH(D$64, $A$1:$P$1, 0)), "", 0)</f>
        <v>-9181.0800000000163</v>
      </c>
    </row>
    <row r="66" spans="1:4" x14ac:dyDescent="0.3">
      <c r="A66" t="s">
        <v>25</v>
      </c>
      <c r="B66" cm="1">
        <f t="array" ref="B66">_xlfn.XLOOKUP($A66, $A$2:$A$52, INDEX($A$2:$P$52, , MATCH(B$64, $A$1:$P$1, 0)), "", 0)</f>
        <v>0</v>
      </c>
      <c r="C66" cm="1">
        <f t="array" ref="C66">_xlfn.XLOOKUP($A66, $A$2:$A$52, INDEX($A$2:$P$52, , MATCH(C$64, $A$1:$P$1, 0)), "", 0)</f>
        <v>0</v>
      </c>
      <c r="D66" cm="1">
        <f t="array" ref="D66">_xlfn.XLOOKUP($A66, $A$2:$A$52, INDEX($A$2:$P$52, , MATCH(D$64, $A$1:$P$1, 0)), "", 0)</f>
        <v>-311228.08999999997</v>
      </c>
    </row>
    <row r="67" spans="1:4" x14ac:dyDescent="0.3">
      <c r="A67" t="s">
        <v>32</v>
      </c>
      <c r="B67" cm="1">
        <f t="array" ref="B67">_xlfn.XLOOKUP($A67, $A$2:$A$52, INDEX($A$2:$P$52, , MATCH(B$64, $A$1:$P$1, 0)), "", 0)</f>
        <v>-149396.10000000987</v>
      </c>
      <c r="C67" cm="1">
        <f t="array" ref="C67">_xlfn.XLOOKUP($A67, $A$2:$A$52, INDEX($A$2:$P$52, , MATCH(C$64, $A$1:$P$1, 0)), "", 0)</f>
        <v>-189254.06000000006</v>
      </c>
      <c r="D67" cm="1">
        <f t="array" ref="D67">_xlfn.XLOOKUP($A67, $A$2:$A$52, INDEX($A$2:$P$52, , MATCH(D$64, $A$1:$P$1, 0)), "", 0)</f>
        <v>-374962.91000000015</v>
      </c>
    </row>
    <row r="68" spans="1:4" x14ac:dyDescent="0.3">
      <c r="A68" t="s">
        <v>38</v>
      </c>
      <c r="B68" cm="1">
        <f t="array" ref="B68">_xlfn.XLOOKUP($A68, $A$2:$A$52, INDEX($A$2:$P$52, , MATCH(B$64, $A$1:$P$1, 0)), "", 0)</f>
        <v>-12230.810000000056</v>
      </c>
      <c r="C68" cm="1">
        <f t="array" ref="C68">_xlfn.XLOOKUP($A68, $A$2:$A$52, INDEX($A$2:$P$52, , MATCH(C$64, $A$1:$P$1, 0)), "", 0)</f>
        <v>-45485.580000000075</v>
      </c>
      <c r="D68" cm="1">
        <f t="array" ref="D68">_xlfn.XLOOKUP($A68, $A$2:$A$52, INDEX($A$2:$P$52, , MATCH(D$64, $A$1:$P$1, 0)), "", 0)</f>
        <v>-72.879999999888241</v>
      </c>
    </row>
    <row r="69" spans="1:4" x14ac:dyDescent="0.3">
      <c r="A69" t="s">
        <v>39</v>
      </c>
      <c r="B69" cm="1">
        <f t="array" ref="B69">_xlfn.XLOOKUP($A69, $A$2:$A$52, INDEX($A$2:$P$52, , MATCH(B$64, $A$1:$P$1, 0)), "", 0)</f>
        <v>-4950.4699999999721</v>
      </c>
      <c r="C69" cm="1">
        <f t="array" ref="C69">_xlfn.XLOOKUP($A69, $A$2:$A$52, INDEX($A$2:$P$52, , MATCH(C$64, $A$1:$P$1, 0)), "", 0)</f>
        <v>-8005.7900000010268</v>
      </c>
      <c r="D69" cm="1">
        <f t="array" ref="D69">_xlfn.XLOOKUP($A69, $A$2:$A$52, INDEX($A$2:$P$52, , MATCH(D$64, $A$1:$P$1, 0)), "", 0)</f>
        <v>-1724.9000000000233</v>
      </c>
    </row>
    <row r="70" spans="1:4" x14ac:dyDescent="0.3">
      <c r="A70" t="s">
        <v>55</v>
      </c>
      <c r="B70" cm="1">
        <f t="array" ref="B70">_xlfn.XLOOKUP($A70, $A$2:$A$52, INDEX($A$2:$P$52, , MATCH(B$64, $A$1:$P$1, 0)), "", 0)</f>
        <v>-184239.79000001028</v>
      </c>
      <c r="C70" cm="1">
        <f t="array" ref="C70">_xlfn.XLOOKUP($A70, $A$2:$A$52, INDEX($A$2:$P$52, , MATCH(C$64, $A$1:$P$1, 0)), "", 0)</f>
        <v>-133456.33000001032</v>
      </c>
      <c r="D70" cm="1">
        <f t="array" ref="D70">_xlfn.XLOOKUP($A70, $A$2:$A$52, INDEX($A$2:$P$52, , MATCH(D$64, $A$1:$P$1, 0)), "", 0)</f>
        <v>-82077.349999999627</v>
      </c>
    </row>
    <row r="72" spans="1:4" x14ac:dyDescent="0.3">
      <c r="A72" s="15" t="s">
        <v>69</v>
      </c>
    </row>
    <row r="73" spans="1:4" x14ac:dyDescent="0.3">
      <c r="A73" s="11" t="s">
        <v>0</v>
      </c>
      <c r="B73" s="9" t="s">
        <v>3</v>
      </c>
      <c r="C73" s="9" t="s">
        <v>8</v>
      </c>
      <c r="D73" s="9" t="s">
        <v>13</v>
      </c>
    </row>
    <row r="74" spans="1:4" x14ac:dyDescent="0.3">
      <c r="A74" t="s">
        <v>24</v>
      </c>
      <c r="B74">
        <f>INDEX($A$2:$P$52,MATCH($A74,$A$2:$A$52,0),MATCH(B$73,$A$1:$P$1,0))</f>
        <v>-36209.630000000005</v>
      </c>
      <c r="C74">
        <f t="shared" ref="C74:D74" si="11">INDEX($A$2:$P$52,MATCH($A74,$A$2:$A$52,0),MATCH(C$73,$A$1:$P$1,0))</f>
        <v>-27292.159999999974</v>
      </c>
      <c r="D74">
        <f t="shared" si="11"/>
        <v>-9181.0800000000163</v>
      </c>
    </row>
    <row r="75" spans="1:4" x14ac:dyDescent="0.3">
      <c r="A75" t="s">
        <v>25</v>
      </c>
      <c r="B75">
        <f t="shared" ref="B75:D79" si="12">INDEX($A$2:$P$52,MATCH($A75,$A$2:$A$52,0),MATCH(B$73,$A$1:$P$1,0))</f>
        <v>0</v>
      </c>
      <c r="C75">
        <f t="shared" si="12"/>
        <v>0</v>
      </c>
      <c r="D75">
        <f t="shared" si="12"/>
        <v>-311228.08999999997</v>
      </c>
    </row>
    <row r="76" spans="1:4" x14ac:dyDescent="0.3">
      <c r="A76" t="s">
        <v>32</v>
      </c>
      <c r="B76">
        <f t="shared" si="12"/>
        <v>-149396.10000000987</v>
      </c>
      <c r="C76">
        <f t="shared" si="12"/>
        <v>-189254.06000000006</v>
      </c>
      <c r="D76">
        <f t="shared" si="12"/>
        <v>-374962.91000000015</v>
      </c>
    </row>
    <row r="77" spans="1:4" x14ac:dyDescent="0.3">
      <c r="A77" t="s">
        <v>38</v>
      </c>
      <c r="B77">
        <f t="shared" si="12"/>
        <v>-12230.810000000056</v>
      </c>
      <c r="C77">
        <f t="shared" si="12"/>
        <v>-45485.580000000075</v>
      </c>
      <c r="D77">
        <f t="shared" si="12"/>
        <v>-72.879999999888241</v>
      </c>
    </row>
    <row r="78" spans="1:4" x14ac:dyDescent="0.3">
      <c r="A78" t="s">
        <v>39</v>
      </c>
      <c r="B78">
        <f t="shared" si="12"/>
        <v>-4950.4699999999721</v>
      </c>
      <c r="C78">
        <f t="shared" si="12"/>
        <v>-8005.7900000010268</v>
      </c>
      <c r="D78">
        <f t="shared" si="12"/>
        <v>-1724.9000000000233</v>
      </c>
    </row>
    <row r="79" spans="1:4" x14ac:dyDescent="0.3">
      <c r="A79" t="s">
        <v>55</v>
      </c>
      <c r="B79">
        <f t="shared" si="12"/>
        <v>-184239.79000001028</v>
      </c>
      <c r="C79">
        <f t="shared" si="12"/>
        <v>-133456.33000001032</v>
      </c>
      <c r="D79">
        <f t="shared" si="12"/>
        <v>-82077.349999999627</v>
      </c>
    </row>
    <row r="81" spans="1:7" x14ac:dyDescent="0.3">
      <c r="A81" s="15" t="s">
        <v>70</v>
      </c>
    </row>
    <row r="82" spans="1:7" x14ac:dyDescent="0.3">
      <c r="A82" s="14" t="s">
        <v>0</v>
      </c>
      <c r="B82" s="14" t="s">
        <v>16</v>
      </c>
    </row>
    <row r="83" spans="1:7" x14ac:dyDescent="0.3">
      <c r="B83" s="8" t="s">
        <v>71</v>
      </c>
      <c r="C83" s="17" t="s">
        <v>72</v>
      </c>
    </row>
    <row r="84" spans="1:7" x14ac:dyDescent="0.3">
      <c r="A84" s="11" t="s">
        <v>73</v>
      </c>
      <c r="B84" s="26">
        <f>INDEX($A$2:$P$52,MATCH($B$82,$A$2:$A$52,0),2)</f>
        <v>356640100</v>
      </c>
      <c r="C84" s="45">
        <f>INDEX($A$2:$P$52,MATCH($B$82,$A$2:$A$52,0),3)</f>
        <v>341243679.13</v>
      </c>
    </row>
    <row r="85" spans="1:7" x14ac:dyDescent="0.3">
      <c r="A85" s="11" t="s">
        <v>74</v>
      </c>
      <c r="B85" s="26">
        <f>INDEX($A$2:$P$52,MATCH($B$82,$A$2:$A$52,0),7)</f>
        <v>382685200</v>
      </c>
      <c r="C85" s="45">
        <f>INDEX($H$2:$H$52, MATCH($B$82, $A$2:$A$52, 8))</f>
        <v>346340810.81999999</v>
      </c>
    </row>
    <row r="86" spans="1:7" x14ac:dyDescent="0.3">
      <c r="A86" s="11" t="s">
        <v>75</v>
      </c>
      <c r="B86" s="26">
        <f>INDEX($A$2:$P$52,MATCH($B$82,$A$2:$A$52,0),12)</f>
        <v>376548600</v>
      </c>
      <c r="C86" s="45">
        <f>INDEX($M$2:$M$52, MATCH($B$82, $A$2:$A$52, 13))</f>
        <v>355279492.22999901</v>
      </c>
    </row>
    <row r="87" spans="1:7" x14ac:dyDescent="0.3">
      <c r="B87" s="5"/>
      <c r="C87" s="5"/>
    </row>
    <row r="88" spans="1:7" x14ac:dyDescent="0.3">
      <c r="B88" s="5"/>
      <c r="C88" s="5"/>
    </row>
    <row r="89" spans="1:7" x14ac:dyDescent="0.3">
      <c r="B89" s="5"/>
      <c r="C89" s="5"/>
    </row>
    <row r="90" spans="1:7" x14ac:dyDescent="0.3">
      <c r="B90" s="5"/>
      <c r="C90" s="5"/>
    </row>
    <row r="92" spans="1:7" x14ac:dyDescent="0.3">
      <c r="A92" s="15" t="s">
        <v>76</v>
      </c>
    </row>
    <row r="93" spans="1:7" ht="15.6" x14ac:dyDescent="0.3">
      <c r="A93" s="10" t="s">
        <v>77</v>
      </c>
      <c r="B93" s="31">
        <v>1</v>
      </c>
      <c r="C93" s="31"/>
      <c r="D93" s="31">
        <v>2</v>
      </c>
      <c r="E93" s="31"/>
      <c r="F93" s="31">
        <v>3</v>
      </c>
      <c r="G93" s="31"/>
    </row>
    <row r="94" spans="1:7" x14ac:dyDescent="0.3">
      <c r="B94" s="28" t="s">
        <v>0</v>
      </c>
      <c r="C94" s="28" t="s">
        <v>78</v>
      </c>
      <c r="D94" s="28" t="s">
        <v>0</v>
      </c>
      <c r="E94" s="28" t="s">
        <v>78</v>
      </c>
      <c r="F94" s="28" t="s">
        <v>0</v>
      </c>
      <c r="G94" s="28" t="s">
        <v>78</v>
      </c>
    </row>
    <row r="95" spans="1:7" x14ac:dyDescent="0.3">
      <c r="A95" s="11" t="s">
        <v>73</v>
      </c>
      <c r="B95" s="19" t="str" cm="1">
        <f t="array" ref="B95">_xlfn.XLOOKUP($B$93, INDEX($A$2:$P$52,, MATCH($A95 &amp; "_rank", $A$1:$P$1, 0)), $A$2:$A$52, "", 0)</f>
        <v>Clerk and Master - Chancery</v>
      </c>
      <c r="C95" s="23" cm="1">
        <f t="array" ref="C95">_xlfn.XLOOKUP($B$93, INDEX($A$2:$P$52, , MATCH($A95 &amp; "_rank", $A$1:$P$1, 0)), INDEX($A$2:$P$52, , MATCH($A95 &amp; "_diff_pct", $A$1:$P$1, 0)),"",0)</f>
        <v>-0.15235918433091292</v>
      </c>
      <c r="D95" s="44" t="str" cm="1">
        <f t="array" ref="D95">_xlfn.XLOOKUP($D$93, INDEX($A$2:$P$52,, MATCH($A95 &amp; "_rank", $A$1:$P$1, 0)), $A$2:$A$52, "", 0)</f>
        <v>Circuit Court Clerk</v>
      </c>
      <c r="E95" s="24" cm="1">
        <f t="array" ref="E95">_xlfn.XLOOKUP($D$93, INDEX($A$2:$P$52, , MATCH($A95 &amp; "_rank", $A$1:$P$1, 0)), INDEX($A$2:$P$52, , MATCH($A95 &amp; "_diff_pct", $A$1:$P$1, 0)),"",0)</f>
        <v>-0.11502817362571344</v>
      </c>
      <c r="F95" s="21" t="str" cm="1">
        <f t="array" ref="F95">_xlfn.XLOOKUP(F93, INDEX($A$2:$P$52,, MATCH($A95 &amp; "_rank", $A$1:$P$1, 0)), $A$2:$A$52, "", 0)</f>
        <v>Internal Audit</v>
      </c>
      <c r="G95" s="25" cm="1">
        <f t="array" ref="G95">_xlfn.XLOOKUP($F$93, INDEX($A$2:$P$52, , MATCH($A95 &amp; "_rank", $A$1:$P$1, 0)), INDEX($A$2:$P$52, , MATCH($A95 &amp; "_diff_pct", $A$1:$P$1, 0)),"",0)</f>
        <v>-9.5782760864849215E-2</v>
      </c>
    </row>
    <row r="96" spans="1:7" x14ac:dyDescent="0.3">
      <c r="A96" s="11" t="s">
        <v>74</v>
      </c>
      <c r="B96" s="19" t="str" cm="1">
        <f t="array" ref="B96">_xlfn.XLOOKUP($B$93, INDEX($A$2:$P$52,, MATCH($A96 &amp; "_rank", $A$1:$P$1, 0)), $A$2:$A$52, "", 0)</f>
        <v>Metropolitan Clerk</v>
      </c>
      <c r="C96" s="23" cm="1">
        <f t="array" ref="C96">_xlfn.XLOOKUP($B$93, INDEX($A$2:$P$52, , MATCH($A96 &amp; "_rank", $A$1:$P$1, 0)), INDEX($A$2:$P$52, , MATCH($A96 &amp; "_diff_pct", $A$1:$P$1, 0)),"",0)</f>
        <v>-0.17551246244575608</v>
      </c>
      <c r="D96" s="44" t="str" cm="1">
        <f t="array" ref="D96">_xlfn.XLOOKUP($D$93, INDEX($A$2:$P$52,, MATCH($A96 &amp; "_rank", $A$1:$P$1, 0)), $A$2:$A$52, "", 0)</f>
        <v>Internal Audit</v>
      </c>
      <c r="E96" s="24" cm="1">
        <f t="array" ref="E96">_xlfn.XLOOKUP($D$93, INDEX($A$2:$P$52, , MATCH($A96 &amp; "_rank", $A$1:$P$1, 0)), INDEX($A$2:$P$52, , MATCH($A96 &amp; "_diff_pct", $A$1:$P$1, 0)),"",0)</f>
        <v>-0.17103239309050916</v>
      </c>
      <c r="F96" s="21" t="str" cm="1">
        <f t="array" ref="F96">_xlfn.XLOOKUP(F93, INDEX($A$2:$P$52,, MATCH($A96 &amp; "_rank", $A$1:$P$1, 0)), $A$2:$A$52, "", 0)</f>
        <v>Office of Family Safety</v>
      </c>
      <c r="G96" s="25" cm="1">
        <f t="array" ref="G96">_xlfn.XLOOKUP($F$93, INDEX($A$2:$P$52, , MATCH($A96 &amp; "_rank", $A$1:$P$1, 0)), INDEX($A$2:$P$52, , MATCH($A96 &amp; "_diff_pct", $A$1:$P$1, 0)),"",0)</f>
        <v>-0.13918241656366656</v>
      </c>
    </row>
    <row r="97" spans="1:9" x14ac:dyDescent="0.3">
      <c r="A97" s="11" t="s">
        <v>75</v>
      </c>
      <c r="B97" s="19" t="str" cm="1">
        <f t="array" ref="B97">_xlfn.XLOOKUP($B$93, INDEX($A$2:$P$52,, MATCH($A97 &amp; "_rank", $A$1:$P$1, 0)), $A$2:$A$52, "", 0)</f>
        <v>Community Oversight Board</v>
      </c>
      <c r="C97" s="23" cm="1">
        <f t="array" ref="C97">_xlfn.XLOOKUP($B$93, INDEX($A$2:$P$52, , MATCH($A97 &amp; "_rank", $A$1:$P$1, 0)), INDEX($A$2:$P$52, , MATCH($A97 &amp; "_diff_pct", $A$1:$P$1, 0)),"",0)</f>
        <v>-0.82994157333333329</v>
      </c>
      <c r="D97" s="44" t="str" cm="1">
        <f t="array" ref="D97">_xlfn.XLOOKUP($D$93, INDEX($A$2:$P$52,, MATCH($A97 &amp; "_rank", $A$1:$P$1, 0)), $A$2:$A$52, "", 0)</f>
        <v>Clerk and Master - Chancery</v>
      </c>
      <c r="E97" s="24" cm="1">
        <f t="array" ref="E97">_xlfn.XLOOKUP($D$93, INDEX($A$2:$P$52, , MATCH($A97 &amp; "_rank", $A$1:$P$1, 0)), INDEX($A$2:$P$52, , MATCH($A97 &amp; "_diff_pct", $A$1:$P$1, 0)),"",0)</f>
        <v>-0.15295680364719175</v>
      </c>
      <c r="F97" s="21" t="str" cm="1">
        <f t="array" ref="F97">_xlfn.XLOOKUP(F93, INDEX($A$2:$P$52,, MATCH($A97 &amp; "_rank", $A$1:$P$1, 0)), $A$2:$A$52, "", 0)</f>
        <v>Election Commission</v>
      </c>
      <c r="G97" s="25" cm="1">
        <f t="array" ref="G97">_xlfn.XLOOKUP($F$93, INDEX($A$2:$P$52, , MATCH($A97 &amp; "_rank", $A$1:$P$1, 0)), INDEX($A$2:$P$52, , MATCH($A97 &amp; "_diff_pct", $A$1:$P$1, 0)),"",0)</f>
        <v>-0.12882667147667154</v>
      </c>
    </row>
    <row r="99" spans="1:9" x14ac:dyDescent="0.3">
      <c r="A99" s="15" t="s">
        <v>79</v>
      </c>
    </row>
    <row r="100" spans="1:9" ht="15.6" x14ac:dyDescent="0.3">
      <c r="A100" s="10" t="s">
        <v>77</v>
      </c>
      <c r="B100" s="31">
        <v>1</v>
      </c>
      <c r="C100" s="31"/>
      <c r="D100" s="31">
        <v>2</v>
      </c>
      <c r="E100" s="31"/>
      <c r="F100" s="31">
        <v>3</v>
      </c>
      <c r="G100" s="31"/>
    </row>
    <row r="101" spans="1:9" x14ac:dyDescent="0.3">
      <c r="B101" s="28" t="s">
        <v>0</v>
      </c>
      <c r="C101" s="28" t="s">
        <v>78</v>
      </c>
      <c r="D101" s="28" t="s">
        <v>0</v>
      </c>
      <c r="E101" s="28" t="s">
        <v>78</v>
      </c>
      <c r="F101" s="28" t="s">
        <v>0</v>
      </c>
      <c r="G101" s="28" t="s">
        <v>78</v>
      </c>
    </row>
    <row r="102" spans="1:9" x14ac:dyDescent="0.3">
      <c r="A102" s="11" t="s">
        <v>73</v>
      </c>
      <c r="B102" s="20" t="str">
        <f>INDEX($A$2:$A$52,MATCH($B$100,INDEX($A$2:$P$52,,MATCH($A102&amp;"_rank",$A$1:$P$1,0)),0))</f>
        <v>Clerk and Master - Chancery</v>
      </c>
      <c r="C102" s="23">
        <f>INDEX($A$2:$P$52,MATCH($B$100,INDEX($A$2:$P$52,,MATCH($A102&amp;"_rank",$A$1:$P$1,0)),0),MATCH($A102&amp;"_diff_pct",$A$1:$P$1,0))</f>
        <v>-0.15235918433091292</v>
      </c>
      <c r="D102" s="44" t="str">
        <f>INDEX($A$2:$A$52,MATCH($D$100,INDEX($A$2:$P$52,,MATCH($A102&amp;"_rank",$A$1:$P$1,0)),0))</f>
        <v>Circuit Court Clerk</v>
      </c>
      <c r="E102" s="24">
        <f>INDEX($A$2:$P$52,MATCH($D$100,INDEX($A$2:$P$52,,MATCH($A102&amp;"_rank",$A$1:$P$1,0)),0),MATCH($A102&amp;"_diff_pct",$A$1:$P$1,0))</f>
        <v>-0.11502817362571344</v>
      </c>
      <c r="F102" s="21" t="str">
        <f>INDEX($A$2:$A$52,MATCH($F$100,INDEX($A$2:$P$52,,MATCH($A102&amp;"_rank",$A$1:$P$1,0)),0))</f>
        <v>Internal Audit</v>
      </c>
      <c r="G102" s="25">
        <f>INDEX($A$2:$P$52,MATCH($F$100,INDEX($A$2:$P$52,,MATCH($A102&amp;"_rank",$A$1:$P$1,0)),0),MATCH($A102&amp;"_diff_pct",$A$1:$P$1,0))</f>
        <v>-9.5782760864849215E-2</v>
      </c>
      <c r="I102" s="3"/>
    </row>
    <row r="103" spans="1:9" x14ac:dyDescent="0.3">
      <c r="A103" s="11" t="s">
        <v>74</v>
      </c>
      <c r="B103" s="20" t="str">
        <f t="shared" ref="B103:B104" si="13">INDEX($A$2:$A$52,MATCH($B$100,INDEX($A$2:$P$52,,MATCH($A103&amp;"_rank",$A$1:$P$1,0)),0))</f>
        <v>Metropolitan Clerk</v>
      </c>
      <c r="C103" s="23">
        <f t="shared" ref="C103:C104" si="14">INDEX($A$2:$P$52,MATCH($B$100,INDEX($A$2:$P$52,,MATCH($A103&amp;"_rank",$A$1:$P$1,0)),0),MATCH($A103&amp;"_diff_pct",$A$1:$P$1,0))</f>
        <v>-0.17551246244575608</v>
      </c>
      <c r="D103" s="44" t="str">
        <f t="shared" ref="D103:D104" si="15">INDEX($A$2:$A$52,MATCH($D$100,INDEX($A$2:$P$52,,MATCH($A103&amp;"_rank",$A$1:$P$1,0)),0))</f>
        <v>Internal Audit</v>
      </c>
      <c r="E103" s="24">
        <f t="shared" ref="E103:E104" si="16">INDEX($A$2:$P$52,MATCH($D$100,INDEX($A$2:$P$52,,MATCH($A103&amp;"_rank",$A$1:$P$1,0)),0),MATCH($A103&amp;"_diff_pct",$A$1:$P$1,0))</f>
        <v>-0.17103239309050916</v>
      </c>
      <c r="F103" s="21" t="str">
        <f t="shared" ref="F103:F104" si="17">INDEX($A$2:$A$52,MATCH($F$100,INDEX($A$2:$P$52,,MATCH($A103&amp;"_rank",$A$1:$P$1,0)),0))</f>
        <v>Office of Family Safety</v>
      </c>
      <c r="G103" s="25">
        <f t="shared" ref="G103:G104" si="18">INDEX($A$2:$P$52,MATCH($F$100,INDEX($A$2:$P$52,,MATCH($A103&amp;"_rank",$A$1:$P$1,0)),0),MATCH($A103&amp;"_diff_pct",$A$1:$P$1,0))</f>
        <v>-0.13918241656366656</v>
      </c>
      <c r="I103" s="3"/>
    </row>
    <row r="104" spans="1:9" x14ac:dyDescent="0.3">
      <c r="A104" s="11" t="s">
        <v>75</v>
      </c>
      <c r="B104" s="20" t="str">
        <f t="shared" si="13"/>
        <v>Community Oversight Board</v>
      </c>
      <c r="C104" s="23">
        <f t="shared" si="14"/>
        <v>-0.82994157333333329</v>
      </c>
      <c r="D104" s="44" t="str">
        <f t="shared" si="15"/>
        <v>Clerk and Master - Chancery</v>
      </c>
      <c r="E104" s="24">
        <f t="shared" si="16"/>
        <v>-0.15295680364719175</v>
      </c>
      <c r="F104" s="21" t="str">
        <f t="shared" si="17"/>
        <v>Election Commission</v>
      </c>
      <c r="G104" s="25">
        <f t="shared" si="18"/>
        <v>-0.12882667147667154</v>
      </c>
      <c r="I104" s="3"/>
    </row>
    <row r="107" spans="1:9" x14ac:dyDescent="0.3">
      <c r="A107" s="6"/>
      <c r="B107" s="12"/>
      <c r="C107" s="12"/>
    </row>
    <row r="108" spans="1:9" x14ac:dyDescent="0.3">
      <c r="B108" s="4"/>
    </row>
    <row r="109" spans="1:9" x14ac:dyDescent="0.3">
      <c r="B109" s="4"/>
    </row>
    <row r="110" spans="1:9" x14ac:dyDescent="0.3">
      <c r="B110" s="4"/>
    </row>
    <row r="111" spans="1:9" x14ac:dyDescent="0.3">
      <c r="B111" s="4"/>
    </row>
    <row r="112" spans="1:9" x14ac:dyDescent="0.3">
      <c r="A112" s="6"/>
      <c r="B112" s="7"/>
      <c r="C112" s="6"/>
    </row>
    <row r="113" spans="1:3" x14ac:dyDescent="0.3">
      <c r="B113" s="4"/>
    </row>
    <row r="114" spans="1:3" x14ac:dyDescent="0.3">
      <c r="B114" s="4"/>
    </row>
    <row r="115" spans="1:3" x14ac:dyDescent="0.3">
      <c r="B115" s="4"/>
    </row>
    <row r="116" spans="1:3" x14ac:dyDescent="0.3">
      <c r="B116" s="4"/>
    </row>
    <row r="117" spans="1:3" x14ac:dyDescent="0.3">
      <c r="A117" s="6"/>
      <c r="B117" s="7"/>
      <c r="C117" s="6"/>
    </row>
    <row r="118" spans="1:3" x14ac:dyDescent="0.3">
      <c r="B118" s="4"/>
    </row>
    <row r="119" spans="1:3" x14ac:dyDescent="0.3">
      <c r="B119" s="4"/>
    </row>
    <row r="120" spans="1:3" x14ac:dyDescent="0.3">
      <c r="B120" s="4"/>
    </row>
  </sheetData>
  <mergeCells count="6">
    <mergeCell ref="B93:C93"/>
    <mergeCell ref="D93:E93"/>
    <mergeCell ref="F93:G93"/>
    <mergeCell ref="B100:C100"/>
    <mergeCell ref="D100:E100"/>
    <mergeCell ref="F100:G100"/>
  </mergeCells>
  <conditionalFormatting sqref="E112">
    <cfRule type="iconSet" priority="1">
      <iconSet iconSet="3Symbols2">
        <cfvo type="percent" val="0"/>
        <cfvo type="percent" val="33"/>
        <cfvo type="percent" val="67"/>
      </iconSet>
    </cfRule>
  </conditionalFormatting>
  <dataValidations disablePrompts="1" count="2">
    <dataValidation allowBlank="1" showInputMessage="1" showErrorMessage="1" sqref="B83" xr:uid="{458BB6F1-C76E-49B5-830D-5FE44DD5F62E}"/>
    <dataValidation type="list" allowBlank="1" showInputMessage="1" showErrorMessage="1" sqref="A83 B82" xr:uid="{F9DC94D2-6F85-43EB-92DD-677E83A57A9A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zoomScale="80" zoomScaleNormal="80" workbookViewId="0">
      <pane ySplit="1" topLeftCell="A83" activePane="bottomLeft" state="frozen"/>
      <selection pane="bottomLeft" activeCell="E110" sqref="E110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25.5546875" customWidth="1"/>
    <col min="6" max="6" width="27.109375" customWidth="1"/>
    <col min="7" max="7" width="23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s="6" customFormat="1" x14ac:dyDescent="0.3">
      <c r="A1" s="46" t="s">
        <v>0</v>
      </c>
      <c r="B1" s="16" t="s">
        <v>1</v>
      </c>
      <c r="C1" s="37" t="s">
        <v>2</v>
      </c>
      <c r="D1" s="38" t="s">
        <v>3</v>
      </c>
      <c r="E1" s="39" t="s">
        <v>4</v>
      </c>
      <c r="F1" s="40" t="s">
        <v>5</v>
      </c>
      <c r="G1" s="16" t="s">
        <v>6</v>
      </c>
      <c r="H1" s="37" t="s">
        <v>7</v>
      </c>
      <c r="I1" s="38" t="s">
        <v>8</v>
      </c>
      <c r="J1" s="39" t="s">
        <v>9</v>
      </c>
      <c r="K1" s="40" t="s">
        <v>10</v>
      </c>
      <c r="L1" s="16" t="s">
        <v>11</v>
      </c>
      <c r="M1" s="37" t="s">
        <v>12</v>
      </c>
      <c r="N1" s="38" t="s">
        <v>13</v>
      </c>
      <c r="O1" s="39" t="s">
        <v>14</v>
      </c>
      <c r="P1" s="40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4">
        <f>IF(B2=0, 0, D2/B2)</f>
        <v>-4.3170750765267295E-2</v>
      </c>
      <c r="F2">
        <f>_xlfn.RANK.EQ(E2, E$2:E$52, 1)</f>
        <v>14</v>
      </c>
      <c r="G2">
        <v>382685200</v>
      </c>
      <c r="H2">
        <v>346340810.81999999</v>
      </c>
      <c r="I2">
        <f>H2-G2</f>
        <v>-36344389.180000007</v>
      </c>
      <c r="J2" s="4">
        <f>IF(G2=0, 0, I2/G2)</f>
        <v>-9.4972027086493035E-2</v>
      </c>
      <c r="K2">
        <f>_xlfn.RANK.EQ(J2, J$2:J$52, 0)</f>
        <v>42</v>
      </c>
      <c r="L2">
        <v>376548600</v>
      </c>
      <c r="M2">
        <v>355279492.22999901</v>
      </c>
      <c r="N2">
        <f>M2-L2</f>
        <v>-21269107.770000994</v>
      </c>
      <c r="O2" s="4">
        <f>IF(L2=0, 0, N2/L2)</f>
        <v>-5.6484362894991494E-2</v>
      </c>
      <c r="P2">
        <f>_xlfn.RANK.EQ(O2, O$2:O$52, 0)</f>
        <v>38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4">
        <f t="shared" ref="E3:E52" si="1">IF(B3=0, 0, D3/B3)</f>
        <v>-2.3069981751824741E-2</v>
      </c>
      <c r="F3">
        <f t="shared" ref="F3:F52" si="2">_xlfn.RANK.EQ(E3, E$2:E$52,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4">
        <f t="shared" ref="J3:J52" si="4">IF(G3=0, 0, I3/G3)</f>
        <v>-6.6804928315415249E-2</v>
      </c>
      <c r="K3">
        <f t="shared" ref="K3:K52" si="5">_xlfn.RANK.EQ(J3, J$2:J$52, 0)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4">
        <f t="shared" ref="O3:O52" si="7">IF(L3=0, 0, N3/L3)</f>
        <v>-1.3540749922529313E-3</v>
      </c>
      <c r="P3">
        <f t="shared" ref="P3:P52" si="8">_xlfn.RANK.EQ(O3, O$2:O$52, 0)</f>
        <v>15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4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4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4">
        <f t="shared" si="7"/>
        <v>-2.6599210899959033E-2</v>
      </c>
      <c r="P4">
        <f t="shared" si="8"/>
        <v>27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4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4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4">
        <f t="shared" si="7"/>
        <v>-3.3800336357544182E-2</v>
      </c>
      <c r="P5">
        <f t="shared" si="8"/>
        <v>30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4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4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4">
        <f t="shared" si="7"/>
        <v>-1.925202156356929E-4</v>
      </c>
      <c r="P6">
        <f t="shared" si="8"/>
        <v>13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4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4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4">
        <f t="shared" si="7"/>
        <v>-0.11920361114432618</v>
      </c>
      <c r="P7">
        <f t="shared" si="8"/>
        <v>48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4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4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4">
        <f t="shared" si="7"/>
        <v>-0.15295680364719175</v>
      </c>
      <c r="P8">
        <f t="shared" si="8"/>
        <v>50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4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4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4">
        <f t="shared" si="7"/>
        <v>-7.3852043000788653E-2</v>
      </c>
      <c r="P9">
        <f t="shared" si="8"/>
        <v>43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4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4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4">
        <f t="shared" si="7"/>
        <v>-1.883298461538465E-2</v>
      </c>
      <c r="P10">
        <f t="shared" si="8"/>
        <v>23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4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4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4">
        <f t="shared" si="7"/>
        <v>-0.82994157333333329</v>
      </c>
      <c r="P11">
        <f t="shared" si="8"/>
        <v>51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4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4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4">
        <f t="shared" si="7"/>
        <v>-6.5433934755654441E-2</v>
      </c>
      <c r="P12">
        <f t="shared" si="8"/>
        <v>42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4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4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4">
        <f t="shared" si="7"/>
        <v>-2.4217184605222895E-2</v>
      </c>
      <c r="P13">
        <f t="shared" si="8"/>
        <v>25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4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4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4">
        <f t="shared" si="7"/>
        <v>-4.0308095781071827E-2</v>
      </c>
      <c r="P14">
        <f t="shared" si="8"/>
        <v>33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4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4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4">
        <f t="shared" si="7"/>
        <v>-2.3829085727446114E-2</v>
      </c>
      <c r="P15">
        <f t="shared" si="8"/>
        <v>24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4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4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4">
        <f t="shared" si="7"/>
        <v>-1.4464932677229222E-5</v>
      </c>
      <c r="P16">
        <f t="shared" si="8"/>
        <v>9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4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4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4">
        <f t="shared" si="7"/>
        <v>-6.3071811282801551E-2</v>
      </c>
      <c r="P17">
        <f t="shared" si="8"/>
        <v>41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4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4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4">
        <f t="shared" si="7"/>
        <v>-0.12882667147667154</v>
      </c>
      <c r="P18">
        <f t="shared" si="8"/>
        <v>49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4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4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4">
        <f t="shared" si="7"/>
        <v>-6.1687262121374278E-2</v>
      </c>
      <c r="P19">
        <f t="shared" si="8"/>
        <v>40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4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4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4">
        <f t="shared" si="7"/>
        <v>-8.9158438821450736E-7</v>
      </c>
      <c r="P20">
        <f t="shared" si="8"/>
        <v>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4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4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4">
        <f t="shared" si="7"/>
        <v>-3.6546762734864152E-2</v>
      </c>
      <c r="P21">
        <f t="shared" si="8"/>
        <v>31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4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4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4">
        <f t="shared" si="7"/>
        <v>-6.2439674240938325E-5</v>
      </c>
      <c r="P22">
        <f t="shared" si="8"/>
        <v>10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4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4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4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4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4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4">
        <f t="shared" si="7"/>
        <v>-6.5504224339284781E-5</v>
      </c>
      <c r="P24">
        <f t="shared" si="8"/>
        <v>11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4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4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4">
        <f t="shared" si="7"/>
        <v>-3.4741188318228064E-3</v>
      </c>
      <c r="P25">
        <f t="shared" si="8"/>
        <v>17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4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4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4">
        <f t="shared" si="7"/>
        <v>-5.7720881286022069E-2</v>
      </c>
      <c r="P26">
        <f t="shared" si="8"/>
        <v>39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4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4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4">
        <f t="shared" si="7"/>
        <v>0</v>
      </c>
      <c r="P27">
        <f t="shared" si="8"/>
        <v>1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4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4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4">
        <f t="shared" si="7"/>
        <v>-8.6909325643882263E-2</v>
      </c>
      <c r="P28">
        <f t="shared" si="8"/>
        <v>45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4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4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4">
        <f t="shared" si="7"/>
        <v>-1.2225336516860273E-5</v>
      </c>
      <c r="P29">
        <f t="shared" si="8"/>
        <v>8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4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4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4">
        <f t="shared" si="7"/>
        <v>-2.7439209100169185E-3</v>
      </c>
      <c r="P30">
        <f t="shared" si="8"/>
        <v>16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4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4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4">
        <f t="shared" si="7"/>
        <v>-3.7049585716576634E-2</v>
      </c>
      <c r="P31">
        <f t="shared" si="8"/>
        <v>32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4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4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4">
        <f t="shared" si="7"/>
        <v>-2.7581118653977402E-2</v>
      </c>
      <c r="P32">
        <f t="shared" si="8"/>
        <v>29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4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4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4">
        <f t="shared" si="7"/>
        <v>-5.5141067323084929E-3</v>
      </c>
      <c r="P33">
        <f t="shared" si="8"/>
        <v>18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4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4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4">
        <f t="shared" si="7"/>
        <v>-2.6647296115611244E-2</v>
      </c>
      <c r="P34">
        <f t="shared" si="8"/>
        <v>28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4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4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4">
        <f t="shared" si="7"/>
        <v>0</v>
      </c>
      <c r="P35">
        <f t="shared" si="8"/>
        <v>1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4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4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4">
        <f t="shared" si="7"/>
        <v>-0.11509132414892521</v>
      </c>
      <c r="P36">
        <f t="shared" si="8"/>
        <v>47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4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4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4">
        <f t="shared" si="7"/>
        <v>-8.1928538464887526E-2</v>
      </c>
      <c r="P37">
        <f t="shared" si="8"/>
        <v>44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4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4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4">
        <f t="shared" si="7"/>
        <v>-1.7580354847003174E-4</v>
      </c>
      <c r="P38">
        <f t="shared" si="8"/>
        <v>12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4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4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4">
        <f t="shared" si="7"/>
        <v>-4.4919653310605226E-2</v>
      </c>
      <c r="P39">
        <f t="shared" si="8"/>
        <v>35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4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4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4">
        <f t="shared" si="7"/>
        <v>-1.5178676768608648E-2</v>
      </c>
      <c r="P40">
        <f t="shared" si="8"/>
        <v>21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4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4">
        <f t="shared" si="4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4">
        <f t="shared" si="7"/>
        <v>-1.7099804162586642E-2</v>
      </c>
      <c r="P41">
        <f t="shared" si="8"/>
        <v>22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4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4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4">
        <f t="shared" si="7"/>
        <v>-1.8129115815929696E-7</v>
      </c>
      <c r="P42">
        <f t="shared" si="8"/>
        <v>5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4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4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4">
        <f t="shared" si="7"/>
        <v>-4.0778750220654303E-2</v>
      </c>
      <c r="P43">
        <f t="shared" si="8"/>
        <v>34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4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4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4">
        <f t="shared" si="7"/>
        <v>-1.8780648419868168E-6</v>
      </c>
      <c r="P44">
        <f t="shared" si="8"/>
        <v>7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4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4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4">
        <f t="shared" si="7"/>
        <v>-1.1432866237947358E-2</v>
      </c>
      <c r="P45">
        <f t="shared" si="8"/>
        <v>20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4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4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4">
        <f t="shared" si="7"/>
        <v>-4.6225533508053113E-2</v>
      </c>
      <c r="P46">
        <f t="shared" si="8"/>
        <v>36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4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4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4">
        <f t="shared" si="7"/>
        <v>-2.9266019117572752E-4</v>
      </c>
      <c r="P47">
        <f t="shared" si="8"/>
        <v>14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4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4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4">
        <f t="shared" si="7"/>
        <v>-5.5893132870587676E-2</v>
      </c>
      <c r="P48">
        <f t="shared" si="8"/>
        <v>37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4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4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4">
        <f t="shared" si="7"/>
        <v>0</v>
      </c>
      <c r="P49">
        <f t="shared" si="8"/>
        <v>1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4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4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4">
        <f t="shared" si="7"/>
        <v>0</v>
      </c>
      <c r="P50">
        <f t="shared" si="8"/>
        <v>1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4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4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4">
        <f t="shared" si="7"/>
        <v>-1.1100045280114048E-2</v>
      </c>
      <c r="P51">
        <f t="shared" si="8"/>
        <v>19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4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4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4">
        <f t="shared" si="7"/>
        <v>-0.11404408166781529</v>
      </c>
      <c r="P52">
        <f t="shared" si="8"/>
        <v>46</v>
      </c>
    </row>
    <row r="54" spans="1:16" x14ac:dyDescent="0.3">
      <c r="A54" s="29" t="s">
        <v>67</v>
      </c>
    </row>
    <row r="55" spans="1:16" s="6" customFormat="1" x14ac:dyDescent="0.3">
      <c r="A55" s="46" t="s">
        <v>0</v>
      </c>
      <c r="B55" s="46" t="s">
        <v>3</v>
      </c>
      <c r="C55" s="46" t="s">
        <v>8</v>
      </c>
      <c r="D55" s="46" t="s">
        <v>13</v>
      </c>
    </row>
    <row r="56" spans="1:16" x14ac:dyDescent="0.3">
      <c r="A56" t="s">
        <v>24</v>
      </c>
      <c r="B56">
        <f>VLOOKUP(A56, $A$2:$D$52, 4, FALSE)</f>
        <v>-36209.630000000005</v>
      </c>
      <c r="C56">
        <f>VLOOKUP(A56, $A$2:$I$52, 9)</f>
        <v>-27292.159999999974</v>
      </c>
      <c r="D56">
        <f>VLOOKUP(A56, $A$2:$N$52, 14, FALSE)</f>
        <v>-9181.0800000000163</v>
      </c>
    </row>
    <row r="57" spans="1:16" x14ac:dyDescent="0.3">
      <c r="A57" t="s">
        <v>25</v>
      </c>
      <c r="B57">
        <f t="shared" ref="B57:B61" si="9">VLOOKUP(A57, $A$2:$D$52, 4, FALSE)</f>
        <v>0</v>
      </c>
      <c r="C57">
        <f t="shared" ref="C57:C61" si="10">VLOOKUP(A57, $A$2:$I$52, 9)</f>
        <v>0</v>
      </c>
      <c r="D57">
        <f t="shared" ref="D57:D61" si="11">VLOOKUP(A57, $A$2:$N$52, 14, FALSE)</f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">
      <c r="A63" s="15" t="s">
        <v>68</v>
      </c>
    </row>
    <row r="64" spans="1:16" x14ac:dyDescent="0.3">
      <c r="A64" s="46" t="s">
        <v>0</v>
      </c>
      <c r="B64" s="46" t="s">
        <v>3</v>
      </c>
      <c r="C64" s="46" t="s">
        <v>8</v>
      </c>
      <c r="D64" s="46" t="s">
        <v>13</v>
      </c>
    </row>
    <row r="65" spans="1:4" x14ac:dyDescent="0.3">
      <c r="A65" t="s">
        <v>24</v>
      </c>
      <c r="B65">
        <f>_xlfn.XLOOKUP(A65, $A$2:$A$52, $D$2:$D$52, "")</f>
        <v>-36209.630000000005</v>
      </c>
      <c r="C65">
        <f>_xlfn.XLOOKUP(A65, $A$2:$A$52, $I$2:$I$52, "")</f>
        <v>-27292.159999999974</v>
      </c>
      <c r="D65">
        <f>_xlfn.XLOOKUP(A65, $A$2:$A$52, $N$2:$N$52, "")</f>
        <v>-9181.0800000000163</v>
      </c>
    </row>
    <row r="66" spans="1:4" x14ac:dyDescent="0.3">
      <c r="A66" t="s">
        <v>25</v>
      </c>
      <c r="B66">
        <f t="shared" ref="B66:B70" si="12">_xlfn.XLOOKUP(A66, $A$2:$A$52, $D$2:$D$52, "")</f>
        <v>0</v>
      </c>
      <c r="C66">
        <f t="shared" ref="C66:C70" si="13">_xlfn.XLOOKUP(A66, $A$2:$A$52, $I$2:$I$52, "")</f>
        <v>0</v>
      </c>
      <c r="D66">
        <f t="shared" ref="D66:D70" si="14">_xlfn.XLOOKUP(A66, $A$2:$A$52, $N$2:$N$52, "")</f>
        <v>-311228.08999999997</v>
      </c>
    </row>
    <row r="67" spans="1:4" x14ac:dyDescent="0.3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">
      <c r="A72" s="15" t="s">
        <v>69</v>
      </c>
    </row>
    <row r="73" spans="1:4" x14ac:dyDescent="0.3">
      <c r="A73" s="46" t="s">
        <v>0</v>
      </c>
      <c r="B73" s="46" t="s">
        <v>3</v>
      </c>
      <c r="C73" s="46" t="s">
        <v>8</v>
      </c>
      <c r="D73" s="46" t="s">
        <v>13</v>
      </c>
    </row>
    <row r="74" spans="1:4" x14ac:dyDescent="0.3">
      <c r="A74" t="s">
        <v>24</v>
      </c>
      <c r="B74">
        <f>INDEX($D$2:$D$52, MATCH(A74, $A$2:$A$52, 0))</f>
        <v>-36209.630000000005</v>
      </c>
      <c r="C74">
        <f>INDEX($I$2:$I$52, MATCH(A74, $A$2:$A$52, 0))</f>
        <v>-27292.159999999974</v>
      </c>
      <c r="D74">
        <f>INDEX($N$2:$N$52, MATCH(A74, $A$2:$A$52, 0))</f>
        <v>-9181.0800000000163</v>
      </c>
    </row>
    <row r="75" spans="1:4" x14ac:dyDescent="0.3">
      <c r="A75" t="s">
        <v>25</v>
      </c>
      <c r="B75">
        <f t="shared" ref="B75:B79" si="15">INDEX($D$2:$D$52, MATCH(A75, $A$2:$A$52, 0))</f>
        <v>0</v>
      </c>
      <c r="C75">
        <f t="shared" ref="C75:C79" si="16">INDEX($I$2:$I$52, MATCH(A75, $A$2:$A$52, 0))</f>
        <v>0</v>
      </c>
      <c r="D75">
        <f t="shared" ref="D75:D79" si="17">INDEX($N$2:$N$52, MATCH(A75, $A$2:$A$52, 0))</f>
        <v>-311228.08999999997</v>
      </c>
    </row>
    <row r="76" spans="1:4" x14ac:dyDescent="0.3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3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3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3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">
      <c r="A81" s="15" t="s">
        <v>70</v>
      </c>
    </row>
    <row r="82" spans="1:7" x14ac:dyDescent="0.3">
      <c r="A82" s="46" t="s">
        <v>0</v>
      </c>
      <c r="B82" s="46" t="s">
        <v>30</v>
      </c>
    </row>
    <row r="83" spans="1:7" x14ac:dyDescent="0.3">
      <c r="B83" s="16" t="s">
        <v>71</v>
      </c>
      <c r="C83" s="37" t="s">
        <v>72</v>
      </c>
    </row>
    <row r="84" spans="1:7" x14ac:dyDescent="0.3">
      <c r="A84" s="47" t="s">
        <v>73</v>
      </c>
      <c r="B84" s="26">
        <f>IFERROR(INDEX($B$2:$B$52, MATCH($B$82, $A$2:$A$52, 0)), "")</f>
        <v>6600700</v>
      </c>
      <c r="C84" s="45">
        <f>INDEX($C$2:$C$52, MATCH($B$82, $A$2:$A$52, 0))</f>
        <v>6522480.4599999897</v>
      </c>
    </row>
    <row r="85" spans="1:7" x14ac:dyDescent="0.3">
      <c r="A85" s="47" t="s">
        <v>74</v>
      </c>
      <c r="B85" s="26">
        <f>IFERROR(INDEX($G$2:$G$52, MATCH($B$82, $A$2:$A$52, 0)), "")</f>
        <v>7352500</v>
      </c>
      <c r="C85" s="45">
        <f>INDEX($H$2:$H$52, MATCH($B$82, $A$2:$A$52, 0))</f>
        <v>7350464.0800000001</v>
      </c>
    </row>
    <row r="86" spans="1:7" x14ac:dyDescent="0.3">
      <c r="A86" s="47" t="s">
        <v>75</v>
      </c>
      <c r="B86" s="26">
        <f>IFERROR(INDEX($L$2:$L$52, MATCH($B$82, $A$2:$A$52, 0)), "")</f>
        <v>7397200</v>
      </c>
      <c r="C86" s="45">
        <f>INDEX($M$2:$M$52, MATCH($B$82, $A$2:$A$52, 0))</f>
        <v>7397093</v>
      </c>
    </row>
    <row r="87" spans="1:7" x14ac:dyDescent="0.3">
      <c r="B87" s="5"/>
      <c r="C87" s="5"/>
    </row>
    <row r="88" spans="1:7" x14ac:dyDescent="0.3">
      <c r="B88" s="5"/>
      <c r="C88" s="5"/>
    </row>
    <row r="89" spans="1:7" x14ac:dyDescent="0.3">
      <c r="B89" s="5"/>
      <c r="C89" s="5"/>
    </row>
    <row r="90" spans="1:7" x14ac:dyDescent="0.3">
      <c r="B90" s="5"/>
      <c r="C90" s="5"/>
    </row>
    <row r="92" spans="1:7" x14ac:dyDescent="0.3">
      <c r="A92" s="15" t="s">
        <v>76</v>
      </c>
    </row>
    <row r="93" spans="1:7" ht="15.6" x14ac:dyDescent="0.3">
      <c r="A93" s="43" t="s">
        <v>77</v>
      </c>
      <c r="B93" s="42">
        <v>1</v>
      </c>
      <c r="C93" s="42"/>
      <c r="D93" s="42">
        <v>2</v>
      </c>
      <c r="E93" s="42"/>
      <c r="F93" s="42">
        <v>3</v>
      </c>
      <c r="G93" s="42"/>
    </row>
    <row r="94" spans="1:7" ht="15.6" x14ac:dyDescent="0.3">
      <c r="B94" s="18" t="s">
        <v>0</v>
      </c>
      <c r="C94" s="18" t="s">
        <v>78</v>
      </c>
      <c r="D94" s="18" t="s">
        <v>0</v>
      </c>
      <c r="E94" s="18" t="s">
        <v>78</v>
      </c>
      <c r="F94" s="18" t="s">
        <v>0</v>
      </c>
      <c r="G94" s="18" t="s">
        <v>78</v>
      </c>
    </row>
    <row r="95" spans="1:7" x14ac:dyDescent="0.3">
      <c r="A95" s="46" t="s">
        <v>73</v>
      </c>
      <c r="B95" s="19" t="str">
        <f>_xlfn.XLOOKUP(SMALL($F$2:$F$52, 1), $F$2:$F$52, $A$2:$A$52)</f>
        <v>Clerk and Master - Chancery</v>
      </c>
      <c r="C95" s="23">
        <f>_xlfn.XLOOKUP(B95, $A$2:$A$52, $E$2:$E$52)</f>
        <v>-0.15235918433091292</v>
      </c>
      <c r="D95" s="21" t="str">
        <f>_xlfn.XLOOKUP(SMALL($F$2:$F$52, 2), $F$2:$F$52, $A$2:$A$52)</f>
        <v>Circuit Court Clerk</v>
      </c>
      <c r="E95" s="25">
        <f>_xlfn.XLOOKUP(D95, $A$2:$A$52, $E$2:$E$52)</f>
        <v>-0.11502817362571344</v>
      </c>
      <c r="F95" s="22" t="str">
        <f>_xlfn.XLOOKUP(SMALL($E$2:$E$52, 3), $E$2:$E$52, $A$2:$A$52)</f>
        <v>Internal Audit</v>
      </c>
      <c r="G95" s="27">
        <f>_xlfn.XLOOKUP(F95, $A$2:$A$52, $E$2:$E$52)</f>
        <v>-9.5782760864849215E-2</v>
      </c>
    </row>
    <row r="96" spans="1:7" x14ac:dyDescent="0.3">
      <c r="A96" s="46" t="s">
        <v>74</v>
      </c>
      <c r="B96" s="19" t="str">
        <f>_xlfn.XLOOKUP(SMALL($J$2:$J$52, 1), $J$2:$J$52, $A$2:$A$52)</f>
        <v>Metropolitan Clerk</v>
      </c>
      <c r="C96" s="23">
        <f>_xlfn.XLOOKUP(B96, $A$2:$A$52, $J$2:$J$52)</f>
        <v>-0.17551246244575608</v>
      </c>
      <c r="D96" s="21" t="str">
        <f>_xlfn.XLOOKUP(SMALL($J$2:$J$52, 2), $J$2:$J$52, $A$2:$A$52)</f>
        <v>Internal Audit</v>
      </c>
      <c r="E96" s="25">
        <f>_xlfn.XLOOKUP(D96, $A$2:$A$52, $J$2:$J$52)</f>
        <v>-0.17103239309050916</v>
      </c>
      <c r="F96" s="22" t="str">
        <f>_xlfn.XLOOKUP(SMALL($J$2:$J$52, 3), $J$2:$J$52, $A$2:$A$52)</f>
        <v>Office of Family Safety</v>
      </c>
      <c r="G96" s="27">
        <f>_xlfn.XLOOKUP(F96, $A$2:$A$52, $J$2:$J$52)</f>
        <v>-0.13918241656366656</v>
      </c>
    </row>
    <row r="97" spans="1:9" x14ac:dyDescent="0.3">
      <c r="A97" s="46" t="s">
        <v>75</v>
      </c>
      <c r="B97" s="19" t="str">
        <f>_xlfn.XLOOKUP(SMALL($O$2:$O$52, 1), $O$2:$O$52, $A$2:$A$52)</f>
        <v>Community Oversight Board</v>
      </c>
      <c r="C97" s="23">
        <f>_xlfn.XLOOKUP(B97, $A$2:$A$52, $O$2:$O$52)</f>
        <v>-0.82994157333333329</v>
      </c>
      <c r="D97" s="21" t="str">
        <f>_xlfn.XLOOKUP(SMALL($O$2:$O$52, 2), $O$2:$O$52, $A$2:$A$52)</f>
        <v>Clerk and Master - Chancery</v>
      </c>
      <c r="E97" s="25">
        <f>_xlfn.XLOOKUP(D97, $A$2:$A$52, $O$2:$O$52)</f>
        <v>-0.15295680364719175</v>
      </c>
      <c r="F97" s="22" t="str">
        <f>_xlfn.XLOOKUP(SMALL($O$2:$O$52, 3), $O$2:$O$52, $A$2:$A$52)</f>
        <v>Election Commission</v>
      </c>
      <c r="G97" s="27">
        <f>_xlfn.XLOOKUP(F97, $A$2:$A$52, $O$2:$O$52)</f>
        <v>-0.12882667147667154</v>
      </c>
    </row>
    <row r="99" spans="1:9" x14ac:dyDescent="0.3">
      <c r="A99" s="15" t="s">
        <v>79</v>
      </c>
    </row>
    <row r="100" spans="1:9" ht="15.6" x14ac:dyDescent="0.3">
      <c r="A100" s="41" t="s">
        <v>77</v>
      </c>
      <c r="B100" s="31">
        <v>1</v>
      </c>
      <c r="C100" s="31"/>
      <c r="D100" s="31">
        <v>2</v>
      </c>
      <c r="E100" s="31"/>
      <c r="F100" s="31">
        <v>3</v>
      </c>
      <c r="G100" s="31"/>
    </row>
    <row r="101" spans="1:9" ht="15.6" x14ac:dyDescent="0.3">
      <c r="B101" s="18" t="s">
        <v>0</v>
      </c>
      <c r="C101" s="18" t="s">
        <v>78</v>
      </c>
      <c r="D101" s="18" t="s">
        <v>0</v>
      </c>
      <c r="E101" s="18" t="s">
        <v>78</v>
      </c>
      <c r="F101" s="18" t="s">
        <v>0</v>
      </c>
      <c r="G101" s="18" t="s">
        <v>78</v>
      </c>
    </row>
    <row r="102" spans="1:9" x14ac:dyDescent="0.3">
      <c r="A102" s="46" t="s">
        <v>73</v>
      </c>
      <c r="B102" s="20" t="str">
        <f>INDEX($A$2:$A$52, MATCH(SMALL($E$2:$E$52, 1), $E$2:$E$52, 0))</f>
        <v>Clerk and Master - Chancery</v>
      </c>
      <c r="C102" s="23">
        <f>INDEX($E$2:$E$52, MATCH(B95, $A$2:$A$52, 0))</f>
        <v>-0.15235918433091292</v>
      </c>
      <c r="D102" s="21" t="str">
        <f>INDEX($A$2:$A$52, MATCH(SMALL($E$2:$E$52, 2), $E$2:$E$52, 0))</f>
        <v>Circuit Court Clerk</v>
      </c>
      <c r="E102" s="25">
        <f>INDEX($E$2:$E$52, MATCH(D102, $A$2:$A$52, 0))</f>
        <v>-0.11502817362571344</v>
      </c>
      <c r="F102" s="22" t="str">
        <f>INDEX($A$2:$A$52, MATCH(SMALL($E$2:$E$52, 3), $E$2:$E$52, 0))</f>
        <v>Internal Audit</v>
      </c>
      <c r="G102" s="27">
        <f>INDEX($E$2:$E$52, MATCH(F102, $A$2:$A$52, 0))</f>
        <v>-9.5782760864849215E-2</v>
      </c>
      <c r="I102" s="3"/>
    </row>
    <row r="103" spans="1:9" x14ac:dyDescent="0.3">
      <c r="A103" s="46" t="s">
        <v>74</v>
      </c>
      <c r="B103" s="20" t="str">
        <f>INDEX($A$2:$A$52, MATCH(SMALL($J$2:$J$52, 1), $J$2:$J$52, 0))</f>
        <v>Metropolitan Clerk</v>
      </c>
      <c r="C103" s="23">
        <f>INDEX($J$2:$J$52, MATCH(B103, $A$2:$A$52, 0))</f>
        <v>-0.17551246244575608</v>
      </c>
      <c r="D103" s="21" t="str">
        <f>INDEX($A$2:$A$52, MATCH(SMALL($J$2:$J$52, 2), $J$2:$J$52, 0))</f>
        <v>Internal Audit</v>
      </c>
      <c r="E103" s="25">
        <f>INDEX($J$2:$J$52, MATCH(D103, $A$2:$A$52, 0))</f>
        <v>-0.17103239309050916</v>
      </c>
      <c r="F103" s="22" t="str">
        <f>INDEX($A$2:$A$52, MATCH(SMALL($J$2:$J$52, 3), $J$2:$J$52, 0))</f>
        <v>Office of Family Safety</v>
      </c>
      <c r="G103" s="27">
        <f>INDEX($J$2:$J$52, MATCH(F103, $A$2:$A$52, 0))</f>
        <v>-0.13918241656366656</v>
      </c>
      <c r="I103" s="3"/>
    </row>
    <row r="104" spans="1:9" x14ac:dyDescent="0.3">
      <c r="A104" s="46" t="s">
        <v>75</v>
      </c>
      <c r="B104" s="20" t="str">
        <f>INDEX($A$2:$A$52, MATCH(SMALL($O$2:$O$52, 1), $O$2:$O$52, 0))</f>
        <v>Community Oversight Board</v>
      </c>
      <c r="C104" s="23">
        <f>INDEX($O$2:$O$52, MATCH(B104, $A$2:$A$52, 0))</f>
        <v>-0.82994157333333329</v>
      </c>
      <c r="D104" s="21" t="str">
        <f>INDEX($A$2:$A$52, MATCH(SMALL($O$2:$O$52, 2), $O$2:$O$52, 0))</f>
        <v>Clerk and Master - Chancery</v>
      </c>
      <c r="E104" s="25">
        <f>INDEX($O$2:$O$52, MATCH(D104, $A$2:$A$52, 0))</f>
        <v>-0.15295680364719175</v>
      </c>
      <c r="F104" s="22" t="str">
        <f>INDEX($A$2:$A$52, MATCH(SMALL($O$2:$O$52, 3), $O$2:$O$52, 0))</f>
        <v>Election Commission</v>
      </c>
      <c r="G104" s="27">
        <f>INDEX($O$2:$O$52, MATCH(F104, $A$2:$A$52, 0))</f>
        <v>-0.12882667147667154</v>
      </c>
      <c r="I104" s="3"/>
    </row>
    <row r="107" spans="1:9" ht="15.6" x14ac:dyDescent="0.3">
      <c r="A107" s="13" t="s">
        <v>91</v>
      </c>
    </row>
    <row r="108" spans="1:9" x14ac:dyDescent="0.3">
      <c r="A108" s="6" t="s">
        <v>90</v>
      </c>
      <c r="B108" s="6" t="s">
        <v>4</v>
      </c>
      <c r="C108" s="6" t="s">
        <v>5</v>
      </c>
    </row>
    <row r="109" spans="1:9" ht="15.6" x14ac:dyDescent="0.3">
      <c r="A109" t="str">
        <f>_xlfn.XLOOKUP(SMALL($E$2:$E$52, 1), $E$2:$E$52, $A$2:$A$52)</f>
        <v>Clerk and Master - Chancery</v>
      </c>
      <c r="B109" s="4">
        <f t="shared" ref="B109:B111" si="18">_xlfn.XLOOKUP(A109, $A$2:$A$52, $E$2:$E$52)</f>
        <v>-0.15235918433091292</v>
      </c>
      <c r="C109">
        <f>INDEX($F$2:$F$52, MATCH(A109, $A$2:$A$52, 0))</f>
        <v>1</v>
      </c>
      <c r="F109" s="13" t="s">
        <v>92</v>
      </c>
    </row>
    <row r="110" spans="1:9" x14ac:dyDescent="0.3">
      <c r="A110" t="str">
        <f>_xlfn.XLOOKUP(SMALL($E$2:$E$52, 2), $E$2:$E$52, $A$2:$A$52)</f>
        <v>Circuit Court Clerk</v>
      </c>
      <c r="B110" s="4">
        <f t="shared" si="18"/>
        <v>-0.11502817362571344</v>
      </c>
      <c r="C110">
        <f t="shared" ref="C110:C111" si="19">INDEX($F$2:$F$52, MATCH(A110, $A$2:$A$52, 0))</f>
        <v>2</v>
      </c>
    </row>
    <row r="111" spans="1:9" x14ac:dyDescent="0.3">
      <c r="A111" t="str">
        <f>_xlfn.XLOOKUP(SMALL($E$2:$E$52, 3), $E$2:$E$52, $A$2:$A$52)</f>
        <v>Internal Audit</v>
      </c>
      <c r="B111" s="4">
        <f t="shared" si="18"/>
        <v>-9.5782760864849215E-2</v>
      </c>
      <c r="C111">
        <f t="shared" si="19"/>
        <v>3</v>
      </c>
    </row>
    <row r="112" spans="1:9" x14ac:dyDescent="0.3">
      <c r="B112" s="4"/>
    </row>
    <row r="113" spans="1:3" x14ac:dyDescent="0.3">
      <c r="A113" s="6" t="s">
        <v>90</v>
      </c>
      <c r="B113" s="7" t="s">
        <v>9</v>
      </c>
      <c r="C113" s="6" t="s">
        <v>10</v>
      </c>
    </row>
    <row r="114" spans="1:3" x14ac:dyDescent="0.3">
      <c r="A114" t="str">
        <f>_xlfn.XLOOKUP(SMALL($J$2:$J$52, 1), $J$2:$J$52, $A$2:$A$52)</f>
        <v>Metropolitan Clerk</v>
      </c>
      <c r="B114" s="4">
        <f>_xlfn.XLOOKUP(A114, $A$2:$A$52, $J$2:$J$52)</f>
        <v>-0.17551246244575608</v>
      </c>
      <c r="C114">
        <f>INDEX($K$2:$K$52, MATCH(A114, $A$2:$A$52, 0))</f>
        <v>51</v>
      </c>
    </row>
    <row r="115" spans="1:3" x14ac:dyDescent="0.3">
      <c r="A115" t="str">
        <f>_xlfn.XLOOKUP(SMALL($J$2:$J$52, 2), $J$2:$J$52, $A$2:$A$52)</f>
        <v>Internal Audit</v>
      </c>
      <c r="B115" s="4">
        <f>_xlfn.XLOOKUP(A115, $A$2:$A$52, $J$2:$J$52)</f>
        <v>-0.17103239309050916</v>
      </c>
      <c r="C115">
        <f t="shared" ref="C115:C116" si="20">INDEX($K$2:$K$52, MATCH(A115, $A$2:$A$52, 0))</f>
        <v>50</v>
      </c>
    </row>
    <row r="116" spans="1:3" x14ac:dyDescent="0.3">
      <c r="A116" t="str">
        <f>_xlfn.XLOOKUP(SMALL($J$2:$J$52, 3), $J$2:$J$52, $A$2:$A$52)</f>
        <v>Office of Family Safety</v>
      </c>
      <c r="B116" s="4">
        <f>_xlfn.XLOOKUP(A116, $A$2:$A$52, $J$2:$J$52)</f>
        <v>-0.13918241656366656</v>
      </c>
      <c r="C116">
        <f t="shared" si="20"/>
        <v>49</v>
      </c>
    </row>
    <row r="117" spans="1:3" x14ac:dyDescent="0.3">
      <c r="B117" s="4"/>
    </row>
    <row r="118" spans="1:3" x14ac:dyDescent="0.3">
      <c r="A118" s="6" t="s">
        <v>90</v>
      </c>
      <c r="B118" s="7" t="s">
        <v>14</v>
      </c>
      <c r="C118" s="6" t="s">
        <v>15</v>
      </c>
    </row>
    <row r="119" spans="1:3" x14ac:dyDescent="0.3">
      <c r="A119" t="str">
        <f>_xlfn.XLOOKUP(SMALL($O$2:$O$52, 1), $O$2:$O$52, $A$2:$A$52)</f>
        <v>Community Oversight Board</v>
      </c>
      <c r="B119" s="4">
        <f>_xlfn.XLOOKUP(A119, $A$2:$A$52, $O$2:$O$52)</f>
        <v>-0.82994157333333329</v>
      </c>
      <c r="C119">
        <f>INDEX($P$2:$P$52, MATCH(A119, $A$2:$A$52, 0))</f>
        <v>51</v>
      </c>
    </row>
    <row r="120" spans="1:3" x14ac:dyDescent="0.3">
      <c r="A120" t="str">
        <f>_xlfn.XLOOKUP(SMALL($O$2:$O$52, 2), $O$2:$O$52, $A$2:$A$52)</f>
        <v>Clerk and Master - Chancery</v>
      </c>
      <c r="B120" s="4">
        <f>_xlfn.XLOOKUP(A120, $A$2:$A$52, $O$2:$O$52)</f>
        <v>-0.15295680364719175</v>
      </c>
      <c r="C120">
        <f t="shared" ref="C120:C121" si="21">INDEX($P$2:$P$52, MATCH(A120, $A$2:$A$52, 0))</f>
        <v>50</v>
      </c>
    </row>
    <row r="121" spans="1:3" x14ac:dyDescent="0.3">
      <c r="A121" t="str">
        <f>_xlfn.XLOOKUP(SMALL($O$2:$O$52, 3), $O$2:$O$52, $A$2:$A$52)</f>
        <v>Election Commission</v>
      </c>
      <c r="B121" s="4">
        <f>_xlfn.XLOOKUP(A121, $A$2:$A$52, $O$2:$O$52)</f>
        <v>-0.12882667147667154</v>
      </c>
      <c r="C121">
        <f t="shared" si="21"/>
        <v>49</v>
      </c>
    </row>
  </sheetData>
  <mergeCells count="6">
    <mergeCell ref="B93:C93"/>
    <mergeCell ref="B100:C100"/>
    <mergeCell ref="D93:E93"/>
    <mergeCell ref="D100:E100"/>
    <mergeCell ref="F93:G93"/>
    <mergeCell ref="F100:G100"/>
  </mergeCells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1" t="s">
        <v>0</v>
      </c>
      <c r="B1" s="2" t="s">
        <v>80</v>
      </c>
    </row>
    <row r="2" spans="1:2" x14ac:dyDescent="0.3">
      <c r="A2" s="1" t="s">
        <v>1</v>
      </c>
      <c r="B2" s="2" t="s">
        <v>81</v>
      </c>
    </row>
    <row r="3" spans="1:2" x14ac:dyDescent="0.3">
      <c r="A3" s="1" t="s">
        <v>2</v>
      </c>
      <c r="B3" s="2" t="s">
        <v>82</v>
      </c>
    </row>
    <row r="4" spans="1:2" x14ac:dyDescent="0.3">
      <c r="A4" s="1" t="s">
        <v>3</v>
      </c>
      <c r="B4" s="2" t="s">
        <v>83</v>
      </c>
    </row>
    <row r="5" spans="1:2" x14ac:dyDescent="0.3">
      <c r="A5" s="1" t="s">
        <v>6</v>
      </c>
      <c r="B5" s="2" t="s">
        <v>84</v>
      </c>
    </row>
    <row r="6" spans="1:2" x14ac:dyDescent="0.3">
      <c r="A6" s="1" t="s">
        <v>7</v>
      </c>
      <c r="B6" s="2" t="s">
        <v>85</v>
      </c>
    </row>
    <row r="7" spans="1:2" x14ac:dyDescent="0.3">
      <c r="A7" s="1" t="s">
        <v>8</v>
      </c>
      <c r="B7" s="2" t="s">
        <v>86</v>
      </c>
    </row>
    <row r="8" spans="1:2" x14ac:dyDescent="0.3">
      <c r="A8" s="1" t="s">
        <v>11</v>
      </c>
      <c r="B8" s="2" t="s">
        <v>87</v>
      </c>
    </row>
    <row r="9" spans="1:2" x14ac:dyDescent="0.3">
      <c r="A9" s="1" t="s">
        <v>12</v>
      </c>
      <c r="B9" s="2" t="s">
        <v>88</v>
      </c>
    </row>
    <row r="10" spans="1:2" x14ac:dyDescent="0.3">
      <c r="A10" s="1" t="s">
        <v>13</v>
      </c>
      <c r="B1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 final </vt:lpstr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Joy Corpuz</dc:creator>
  <cp:keywords/>
  <dc:description/>
  <cp:lastModifiedBy>Joy Corpuz</cp:lastModifiedBy>
  <cp:revision/>
  <dcterms:created xsi:type="dcterms:W3CDTF">2020-02-26T17:00:38Z</dcterms:created>
  <dcterms:modified xsi:type="dcterms:W3CDTF">2025-01-25T22:53:30Z</dcterms:modified>
  <cp:category/>
  <cp:contentStatus/>
</cp:coreProperties>
</file>