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n\OneDrive\Documents\DA15\Excel\lookups-exercise-mbainbridge950\"/>
    </mc:Choice>
  </mc:AlternateContent>
  <xr:revisionPtr revIDLastSave="0" documentId="13_ncr:1_{DAEB99E2-D9D7-4EF9-A03D-F687BBBEFC60}" xr6:coauthVersionLast="47" xr6:coauthVersionMax="47" xr10:uidLastSave="{00000000-0000-0000-0000-000000000000}"/>
  <bookViews>
    <workbookView xWindow="31995" yWindow="1665" windowWidth="21600" windowHeight="1123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C86" i="1"/>
  <c r="C85" i="1"/>
  <c r="C84" i="1"/>
  <c r="B86" i="1"/>
  <c r="B85" i="1"/>
  <c r="B84" i="1"/>
  <c r="D79" i="1"/>
  <c r="C79" i="1"/>
  <c r="D78" i="1"/>
  <c r="C78" i="1"/>
  <c r="D77" i="1"/>
  <c r="C77" i="1"/>
  <c r="D76" i="1"/>
  <c r="C76" i="1"/>
  <c r="D75" i="1"/>
  <c r="C75" i="1"/>
  <c r="D74" i="1"/>
  <c r="C74" i="1"/>
  <c r="B79" i="1"/>
  <c r="B78" i="1"/>
  <c r="B77" i="1"/>
  <c r="B76" i="1"/>
  <c r="B75" i="1"/>
  <c r="B7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70" i="1"/>
  <c r="C70" i="1"/>
  <c r="D69" i="1"/>
  <c r="C69" i="1"/>
  <c r="D68" i="1"/>
  <c r="C68" i="1"/>
  <c r="D67" i="1"/>
  <c r="C67" i="1"/>
  <c r="D66" i="1"/>
  <c r="C66" i="1"/>
  <c r="B70" i="1" a="1"/>
  <c r="B70" i="1" s="1"/>
  <c r="B69" i="1" a="1"/>
  <c r="B69" i="1" s="1"/>
  <c r="B68" i="1" a="1"/>
  <c r="B68" i="1" s="1"/>
  <c r="B67" i="1" a="1"/>
  <c r="B67" i="1" s="1"/>
  <c r="B66" i="1" a="1"/>
  <c r="B66" i="1"/>
  <c r="D65" i="1"/>
  <c r="C65" i="1"/>
  <c r="B65" i="1" a="1"/>
  <c r="B65" i="1" s="1"/>
  <c r="D61" i="1"/>
  <c r="D60" i="1"/>
  <c r="D59" i="1"/>
  <c r="D58" i="1"/>
  <c r="D57" i="1"/>
  <c r="D56" i="1"/>
  <c r="C61" i="1"/>
  <c r="C60" i="1"/>
  <c r="C59" i="1"/>
  <c r="C58" i="1"/>
  <c r="C57" i="1"/>
  <c r="C56" i="1"/>
  <c r="B61" i="1"/>
  <c r="B60" i="1"/>
  <c r="B59" i="1"/>
  <c r="B58" i="1"/>
  <c r="B57" i="1"/>
  <c r="B5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<sst xmlns="http://schemas.openxmlformats.org/spreadsheetml/2006/main" count="150" uniqueCount="90">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</sst>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Budget Vs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9349400</c:v>
                </c:pt>
                <c:pt idx="1">
                  <c:v>11073700</c:v>
                </c:pt>
                <c:pt idx="2">
                  <c:v>10790500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4-4A20-B00D-F6E80E439AC2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8952825.2799999993</c:v>
                </c:pt>
                <c:pt idx="1">
                  <c:v>9929059.5199999996</c:v>
                </c:pt>
                <c:pt idx="2">
                  <c:v>9929059.5199999996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B4-4A20-B00D-F6E80E439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5404527"/>
        <c:axId val="1125406447"/>
      </c:barChart>
      <c:catAx>
        <c:axId val="112540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406447"/>
        <c:crosses val="autoZero"/>
        <c:auto val="1"/>
        <c:lblAlgn val="ctr"/>
        <c:lblOffset val="100"/>
        <c:noMultiLvlLbl val="0"/>
      </c:catAx>
      <c:valAx>
        <c:axId val="112540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40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948690</xdr:colOff>
      <xdr:row>72</xdr:row>
      <xdr:rowOff>18097</xdr:rowOff>
    </xdr:from>
    <xdr:to>
      <xdr:col>8</xdr:col>
      <xdr:colOff>112395</xdr:colOff>
      <xdr:row>87</xdr:row>
      <xdr:rowOff>50482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4B7B87-7101-84EF-4A64-A24F30056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0" workbookViewId="0">
      <selection activeCell="B87" sqref="B87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6" width="23.88671875" customWidth="1"/>
    <col min="17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IFERROR((D2/B2)," ")</f>
        <v>-4.3170750765267295E-2</v>
      </c>
      <c r="F2">
        <f>IFERROR(RANK(E2,$E$2:$E$52)," ")</f>
        <v>35</v>
      </c>
      <c r="G2">
        <v>382685200</v>
      </c>
      <c r="H2">
        <v>346340810.81999999</v>
      </c>
      <c r="I2">
        <f>H2-G2</f>
        <v>-36344389.180000007</v>
      </c>
      <c r="J2" s="5">
        <f>IFERROR((I2/G2)," ")</f>
        <v>-9.4972027086493035E-2</v>
      </c>
      <c r="K2">
        <f>IFERROR(RANK(J2, $J$2:$J$52), " ")</f>
        <v>39</v>
      </c>
      <c r="L2">
        <v>376548600</v>
      </c>
      <c r="M2">
        <v>355279492.22999901</v>
      </c>
      <c r="N2">
        <f>M2-L2</f>
        <v>-21269107.770000994</v>
      </c>
      <c r="O2" s="5">
        <f>IFERROR((N2/L2)," ")</f>
        <v>-5.6484362894991494E-2</v>
      </c>
      <c r="P2">
        <f>IFERROR(RANK(O2, $O$2:$O$52), " ")</f>
        <v>35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IFERROR((D3/B3)," ")</f>
        <v>-2.3069981751824741E-2</v>
      </c>
      <c r="F3">
        <f t="shared" ref="F3:F52" si="2">IFERROR(RANK(E3,$E$2:$E$52)," ")</f>
        <v>27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IFERROR((I3/G3)," ")</f>
        <v>-6.6804928315415249E-2</v>
      </c>
      <c r="K3">
        <f t="shared" ref="K3:K52" si="5">IFERROR(RANK(J3, $J$2:$J$52), " ")</f>
        <v>35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IFERROR((N3/L3)," ")</f>
        <v>-1.3540749922529313E-3</v>
      </c>
      <c r="P3">
        <f t="shared" ref="P3:P52" si="8">IFERROR(RANK(O3, $O$2:$O$52), " ")</f>
        <v>12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7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13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24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44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27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38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5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10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47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41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45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48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45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47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33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42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40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32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20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 xml:space="preserve"> </v>
      </c>
      <c r="F11" t="str">
        <f t="shared" si="2"/>
        <v xml:space="preserve"> </v>
      </c>
      <c r="G11">
        <v>0</v>
      </c>
      <c r="H11">
        <v>0</v>
      </c>
      <c r="I11">
        <f t="shared" si="3"/>
        <v>0</v>
      </c>
      <c r="J11" s="5" t="str">
        <f t="shared" si="4"/>
        <v xml:space="preserve"> </v>
      </c>
      <c r="K11" t="str">
        <f t="shared" si="5"/>
        <v xml:space="preserve"> 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48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36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43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39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16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31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22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19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9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30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25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21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12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6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28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24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38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37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34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46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34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37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37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3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2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3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40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38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28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17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11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7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31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23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23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18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21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8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11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12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14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44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33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36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 xml:space="preserve"> </v>
      </c>
      <c r="F27" t="str">
        <f t="shared" si="2"/>
        <v xml:space="preserve"> </v>
      </c>
      <c r="G27">
        <v>0</v>
      </c>
      <c r="H27">
        <v>0</v>
      </c>
      <c r="I27">
        <f t="shared" si="3"/>
        <v>0</v>
      </c>
      <c r="J27" s="5" t="str">
        <f t="shared" si="4"/>
        <v xml:space="preserve"> </v>
      </c>
      <c r="K27" t="str">
        <f t="shared" si="5"/>
        <v xml:space="preserve"> </v>
      </c>
      <c r="L27">
        <v>0</v>
      </c>
      <c r="M27">
        <v>0</v>
      </c>
      <c r="N27">
        <f t="shared" si="6"/>
        <v>0</v>
      </c>
      <c r="O27" s="5" t="str">
        <f t="shared" si="7"/>
        <v xml:space="preserve"> </v>
      </c>
      <c r="P27" t="str">
        <f t="shared" si="8"/>
        <v xml:space="preserve"> 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46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47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42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21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22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5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9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7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13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20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17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29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13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14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26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8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6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15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23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28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25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 xml:space="preserve"> </v>
      </c>
      <c r="F35" t="str">
        <f t="shared" si="2"/>
        <v xml:space="preserve"> </v>
      </c>
      <c r="G35">
        <v>0</v>
      </c>
      <c r="H35">
        <v>0</v>
      </c>
      <c r="I35">
        <f t="shared" si="3"/>
        <v>0</v>
      </c>
      <c r="J35" s="5" t="str">
        <f t="shared" si="4"/>
        <v xml:space="preserve"> </v>
      </c>
      <c r="K35" t="str">
        <f t="shared" si="5"/>
        <v xml:space="preserve"> </v>
      </c>
      <c r="L35">
        <v>0</v>
      </c>
      <c r="M35">
        <v>0</v>
      </c>
      <c r="N35">
        <f t="shared" si="6"/>
        <v>0</v>
      </c>
      <c r="O35" s="5" t="str">
        <f t="shared" si="7"/>
        <v xml:space="preserve"> </v>
      </c>
      <c r="P35" t="str">
        <f t="shared" si="8"/>
        <v xml:space="preserve"> 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39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48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44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30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29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41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24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30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9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41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46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32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26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27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18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15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19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5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10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2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25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26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31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10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8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15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19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17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6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16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33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11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29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20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34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36</v>
      </c>
      <c r="L49">
        <v>0</v>
      </c>
      <c r="M49">
        <v>0</v>
      </c>
      <c r="N49">
        <f t="shared" si="6"/>
        <v>0</v>
      </c>
      <c r="O49" s="5" t="str">
        <f t="shared" si="7"/>
        <v xml:space="preserve"> </v>
      </c>
      <c r="P49" t="str">
        <f t="shared" si="8"/>
        <v xml:space="preserve"> 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14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18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16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42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40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43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VLOOKUP("Community Education Commission",A2:D52,4)</f>
        <v>-36209.630000000005</v>
      </c>
      <c r="C56">
        <f>VLOOKUP("Community Education Commission",A2:I52,9)</f>
        <v>-27292.159999999974</v>
      </c>
      <c r="D56">
        <f>VLOOKUP("Community Education Commission",A2:N52,14)</f>
        <v>-9181.0800000000163</v>
      </c>
    </row>
    <row r="57" spans="1:16" x14ac:dyDescent="0.3">
      <c r="A57" t="s">
        <v>25</v>
      </c>
      <c r="B57">
        <f>VLOOKUP("Community Oversight Board",A3:D53,4)</f>
        <v>0</v>
      </c>
      <c r="C57">
        <f>VLOOKUP("Community Oversight Board",A3:I53,9)</f>
        <v>0</v>
      </c>
      <c r="D57">
        <f>VLOOKUP("Community Oversight Board",A3:N53,14)</f>
        <v>-311228.08999999997</v>
      </c>
    </row>
    <row r="58" spans="1:16" x14ac:dyDescent="0.3">
      <c r="A58" t="s">
        <v>32</v>
      </c>
      <c r="B58">
        <f>VLOOKUP("Election Commission",A4:D54,4)</f>
        <v>-149396.10000000987</v>
      </c>
      <c r="C58">
        <f>VLOOKUP("Election Commission",A4:I54,9)</f>
        <v>-189254.06000000006</v>
      </c>
      <c r="D58">
        <f>VLOOKUP("Election Commission",A4:N54,14)</f>
        <v>-374962.91000000015</v>
      </c>
    </row>
    <row r="59" spans="1:16" x14ac:dyDescent="0.3">
      <c r="A59" t="s">
        <v>38</v>
      </c>
      <c r="B59">
        <f>VLOOKUP("Historical Commission",A5:D55,4)</f>
        <v>-12230.810000000056</v>
      </c>
      <c r="C59">
        <f>VLOOKUP("Historical Commission",A5:I55,9)</f>
        <v>-45485.580000000075</v>
      </c>
      <c r="D59">
        <f>VLOOKUP("Historical Commission",A5:N55,14)</f>
        <v>-72.879999999888241</v>
      </c>
    </row>
    <row r="60" spans="1:16" x14ac:dyDescent="0.3">
      <c r="A60" t="s">
        <v>39</v>
      </c>
      <c r="B60">
        <f>VLOOKUP("Human Relations Commission",A6:D56,4)</f>
        <v>-4950.4699999999721</v>
      </c>
      <c r="C60">
        <f>VLOOKUP("Human Relations Commission",A6:I56,9)</f>
        <v>-8005.7900000010268</v>
      </c>
      <c r="D60">
        <f>VLOOKUP("Human Relations Commission",A6:N56,14)</f>
        <v>-1724.9000000000233</v>
      </c>
    </row>
    <row r="61" spans="1:16" x14ac:dyDescent="0.3">
      <c r="A61" t="s">
        <v>55</v>
      </c>
      <c r="B61">
        <f>VLOOKUP("Planning Commission",A7:D57,4)</f>
        <v>-184239.79000001028</v>
      </c>
      <c r="C61">
        <f>VLOOKUP("Planning Commission",A7:I57,9)</f>
        <v>-133456.33000001032</v>
      </c>
      <c r="D61">
        <f>VLOOKUP("Planning Commission",A7:N57,14)</f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ref="B65">_xlfn.XLOOKUP("Community Education Commission",A2:A52,D2:D2:D52)</f>
        <v>-36209.630000000005</v>
      </c>
      <c r="C65">
        <f>_xlfn.XLOOKUP("Community Education Commission", A2:A52,I2:I52)</f>
        <v>-27292.159999999974</v>
      </c>
      <c r="D65">
        <f>_xlfn.XLOOKUP("Community Education Commission", A2:A52, N2:N52)</f>
        <v>-9181.0800000000163</v>
      </c>
    </row>
    <row r="66" spans="1:4" x14ac:dyDescent="0.3">
      <c r="A66" t="s">
        <v>25</v>
      </c>
      <c r="B66" cm="1">
        <f t="array" ref="B66">_xlfn.XLOOKUP("Community Oversight Board",A3:A53,D3:D3:D53)</f>
        <v>0</v>
      </c>
      <c r="C66">
        <f>_xlfn.XLOOKUP("Community Oversight Board", A3:A53,I3:I53)</f>
        <v>0</v>
      </c>
      <c r="D66">
        <f>_xlfn.XLOOKUP("Community Oversight Board", A3:A53, N3:N53)</f>
        <v>-311228.08999999997</v>
      </c>
    </row>
    <row r="67" spans="1:4" x14ac:dyDescent="0.3">
      <c r="A67" t="s">
        <v>32</v>
      </c>
      <c r="B67" cm="1">
        <f t="array" ref="B67">_xlfn.XLOOKUP("Election Commission",A4:A54,D4:D4:D54)</f>
        <v>-149396.10000000987</v>
      </c>
      <c r="C67">
        <f>_xlfn.XLOOKUP("Election Commission", A4:A54,I4:I54)</f>
        <v>-189254.06000000006</v>
      </c>
      <c r="D67">
        <f>_xlfn.XLOOKUP("Election Commission", A4:A54, N4:N54)</f>
        <v>-374962.91000000015</v>
      </c>
    </row>
    <row r="68" spans="1:4" x14ac:dyDescent="0.3">
      <c r="A68" t="s">
        <v>38</v>
      </c>
      <c r="B68" cm="1">
        <f t="array" ref="B68">_xlfn.XLOOKUP("Historical Commission",A5:A55,D5:D5:D55)</f>
        <v>-12230.810000000056</v>
      </c>
      <c r="C68">
        <f>_xlfn.XLOOKUP("Historical Commission", A5:A55,I5:I55)</f>
        <v>-45485.580000000075</v>
      </c>
      <c r="D68">
        <f>_xlfn.XLOOKUP("Historical Commission", A5:A55, N5:N55)</f>
        <v>-72.879999999888241</v>
      </c>
    </row>
    <row r="69" spans="1:4" x14ac:dyDescent="0.3">
      <c r="A69" t="s">
        <v>39</v>
      </c>
      <c r="B69" cm="1">
        <f t="array" ref="B69">_xlfn.XLOOKUP("Human Relations Commission",A6:A56,D6:D6:D56)</f>
        <v>-4950.4699999999721</v>
      </c>
      <c r="C69">
        <f>_xlfn.XLOOKUP("Human Relations Commission", A6:A56,I6:I56)</f>
        <v>-8005.7900000010268</v>
      </c>
      <c r="D69">
        <f>_xlfn.XLOOKUP("Human Relations Commission", A6:A56, N6:N56)</f>
        <v>-1724.9000000000233</v>
      </c>
    </row>
    <row r="70" spans="1:4" x14ac:dyDescent="0.3">
      <c r="A70" t="s">
        <v>55</v>
      </c>
      <c r="B70" cm="1">
        <f t="array" ref="B70">_xlfn.XLOOKUP("Planning Commission",A7:A57,D7:D7:D57)</f>
        <v>-184239.79000001028</v>
      </c>
      <c r="C70">
        <f>_xlfn.XLOOKUP("Planning Commission", A7:A57,I7:I57)</f>
        <v>-133456.33000001032</v>
      </c>
      <c r="D70">
        <f>_xlfn.XLOOKUP("Planning Commission", A7:A57, N7:N57)</f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INDEX($D$2:$D$52,MATCH("Community Education Commission",$A$2:$A$52))</f>
        <v>-36209.630000000005</v>
      </c>
      <c r="C74">
        <f>INDEX($I$2:$I$52,MATCH("Community Education Commission",$A$2:$A$52))</f>
        <v>-27292.159999999974</v>
      </c>
      <c r="D74">
        <f>INDEX($N$2:$N$52,MATCH("Community Education Commission", $A$2:$A$52))</f>
        <v>-9181.0800000000163</v>
      </c>
    </row>
    <row r="75" spans="1:4" x14ac:dyDescent="0.3">
      <c r="A75" t="s">
        <v>25</v>
      </c>
      <c r="B75">
        <f>INDEX($D$2:$D$52,MATCH("Community Oversight Board",$A$2:$A$52))</f>
        <v>0</v>
      </c>
      <c r="C75">
        <f>INDEX($I$2:$I$52,MATCH("Community Oversight Board",$A$2:$A$52))</f>
        <v>0</v>
      </c>
      <c r="D75">
        <f>INDEX($N$2:$N$52,MATCH("Community Oversight Board", $A$2:$A$52))</f>
        <v>-311228.08999999997</v>
      </c>
    </row>
    <row r="76" spans="1:4" x14ac:dyDescent="0.3">
      <c r="A76" t="s">
        <v>32</v>
      </c>
      <c r="B76">
        <f>INDEX($D$2:$D$52,MATCH("Election Commission",$A$2:$A$52))</f>
        <v>-149396.10000000987</v>
      </c>
      <c r="C76">
        <f>INDEX($I$2:$I$52,MATCH("Election Commission",$A$2:$A$52))</f>
        <v>-189254.06000000006</v>
      </c>
      <c r="D76">
        <f>INDEX($N$2:$N$52,MATCH("Election Commission", $A$2:$A$52))</f>
        <v>-374962.91000000015</v>
      </c>
    </row>
    <row r="77" spans="1:4" x14ac:dyDescent="0.3">
      <c r="A77" t="s">
        <v>38</v>
      </c>
      <c r="B77">
        <f>INDEX($D$2:$D$52,MATCH("Historical Commission",$A$2:$A$52))</f>
        <v>-12230.810000000056</v>
      </c>
      <c r="C77">
        <f>INDEX($I$2:$I$52,MATCH("Historical Commission",$A$2:$A$52))</f>
        <v>-45485.580000000075</v>
      </c>
      <c r="D77">
        <f>INDEX($N$2:$N$52,MATCH("Historical Commission", $A$2:$A$52))</f>
        <v>-72.879999999888241</v>
      </c>
    </row>
    <row r="78" spans="1:4" x14ac:dyDescent="0.3">
      <c r="A78" t="s">
        <v>39</v>
      </c>
      <c r="B78">
        <f>INDEX($D$2:$D$52,MATCH("Human Relations Commission",$A$2:$A$52))</f>
        <v>-4950.4699999999721</v>
      </c>
      <c r="C78">
        <f>INDEX($I$2:$I$52,MATCH("Human Relations Commission",$A$2:$A$52))</f>
        <v>-8005.7900000010268</v>
      </c>
      <c r="D78">
        <f>INDEX($N$2:$N$52,MATCH("Human Relations Commission", $A$2:$A$52))</f>
        <v>-1724.9000000000233</v>
      </c>
    </row>
    <row r="79" spans="1:4" x14ac:dyDescent="0.3">
      <c r="A79" t="s">
        <v>55</v>
      </c>
      <c r="B79">
        <f>INDEX($D$2:$D$52,MATCH("Planning Commission",$A$2:$A$52))</f>
        <v>-184239.79000001028</v>
      </c>
      <c r="C79">
        <f>INDEX($I$2:$I$52,MATCH("Planning Commission",$A$2:$A$52))</f>
        <v>-133456.33000001032</v>
      </c>
      <c r="D79">
        <f>INDEX($N$2:$N$52,MATCH("Planning Commission", $A$2:$A$52))</f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INDEX(B2:B52,MATCH(B87, A2:A52))</f>
        <v>9349400</v>
      </c>
      <c r="C84" s="6">
        <f>INDEX(C2:C52, MATCH(B87, A2:A52))</f>
        <v>8952825.2799999993</v>
      </c>
    </row>
    <row r="85" spans="1:7" x14ac:dyDescent="0.3">
      <c r="A85" t="s">
        <v>74</v>
      </c>
      <c r="B85" s="6">
        <f>INDEX(G2:G52, MATCH(B87, A2:A52))</f>
        <v>11073700</v>
      </c>
      <c r="C85" s="6">
        <f>INDEX(H2:H52, MATCH(B87, A2:A52))</f>
        <v>9929059.5199999996</v>
      </c>
    </row>
    <row r="86" spans="1:7" x14ac:dyDescent="0.3">
      <c r="A86" t="s">
        <v>75</v>
      </c>
      <c r="B86" s="6">
        <f>INDEX(L2:L52, MATCH(B87, A2:A52))</f>
        <v>10790500</v>
      </c>
      <c r="C86" s="6">
        <f>INDEX(H2:H52,MATCH(B87,A2:A52))</f>
        <v>9929059.5199999996</v>
      </c>
    </row>
    <row r="87" spans="1:7" x14ac:dyDescent="0.3">
      <c r="B87" t="s">
        <v>23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Malani Bainbridge</cp:lastModifiedBy>
  <cp:revision/>
  <dcterms:created xsi:type="dcterms:W3CDTF">2020-02-26T17:00:38Z</dcterms:created>
  <dcterms:modified xsi:type="dcterms:W3CDTF">2025-05-22T20:02:35Z</dcterms:modified>
  <cp:category/>
  <cp:contentStatus/>
</cp:coreProperties>
</file>