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DispWin_v15 5.0.53\"/>
    </mc:Choice>
  </mc:AlternateContent>
  <xr:revisionPtr revIDLastSave="0" documentId="13_ncr:1_{EA7EA006-BFEE-43BB-B7CC-E2EA7459221B}" xr6:coauthVersionLast="45" xr6:coauthVersionMax="45" xr10:uidLastSave="{00000000-0000-0000-0000-000000000000}"/>
  <bookViews>
    <workbookView xWindow="23880" yWindow="-120" windowWidth="29040" windowHeight="17790" activeTab="2" xr2:uid="{05F5B3F1-CCC3-4191-9B41-201BE72D5E7A}"/>
  </bookViews>
  <sheets>
    <sheet name="Pump" sheetId="1" r:id="rId1"/>
    <sheet name="FlowRate" sheetId="2" r:id="rId2"/>
    <sheet name="Best Approxima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3" l="1"/>
  <c r="U25" i="3"/>
  <c r="U24" i="3"/>
  <c r="U23" i="3"/>
  <c r="U22" i="3"/>
  <c r="U21" i="3"/>
  <c r="U20" i="3"/>
  <c r="Q38" i="3"/>
  <c r="P38" i="3"/>
  <c r="S38" i="3" s="1"/>
  <c r="T38" i="3" s="1"/>
  <c r="S37" i="3"/>
  <c r="T37" i="3" s="1"/>
  <c r="Q37" i="3"/>
  <c r="P37" i="3"/>
  <c r="Q36" i="3"/>
  <c r="P36" i="3"/>
  <c r="S36" i="3" s="1"/>
  <c r="T36" i="3" s="1"/>
  <c r="S35" i="3"/>
  <c r="T35" i="3" s="1"/>
  <c r="Q35" i="3"/>
  <c r="P35" i="3"/>
  <c r="S34" i="3"/>
  <c r="T34" i="3" s="1"/>
  <c r="Q34" i="3"/>
  <c r="P34" i="3"/>
  <c r="S33" i="3"/>
  <c r="T33" i="3" s="1"/>
  <c r="S32" i="3"/>
  <c r="T32" i="3" s="1"/>
  <c r="S31" i="3"/>
  <c r="T31" i="3" s="1"/>
  <c r="S30" i="3"/>
  <c r="T30" i="3" s="1"/>
  <c r="S29" i="3"/>
  <c r="Q30" i="3"/>
  <c r="Q26" i="3"/>
  <c r="P26" i="3"/>
  <c r="R26" i="3" s="1"/>
  <c r="Q25" i="3"/>
  <c r="S25" i="3" s="1"/>
  <c r="T25" i="3" s="1"/>
  <c r="P25" i="3"/>
  <c r="R25" i="3" s="1"/>
  <c r="Q24" i="3"/>
  <c r="P24" i="3"/>
  <c r="R24" i="3" s="1"/>
  <c r="S24" i="3" s="1"/>
  <c r="T24" i="3" s="1"/>
  <c r="R20" i="3"/>
  <c r="Q23" i="3"/>
  <c r="P23" i="3"/>
  <c r="R23" i="3" s="1"/>
  <c r="Q22" i="3"/>
  <c r="P22" i="3"/>
  <c r="R22" i="3" s="1"/>
  <c r="S22" i="3" s="1"/>
  <c r="T22" i="3" s="1"/>
  <c r="R21" i="3"/>
  <c r="S20" i="3"/>
  <c r="S12" i="3"/>
  <c r="R16" i="3"/>
  <c r="S16" i="3" s="1"/>
  <c r="R12" i="3"/>
  <c r="C43" i="3"/>
  <c r="B43" i="3"/>
  <c r="C42" i="3"/>
  <c r="B42" i="3"/>
  <c r="E42" i="3" s="1"/>
  <c r="C41" i="3"/>
  <c r="B41" i="3"/>
  <c r="E41" i="3" s="1"/>
  <c r="C40" i="3"/>
  <c r="B40" i="3"/>
  <c r="E40" i="3" s="1"/>
  <c r="C39" i="3"/>
  <c r="C44" i="3" s="1"/>
  <c r="B39" i="3"/>
  <c r="B44" i="3" s="1"/>
  <c r="E43" i="3"/>
  <c r="D43" i="3"/>
  <c r="D42" i="3"/>
  <c r="E39" i="3"/>
  <c r="C25" i="3"/>
  <c r="B25" i="3"/>
  <c r="E24" i="3"/>
  <c r="D24" i="3"/>
  <c r="E23" i="3"/>
  <c r="D23" i="3"/>
  <c r="E22" i="3"/>
  <c r="D22" i="3"/>
  <c r="E21" i="3"/>
  <c r="D21" i="3"/>
  <c r="E20" i="3"/>
  <c r="D20" i="3"/>
  <c r="T29" i="3" l="1"/>
  <c r="P30" i="3" s="1"/>
  <c r="S26" i="3"/>
  <c r="T26" i="3" s="1"/>
  <c r="S23" i="3"/>
  <c r="T23" i="3" s="1"/>
  <c r="Q21" i="3"/>
  <c r="T20" i="3"/>
  <c r="P21" i="3" s="1"/>
  <c r="Q17" i="3"/>
  <c r="T16" i="3"/>
  <c r="P17" i="3" s="1"/>
  <c r="R17" i="3" s="1"/>
  <c r="Q13" i="3"/>
  <c r="T12" i="3"/>
  <c r="P13" i="3"/>
  <c r="R13" i="3" s="1"/>
  <c r="D25" i="3"/>
  <c r="B27" i="3" s="1"/>
  <c r="B28" i="3" s="1"/>
  <c r="D41" i="3"/>
  <c r="E25" i="3"/>
  <c r="E44" i="3"/>
  <c r="D40" i="3"/>
  <c r="D39" i="3"/>
  <c r="G12" i="2"/>
  <c r="G11" i="2"/>
  <c r="P31" i="3" l="1"/>
  <c r="Q31" i="3"/>
  <c r="S21" i="3"/>
  <c r="T21" i="3" s="1"/>
  <c r="S17" i="3"/>
  <c r="T17" i="3" s="1"/>
  <c r="S13" i="3"/>
  <c r="T13" i="3" s="1"/>
  <c r="D44" i="3"/>
  <c r="B46" i="3" s="1"/>
  <c r="B47" i="3" s="1"/>
  <c r="G16" i="2"/>
  <c r="G22" i="2" s="1"/>
  <c r="G24" i="2" s="1"/>
  <c r="G27" i="2" s="1"/>
  <c r="D20" i="1"/>
  <c r="D19" i="1"/>
  <c r="G31" i="2" l="1"/>
  <c r="G28" i="2"/>
  <c r="D16" i="1"/>
  <c r="D15" i="1"/>
  <c r="D6" i="1"/>
  <c r="D4" i="1"/>
  <c r="Q32" i="3" l="1"/>
  <c r="P32" i="3"/>
  <c r="G33" i="2"/>
  <c r="G29" i="2"/>
  <c r="G32" i="2"/>
  <c r="D8" i="1"/>
  <c r="G34" i="2" l="1"/>
  <c r="G35" i="2" s="1"/>
  <c r="D17" i="1"/>
  <c r="D25" i="1"/>
  <c r="D29" i="1" s="1"/>
  <c r="D24" i="1"/>
  <c r="D28" i="1" s="1"/>
  <c r="Q33" i="3" l="1"/>
  <c r="P33" i="3"/>
  <c r="D22" i="1"/>
  <c r="D33" i="1" s="1"/>
  <c r="D21" i="1"/>
  <c r="D30" i="1"/>
  <c r="D31" i="1" l="1"/>
</calcChain>
</file>

<file path=xl/sharedStrings.xml><?xml version="1.0" encoding="utf-8"?>
<sst xmlns="http://schemas.openxmlformats.org/spreadsheetml/2006/main" count="158" uniqueCount="89">
  <si>
    <t>mm/s</t>
  </si>
  <si>
    <t>StartV</t>
  </si>
  <si>
    <t>DriveV</t>
  </si>
  <si>
    <t>Disp Vol</t>
  </si>
  <si>
    <t>ul</t>
  </si>
  <si>
    <t>Piston Dia</t>
  </si>
  <si>
    <t>mm</t>
  </si>
  <si>
    <t>mm3</t>
  </si>
  <si>
    <t>Piston Area</t>
  </si>
  <si>
    <t>mm2</t>
  </si>
  <si>
    <t>Disp Dist</t>
  </si>
  <si>
    <t>Accel Dist</t>
  </si>
  <si>
    <t>s</t>
  </si>
  <si>
    <t>Decel Dist</t>
  </si>
  <si>
    <t>Const Dist</t>
  </si>
  <si>
    <t>Const Time</t>
  </si>
  <si>
    <t>Accel Time</t>
  </si>
  <si>
    <t>Decel Time</t>
  </si>
  <si>
    <t>Total Time</t>
  </si>
  <si>
    <t>Disp</t>
  </si>
  <si>
    <t>Triangle</t>
  </si>
  <si>
    <t>Trapezoid</t>
  </si>
  <si>
    <t>Settings</t>
  </si>
  <si>
    <t>Total Time, tT</t>
  </si>
  <si>
    <t>Total Distance, dT</t>
  </si>
  <si>
    <t>Calculate the speed of a trapezoidal profile.</t>
  </si>
  <si>
    <t>Known</t>
  </si>
  <si>
    <t>Accel, a</t>
  </si>
  <si>
    <t>Set</t>
  </si>
  <si>
    <t>Initial Speed, u = 0</t>
  </si>
  <si>
    <t>Triangle Profile</t>
  </si>
  <si>
    <t>Peak v, vP = a*(tT/2)</t>
  </si>
  <si>
    <t>Example</t>
  </si>
  <si>
    <t>If dA &lt; dT, profile can achieve required dist. Error.</t>
  </si>
  <si>
    <t>Excess distance, dE = dT- DA</t>
  </si>
  <si>
    <t>dE = 1/2 * vE *tT/vP*vE</t>
  </si>
  <si>
    <t>vE2 * tT/vP = 2*dE</t>
  </si>
  <si>
    <t>vE2 = 2*dE *vP /tT</t>
  </si>
  <si>
    <t>Excess v, vE = Sqrt(2*dE *vP /tT)</t>
  </si>
  <si>
    <t>Max v, v = vP - vE</t>
  </si>
  <si>
    <t>vP=</t>
  </si>
  <si>
    <t>dA=</t>
  </si>
  <si>
    <t>tT=</t>
  </si>
  <si>
    <t>dT=</t>
  </si>
  <si>
    <t>a=</t>
  </si>
  <si>
    <t>dE=</t>
  </si>
  <si>
    <t>Speed to set</t>
  </si>
  <si>
    <t>Verification</t>
  </si>
  <si>
    <t>v=</t>
  </si>
  <si>
    <t>vE=</t>
  </si>
  <si>
    <t>tA</t>
  </si>
  <si>
    <t>Contant travel time</t>
  </si>
  <si>
    <t>Accel travel time</t>
  </si>
  <si>
    <t>tC</t>
  </si>
  <si>
    <t>Total travel time</t>
  </si>
  <si>
    <t>tT</t>
  </si>
  <si>
    <t>Accel dist</t>
  </si>
  <si>
    <t>Devel dist</t>
  </si>
  <si>
    <t>Const dist</t>
  </si>
  <si>
    <t>Total dist</t>
  </si>
  <si>
    <t>Error %</t>
  </si>
  <si>
    <t>dA</t>
  </si>
  <si>
    <t>dD</t>
  </si>
  <si>
    <t>dC</t>
  </si>
  <si>
    <t>tT_Calc</t>
  </si>
  <si>
    <t>20201017 KN</t>
  </si>
  <si>
    <t>Triangle dist, dA = 1/2*vP*tT</t>
  </si>
  <si>
    <t>dE = 1/2 * vE * tE, tE = tT/vP*vE</t>
  </si>
  <si>
    <t>Best Approximate</t>
  </si>
  <si>
    <t>Given</t>
  </si>
  <si>
    <t>m=</t>
  </si>
  <si>
    <t>(n * ?xy - ?x?y) / (n * ?x2 - Power(?x, 2))</t>
  </si>
  <si>
    <t>c=</t>
  </si>
  <si>
    <t>(?y - m?x) / n</t>
  </si>
  <si>
    <t>n-number of data set</t>
  </si>
  <si>
    <t>y = mx +c</t>
  </si>
  <si>
    <t>x</t>
  </si>
  <si>
    <t>y</t>
  </si>
  <si>
    <t>xy</t>
  </si>
  <si>
    <t>x2</t>
  </si>
  <si>
    <t>m</t>
  </si>
  <si>
    <t>c</t>
  </si>
  <si>
    <t>Example2</t>
  </si>
  <si>
    <t>?</t>
  </si>
  <si>
    <t>delta</t>
  </si>
  <si>
    <t>Target</t>
  </si>
  <si>
    <t>new y</t>
  </si>
  <si>
    <t>est x</t>
  </si>
  <si>
    <t>No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</si>
</sst>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Approximate'!$B$12:$B$16</c:f>
              <c:numCache>
                <c:formatCode>General</c:formatCode>
                <c:ptCount val="5"/>
                <c:pt idx="0">
                  <c:v>4.16</c:v>
                </c:pt>
                <c:pt idx="1">
                  <c:v>8.09</c:v>
                </c:pt>
                <c:pt idx="2">
                  <c:v>3.11</c:v>
                </c:pt>
                <c:pt idx="3">
                  <c:v>13.94</c:v>
                </c:pt>
                <c:pt idx="4">
                  <c:v>1.99</c:v>
                </c:pt>
              </c:numCache>
            </c:numRef>
          </c:xVal>
          <c:yVal>
            <c:numRef>
              <c:f>'Best Approximate'!$C$12:$C$16</c:f>
              <c:numCache>
                <c:formatCode>General</c:formatCode>
                <c:ptCount val="5"/>
                <c:pt idx="0">
                  <c:v>0.2</c:v>
                </c:pt>
                <c:pt idx="1">
                  <c:v>0.28799999999999998</c:v>
                </c:pt>
                <c:pt idx="2">
                  <c:v>0.19400000000000001</c:v>
                </c:pt>
                <c:pt idx="3">
                  <c:v>0.375</c:v>
                </c:pt>
                <c:pt idx="4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3-4DBC-87BF-F4A13EDE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21920"/>
        <c:axId val="2011123760"/>
      </c:scatterChart>
      <c:valAx>
        <c:axId val="18732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23760"/>
        <c:crosses val="autoZero"/>
        <c:crossBetween val="midCat"/>
      </c:valAx>
      <c:valAx>
        <c:axId val="2011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Approximate'!$B$31:$B$35</c:f>
              <c:numCache>
                <c:formatCode>General</c:formatCode>
                <c:ptCount val="5"/>
                <c:pt idx="0">
                  <c:v>13.11</c:v>
                </c:pt>
                <c:pt idx="1">
                  <c:v>2.25</c:v>
                </c:pt>
                <c:pt idx="2">
                  <c:v>18.57</c:v>
                </c:pt>
                <c:pt idx="3">
                  <c:v>1.93</c:v>
                </c:pt>
                <c:pt idx="4">
                  <c:v>19.88</c:v>
                </c:pt>
              </c:numCache>
            </c:numRef>
          </c:xVal>
          <c:yVal>
            <c:numRef>
              <c:f>'Best Approximate'!$C$31:$C$35</c:f>
              <c:numCache>
                <c:formatCode>General</c:formatCode>
                <c:ptCount val="5"/>
                <c:pt idx="0">
                  <c:v>0.35699999999999998</c:v>
                </c:pt>
                <c:pt idx="1">
                  <c:v>0.16300000000000001</c:v>
                </c:pt>
                <c:pt idx="2">
                  <c:v>0.436</c:v>
                </c:pt>
                <c:pt idx="3">
                  <c:v>0.14099999999999999</c:v>
                </c:pt>
                <c:pt idx="4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2-476C-B963-CBAC0709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50368"/>
        <c:axId val="2014750800"/>
      </c:scatterChart>
      <c:valAx>
        <c:axId val="2008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0800"/>
        <c:crosses val="autoZero"/>
        <c:crossBetween val="midCat"/>
      </c:valAx>
      <c:valAx>
        <c:axId val="2014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19050</xdr:rowOff>
    </xdr:from>
    <xdr:to>
      <xdr:col>12</xdr:col>
      <xdr:colOff>552450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88FA5-7F22-4F00-9F99-1DF03B444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319087</xdr:colOff>
      <xdr:row>29</xdr:row>
      <xdr:rowOff>23812</xdr:rowOff>
    </xdr:from>
    <xdr:to>
      <xdr:col>13</xdr:col>
      <xdr:colOff>14287</xdr:colOff>
      <xdr:row>43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DE0C2-52E9-487F-BDC1-09194739B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4.16</v>
          </cell>
          <cell r="C10">
            <v>0.2</v>
          </cell>
        </row>
        <row r="11">
          <cell r="B11">
            <v>8.09</v>
          </cell>
          <cell r="C11">
            <v>0.28799999999999998</v>
          </cell>
        </row>
        <row r="12">
          <cell r="B12">
            <v>3.11</v>
          </cell>
          <cell r="C12">
            <v>0.19400000000000001</v>
          </cell>
        </row>
        <row r="13">
          <cell r="B13">
            <v>13.94</v>
          </cell>
          <cell r="C13">
            <v>0.375</v>
          </cell>
        </row>
        <row r="14">
          <cell r="B14">
            <v>1.99</v>
          </cell>
          <cell r="C14">
            <v>0.161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1AB7-A174-4C9B-B2E0-D4B92032BB04}">
  <dimension ref="A2:D33"/>
  <sheetViews>
    <sheetView zoomScale="108" zoomScaleNormal="130" workbookViewId="0">
      <selection activeCell="A21" sqref="A21"/>
    </sheetView>
  </sheetViews>
  <sheetFormatPr defaultRowHeight="15" outlineLevelRow="1" x14ac:dyDescent="0.25"/>
  <cols>
    <col min="2" max="2" width="36.5703125" customWidth="1"/>
    <col min="4" max="4" width="12.85546875" bestFit="1" customWidth="1"/>
    <col min="6" max="7" width="12.85546875" bestFit="1" customWidth="1"/>
  </cols>
  <sheetData>
    <row r="2" spans="1:4" x14ac:dyDescent="0.25">
      <c r="D2" t="s">
        <v>19</v>
      </c>
    </row>
    <row r="3" spans="1:4" x14ac:dyDescent="0.25">
      <c r="B3" t="s">
        <v>3</v>
      </c>
      <c r="C3" t="s">
        <v>4</v>
      </c>
      <c r="D3">
        <v>100</v>
      </c>
    </row>
    <row r="4" spans="1:4" x14ac:dyDescent="0.25">
      <c r="C4" t="s">
        <v>7</v>
      </c>
      <c r="D4">
        <f>D3</f>
        <v>100</v>
      </c>
    </row>
    <row r="5" spans="1:4" x14ac:dyDescent="0.25">
      <c r="B5" t="s">
        <v>5</v>
      </c>
      <c r="C5" t="s">
        <v>6</v>
      </c>
      <c r="D5">
        <v>6</v>
      </c>
    </row>
    <row r="6" spans="1:4" x14ac:dyDescent="0.25">
      <c r="B6" t="s">
        <v>8</v>
      </c>
      <c r="C6" t="s">
        <v>9</v>
      </c>
      <c r="D6">
        <f>PI()*POWER(D5/2,2)</f>
        <v>28.274333882308138</v>
      </c>
    </row>
    <row r="8" spans="1:4" x14ac:dyDescent="0.25">
      <c r="B8" t="s">
        <v>10</v>
      </c>
      <c r="C8" t="s">
        <v>6</v>
      </c>
      <c r="D8">
        <f>D3/D6</f>
        <v>3.5367765131532298</v>
      </c>
    </row>
    <row r="10" spans="1:4" x14ac:dyDescent="0.25">
      <c r="A10" t="s">
        <v>22</v>
      </c>
      <c r="B10" t="s">
        <v>1</v>
      </c>
      <c r="C10" t="s">
        <v>0</v>
      </c>
      <c r="D10">
        <v>1</v>
      </c>
    </row>
    <row r="11" spans="1:4" x14ac:dyDescent="0.25">
      <c r="B11" t="s">
        <v>2</v>
      </c>
      <c r="C11" t="s">
        <v>0</v>
      </c>
      <c r="D11">
        <v>3</v>
      </c>
    </row>
    <row r="12" spans="1:4" x14ac:dyDescent="0.25">
      <c r="B12" t="s">
        <v>16</v>
      </c>
      <c r="C12" t="s">
        <v>12</v>
      </c>
      <c r="D12">
        <v>0.1</v>
      </c>
    </row>
    <row r="13" spans="1:4" x14ac:dyDescent="0.25">
      <c r="B13" t="s">
        <v>17</v>
      </c>
      <c r="C13" t="s">
        <v>12</v>
      </c>
      <c r="D13">
        <v>0.1</v>
      </c>
    </row>
    <row r="15" spans="1:4" x14ac:dyDescent="0.25">
      <c r="A15" t="s">
        <v>21</v>
      </c>
      <c r="B15" t="s">
        <v>11</v>
      </c>
      <c r="C15" t="s">
        <v>6</v>
      </c>
      <c r="D15">
        <f>(D11-D10)*D12</f>
        <v>0.2</v>
      </c>
    </row>
    <row r="16" spans="1:4" outlineLevel="1" x14ac:dyDescent="0.25">
      <c r="B16" t="s">
        <v>13</v>
      </c>
      <c r="C16" t="s">
        <v>6</v>
      </c>
      <c r="D16">
        <f>(D11-D10)*D13</f>
        <v>0.2</v>
      </c>
    </row>
    <row r="17" spans="1:4" outlineLevel="1" x14ac:dyDescent="0.25">
      <c r="B17" t="s">
        <v>14</v>
      </c>
      <c r="C17" t="s">
        <v>6</v>
      </c>
      <c r="D17">
        <f>D8-D15-D16</f>
        <v>3.1367765131532295</v>
      </c>
    </row>
    <row r="18" spans="1:4" outlineLevel="1" x14ac:dyDescent="0.25"/>
    <row r="19" spans="1:4" outlineLevel="1" x14ac:dyDescent="0.25">
      <c r="B19" t="s">
        <v>16</v>
      </c>
      <c r="C19" t="s">
        <v>12</v>
      </c>
      <c r="D19">
        <f>D12</f>
        <v>0.1</v>
      </c>
    </row>
    <row r="20" spans="1:4" outlineLevel="1" x14ac:dyDescent="0.25">
      <c r="B20" t="s">
        <v>17</v>
      </c>
      <c r="C20" t="s">
        <v>12</v>
      </c>
      <c r="D20">
        <f>D13</f>
        <v>0.1</v>
      </c>
    </row>
    <row r="21" spans="1:4" outlineLevel="1" x14ac:dyDescent="0.25">
      <c r="B21" t="s">
        <v>15</v>
      </c>
      <c r="C21" t="s">
        <v>12</v>
      </c>
      <c r="D21">
        <f>D17/D11</f>
        <v>1.0455921710510765</v>
      </c>
    </row>
    <row r="22" spans="1:4" x14ac:dyDescent="0.25">
      <c r="B22" t="s">
        <v>18</v>
      </c>
      <c r="C22" t="s">
        <v>12</v>
      </c>
      <c r="D22">
        <f>SUM(D19:D21)</f>
        <v>1.2455921710510764</v>
      </c>
    </row>
    <row r="24" spans="1:4" x14ac:dyDescent="0.25">
      <c r="A24" t="s">
        <v>20</v>
      </c>
      <c r="B24" t="s">
        <v>11</v>
      </c>
      <c r="C24" t="s">
        <v>6</v>
      </c>
      <c r="D24">
        <f>D8/2</f>
        <v>1.7683882565766149</v>
      </c>
    </row>
    <row r="25" spans="1:4" hidden="1" outlineLevel="1" x14ac:dyDescent="0.25">
      <c r="B25" t="s">
        <v>13</v>
      </c>
      <c r="C25" t="s">
        <v>6</v>
      </c>
      <c r="D25">
        <f>D8/2</f>
        <v>1.7683882565766149</v>
      </c>
    </row>
    <row r="26" spans="1:4" hidden="1" outlineLevel="1" x14ac:dyDescent="0.25">
      <c r="B26" t="s">
        <v>14</v>
      </c>
      <c r="C26" t="s">
        <v>6</v>
      </c>
      <c r="D26">
        <v>0</v>
      </c>
    </row>
    <row r="27" spans="1:4" hidden="1" outlineLevel="1" x14ac:dyDescent="0.25"/>
    <row r="28" spans="1:4" hidden="1" outlineLevel="1" x14ac:dyDescent="0.25">
      <c r="B28" t="s">
        <v>16</v>
      </c>
      <c r="C28" t="s">
        <v>12</v>
      </c>
      <c r="D28">
        <f>(2*D24)/D11</f>
        <v>1.17892550438441</v>
      </c>
    </row>
    <row r="29" spans="1:4" hidden="1" outlineLevel="1" x14ac:dyDescent="0.25">
      <c r="B29" t="s">
        <v>17</v>
      </c>
      <c r="C29" t="s">
        <v>12</v>
      </c>
      <c r="D29">
        <f>(2*D25)/D11</f>
        <v>1.17892550438441</v>
      </c>
    </row>
    <row r="30" spans="1:4" hidden="1" outlineLevel="1" x14ac:dyDescent="0.25">
      <c r="B30" t="s">
        <v>15</v>
      </c>
      <c r="C30" t="s">
        <v>12</v>
      </c>
      <c r="D30">
        <f>D26/D20</f>
        <v>0</v>
      </c>
    </row>
    <row r="31" spans="1:4" collapsed="1" x14ac:dyDescent="0.25">
      <c r="B31" t="s">
        <v>18</v>
      </c>
      <c r="C31" t="s">
        <v>12</v>
      </c>
      <c r="D31">
        <f>SUM(D28:D30)</f>
        <v>2.35785100876882</v>
      </c>
    </row>
    <row r="33" spans="1:4" x14ac:dyDescent="0.25">
      <c r="A33" t="s">
        <v>18</v>
      </c>
      <c r="C33" t="s">
        <v>12</v>
      </c>
      <c r="D33">
        <f>IF(D8 &gt; (D15+D16), D22, D31)</f>
        <v>1.2455921710510764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245A-2BFF-4738-84EA-511CCBC93CCA}">
  <dimension ref="A1:I35"/>
  <sheetViews>
    <sheetView workbookViewId="0">
      <selection activeCell="B22" sqref="B22"/>
    </sheetView>
  </sheetViews>
  <sheetFormatPr defaultRowHeight="15" x14ac:dyDescent="0.25"/>
  <sheetData>
    <row r="1" spans="1:8" x14ac:dyDescent="0.25">
      <c r="A1" t="s">
        <v>25</v>
      </c>
    </row>
    <row r="2" spans="1:8" x14ac:dyDescent="0.25">
      <c r="A2" t="s">
        <v>65</v>
      </c>
    </row>
    <row r="3" spans="1:8" x14ac:dyDescent="0.25">
      <c r="G3" t="s">
        <v>32</v>
      </c>
    </row>
    <row r="4" spans="1:8" x14ac:dyDescent="0.25">
      <c r="A4" t="s">
        <v>26</v>
      </c>
      <c r="B4" t="s">
        <v>23</v>
      </c>
      <c r="F4" t="s">
        <v>42</v>
      </c>
      <c r="G4">
        <v>10</v>
      </c>
      <c r="H4" t="s">
        <v>12</v>
      </c>
    </row>
    <row r="5" spans="1:8" x14ac:dyDescent="0.25">
      <c r="B5" t="s">
        <v>24</v>
      </c>
      <c r="F5" t="s">
        <v>43</v>
      </c>
      <c r="G5">
        <v>20</v>
      </c>
      <c r="H5" t="s">
        <v>6</v>
      </c>
    </row>
    <row r="6" spans="1:8" x14ac:dyDescent="0.25">
      <c r="B6" t="s">
        <v>27</v>
      </c>
      <c r="F6" t="s">
        <v>44</v>
      </c>
      <c r="G6">
        <v>100</v>
      </c>
      <c r="H6" t="s">
        <v>0</v>
      </c>
    </row>
    <row r="8" spans="1:8" x14ac:dyDescent="0.25">
      <c r="A8" t="s">
        <v>28</v>
      </c>
      <c r="B8" t="s">
        <v>29</v>
      </c>
    </row>
    <row r="10" spans="1:8" x14ac:dyDescent="0.25">
      <c r="A10" t="s">
        <v>30</v>
      </c>
    </row>
    <row r="11" spans="1:8" x14ac:dyDescent="0.25">
      <c r="B11" t="s">
        <v>31</v>
      </c>
      <c r="F11" t="s">
        <v>40</v>
      </c>
      <c r="G11">
        <f>G6*(G4/2)</f>
        <v>500</v>
      </c>
      <c r="H11" t="s">
        <v>0</v>
      </c>
    </row>
    <row r="12" spans="1:8" x14ac:dyDescent="0.25">
      <c r="B12" t="s">
        <v>66</v>
      </c>
      <c r="F12" t="s">
        <v>41</v>
      </c>
      <c r="G12">
        <f>1/2*G11*G4</f>
        <v>2500</v>
      </c>
      <c r="H12" t="s">
        <v>6</v>
      </c>
    </row>
    <row r="14" spans="1:8" x14ac:dyDescent="0.25">
      <c r="A14" t="s">
        <v>33</v>
      </c>
    </row>
    <row r="16" spans="1:8" x14ac:dyDescent="0.25">
      <c r="B16" t="s">
        <v>34</v>
      </c>
      <c r="F16" t="s">
        <v>45</v>
      </c>
      <c r="G16">
        <f>G12-G5</f>
        <v>2480</v>
      </c>
      <c r="H16" t="s">
        <v>6</v>
      </c>
    </row>
    <row r="18" spans="1:9" x14ac:dyDescent="0.25">
      <c r="B18" t="s">
        <v>67</v>
      </c>
    </row>
    <row r="19" spans="1:9" x14ac:dyDescent="0.25">
      <c r="B19" t="s">
        <v>35</v>
      </c>
    </row>
    <row r="20" spans="1:9" x14ac:dyDescent="0.25">
      <c r="B20" t="s">
        <v>36</v>
      </c>
    </row>
    <row r="21" spans="1:9" x14ac:dyDescent="0.25">
      <c r="B21" t="s">
        <v>37</v>
      </c>
    </row>
    <row r="22" spans="1:9" x14ac:dyDescent="0.25">
      <c r="B22" t="s">
        <v>38</v>
      </c>
      <c r="F22" t="s">
        <v>49</v>
      </c>
      <c r="G22">
        <f>SQRT(2*G16*G11/G4)</f>
        <v>497.9959839195493</v>
      </c>
      <c r="H22" t="s">
        <v>0</v>
      </c>
    </row>
    <row r="24" spans="1:9" x14ac:dyDescent="0.25">
      <c r="B24" t="s">
        <v>39</v>
      </c>
      <c r="F24" t="s">
        <v>48</v>
      </c>
      <c r="G24">
        <f>G11-G22</f>
        <v>2.0040160804506968</v>
      </c>
      <c r="H24" t="s">
        <v>0</v>
      </c>
      <c r="I24" t="s">
        <v>46</v>
      </c>
    </row>
    <row r="26" spans="1:9" x14ac:dyDescent="0.25">
      <c r="A26" t="s">
        <v>47</v>
      </c>
    </row>
    <row r="27" spans="1:9" x14ac:dyDescent="0.25">
      <c r="B27" t="s">
        <v>52</v>
      </c>
      <c r="F27" t="s">
        <v>50</v>
      </c>
      <c r="G27">
        <f>G24/G6</f>
        <v>2.0040160804506969E-2</v>
      </c>
      <c r="H27" t="s">
        <v>12</v>
      </c>
    </row>
    <row r="28" spans="1:9" x14ac:dyDescent="0.25">
      <c r="B28" t="s">
        <v>51</v>
      </c>
      <c r="F28" t="s">
        <v>53</v>
      </c>
      <c r="G28">
        <f>G4-(G27*2)</f>
        <v>9.9599196783909854</v>
      </c>
      <c r="H28" t="s">
        <v>12</v>
      </c>
    </row>
    <row r="29" spans="1:9" x14ac:dyDescent="0.25">
      <c r="B29" t="s">
        <v>54</v>
      </c>
      <c r="F29" t="s">
        <v>55</v>
      </c>
      <c r="G29">
        <f>G28+(G27*2)</f>
        <v>10</v>
      </c>
      <c r="H29" t="s">
        <v>12</v>
      </c>
    </row>
    <row r="31" spans="1:9" x14ac:dyDescent="0.25">
      <c r="B31" t="s">
        <v>56</v>
      </c>
      <c r="F31" t="s">
        <v>61</v>
      </c>
      <c r="G31">
        <f>1/2*G27*G24</f>
        <v>2.0080402253524868E-2</v>
      </c>
    </row>
    <row r="32" spans="1:9" x14ac:dyDescent="0.25">
      <c r="B32" t="s">
        <v>57</v>
      </c>
      <c r="F32" t="s">
        <v>62</v>
      </c>
      <c r="G32">
        <f>G31</f>
        <v>2.0080402253524868E-2</v>
      </c>
    </row>
    <row r="33" spans="2:7" x14ac:dyDescent="0.25">
      <c r="B33" t="s">
        <v>58</v>
      </c>
      <c r="F33" t="s">
        <v>63</v>
      </c>
      <c r="G33">
        <f>G28*G24</f>
        <v>19.959839195492869</v>
      </c>
    </row>
    <row r="34" spans="2:7" x14ac:dyDescent="0.25">
      <c r="B34" t="s">
        <v>59</v>
      </c>
      <c r="F34" t="s">
        <v>64</v>
      </c>
      <c r="G34">
        <f>SUM(G31:G33)</f>
        <v>19.999999999999918</v>
      </c>
    </row>
    <row r="35" spans="2:7" x14ac:dyDescent="0.25">
      <c r="B35" t="s">
        <v>60</v>
      </c>
      <c r="G35">
        <f>(G5-G34)/G5%</f>
        <v>4.0856207306205761E-13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23ED-07EB-4717-8E3F-A8BF830165DA}">
  <dimension ref="A1:U47"/>
  <sheetViews>
    <sheetView tabSelected="1" topLeftCell="A8" workbookViewId="0">
      <selection activeCell="U20" sqref="U20"/>
    </sheetView>
  </sheetViews>
  <sheetFormatPr defaultRowHeight="15" x14ac:dyDescent="0.25"/>
  <sheetData>
    <row r="1" spans="1:20" x14ac:dyDescent="0.25">
      <c r="A1" t="s">
        <v>68</v>
      </c>
    </row>
    <row r="3" spans="1:20" x14ac:dyDescent="0.25">
      <c r="A3" t="s">
        <v>69</v>
      </c>
    </row>
    <row r="5" spans="1:20" x14ac:dyDescent="0.25">
      <c r="A5" t="s">
        <v>70</v>
      </c>
      <c r="B5" t="s">
        <v>71</v>
      </c>
    </row>
    <row r="6" spans="1:20" x14ac:dyDescent="0.25">
      <c r="A6" t="s">
        <v>72</v>
      </c>
      <c r="B6" t="s">
        <v>73</v>
      </c>
    </row>
    <row r="8" spans="1:20" x14ac:dyDescent="0.25">
      <c r="B8" t="s">
        <v>74</v>
      </c>
    </row>
    <row r="9" spans="1:20" x14ac:dyDescent="0.25">
      <c r="B9" t="s">
        <v>75</v>
      </c>
    </row>
    <row r="10" spans="1:20" x14ac:dyDescent="0.25">
      <c r="O10" t="s">
        <v>85</v>
      </c>
      <c r="P10">
        <v>6</v>
      </c>
    </row>
    <row r="11" spans="1:20" x14ac:dyDescent="0.25">
      <c r="A11" t="s">
        <v>32</v>
      </c>
      <c r="B11" t="s">
        <v>76</v>
      </c>
      <c r="C11" t="s">
        <v>77</v>
      </c>
      <c r="P11" t="s">
        <v>76</v>
      </c>
      <c r="Q11" t="s">
        <v>77</v>
      </c>
      <c r="R11" t="s">
        <v>84</v>
      </c>
      <c r="S11" t="s">
        <v>86</v>
      </c>
      <c r="T11" t="s">
        <v>87</v>
      </c>
    </row>
    <row r="12" spans="1:20" x14ac:dyDescent="0.25">
      <c r="B12">
        <v>4.16</v>
      </c>
      <c r="C12">
        <v>0.2</v>
      </c>
      <c r="O12">
        <v>1</v>
      </c>
      <c r="P12">
        <v>4.16</v>
      </c>
      <c r="Q12">
        <v>0.2</v>
      </c>
      <c r="R12">
        <f>(P$10-P12)*B$27</f>
        <v>3.2785836554029078E-2</v>
      </c>
      <c r="S12">
        <f>Q12+R12</f>
        <v>0.2327858365540291</v>
      </c>
      <c r="T12">
        <f>(S12-B$28)/B$27</f>
        <v>5.6510897353253222</v>
      </c>
    </row>
    <row r="13" spans="1:20" x14ac:dyDescent="0.25">
      <c r="B13">
        <v>8.09</v>
      </c>
      <c r="C13">
        <v>0.28799999999999998</v>
      </c>
      <c r="O13">
        <v>2</v>
      </c>
      <c r="P13">
        <f>T12</f>
        <v>5.6510897353253222</v>
      </c>
      <c r="Q13">
        <f>S12</f>
        <v>0.2327858365540291</v>
      </c>
      <c r="R13">
        <f>(P$10-P13)*B$27</f>
        <v>6.2170189726342461E-3</v>
      </c>
      <c r="S13">
        <f>Q13+R13</f>
        <v>0.23900285552666334</v>
      </c>
      <c r="T13">
        <f>(S13-B$28)/B$27</f>
        <v>6</v>
      </c>
    </row>
    <row r="14" spans="1:20" x14ac:dyDescent="0.25">
      <c r="B14">
        <v>3.11</v>
      </c>
      <c r="C14">
        <v>0.19400000000000001</v>
      </c>
    </row>
    <row r="15" spans="1:20" x14ac:dyDescent="0.25">
      <c r="B15">
        <v>13.94</v>
      </c>
      <c r="C15">
        <v>0.375</v>
      </c>
      <c r="P15" t="s">
        <v>76</v>
      </c>
      <c r="Q15" t="s">
        <v>77</v>
      </c>
      <c r="R15" t="s">
        <v>84</v>
      </c>
      <c r="S15" t="s">
        <v>86</v>
      </c>
      <c r="T15" t="s">
        <v>87</v>
      </c>
    </row>
    <row r="16" spans="1:20" x14ac:dyDescent="0.25">
      <c r="B16">
        <v>1.99</v>
      </c>
      <c r="C16">
        <v>0.161</v>
      </c>
      <c r="O16">
        <v>1</v>
      </c>
      <c r="P16">
        <v>8.09</v>
      </c>
      <c r="Q16">
        <v>0.28799999999999998</v>
      </c>
      <c r="R16">
        <f>(P$10-P16)*B$27</f>
        <v>-3.7240433911913465E-2</v>
      </c>
      <c r="S16">
        <f>Q16+R16</f>
        <v>0.25075956608808653</v>
      </c>
      <c r="T16">
        <f>(S16-B$28)/B$27</f>
        <v>6.6598077007237517</v>
      </c>
    </row>
    <row r="17" spans="1:21" x14ac:dyDescent="0.25">
      <c r="O17">
        <v>2</v>
      </c>
      <c r="P17">
        <f>T16</f>
        <v>6.6598077007237517</v>
      </c>
      <c r="Q17">
        <f>S16</f>
        <v>0.25075956608808653</v>
      </c>
      <c r="R17">
        <f>(P$10-P17)*B$27</f>
        <v>-1.1756710561423186E-2</v>
      </c>
      <c r="S17">
        <f>Q17+R17</f>
        <v>0.23900285552666334</v>
      </c>
      <c r="T17">
        <f>(S17-B$28)/B$27</f>
        <v>6</v>
      </c>
    </row>
    <row r="19" spans="1:21" x14ac:dyDescent="0.25">
      <c r="B19" t="s">
        <v>76</v>
      </c>
      <c r="C19" t="s">
        <v>77</v>
      </c>
      <c r="D19" t="s">
        <v>78</v>
      </c>
      <c r="E19" t="s">
        <v>79</v>
      </c>
      <c r="O19" t="s">
        <v>88</v>
      </c>
      <c r="P19" t="s">
        <v>76</v>
      </c>
      <c r="Q19" t="s">
        <v>77</v>
      </c>
      <c r="R19" t="s">
        <v>84</v>
      </c>
      <c r="S19" t="s">
        <v>86</v>
      </c>
      <c r="T19" t="s">
        <v>87</v>
      </c>
    </row>
    <row r="20" spans="1:21" x14ac:dyDescent="0.25">
      <c r="B20">
        <v>4.16</v>
      </c>
      <c r="C20">
        <v>0.2</v>
      </c>
      <c r="D20">
        <f>B20*C20</f>
        <v>0.83200000000000007</v>
      </c>
      <c r="E20">
        <f>POWER(B20,2)</f>
        <v>17.305600000000002</v>
      </c>
      <c r="O20">
        <v>1</v>
      </c>
      <c r="P20">
        <v>4.16</v>
      </c>
      <c r="Q20">
        <v>0.2</v>
      </c>
      <c r="R20">
        <f>(P$10-P20)*(Q20/P20)</f>
        <v>8.8461538461538466E-2</v>
      </c>
      <c r="S20">
        <f>Q20+R20</f>
        <v>0.28846153846153849</v>
      </c>
      <c r="T20">
        <f>(S20-B$28)/B$27</f>
        <v>8.7757100676751438</v>
      </c>
      <c r="U20">
        <f>Q20/P20</f>
        <v>4.807692307692308E-2</v>
      </c>
    </row>
    <row r="21" spans="1:21" x14ac:dyDescent="0.25">
      <c r="B21">
        <v>8.09</v>
      </c>
      <c r="C21">
        <v>0.28799999999999998</v>
      </c>
      <c r="D21">
        <f>B21*C21</f>
        <v>2.32992</v>
      </c>
      <c r="E21">
        <f>POWER(B21,2)</f>
        <v>65.448099999999997</v>
      </c>
      <c r="O21">
        <v>2</v>
      </c>
      <c r="P21">
        <f>T20</f>
        <v>8.7757100676751438</v>
      </c>
      <c r="Q21">
        <f>S20</f>
        <v>0.28846153846153849</v>
      </c>
      <c r="R21">
        <f>(P$10-P21)*(Q21/P21)</f>
        <v>-9.123883882559379E-2</v>
      </c>
      <c r="S21">
        <f>Q21+R21</f>
        <v>0.19722269963594469</v>
      </c>
      <c r="T21">
        <f>(S21-B$28)/B$27</f>
        <v>3.6552226534700085</v>
      </c>
      <c r="U21">
        <f>Q21/P21</f>
        <v>3.2870449939324121E-2</v>
      </c>
    </row>
    <row r="22" spans="1:21" x14ac:dyDescent="0.25">
      <c r="B22">
        <v>3.11</v>
      </c>
      <c r="C22">
        <v>0.19400000000000001</v>
      </c>
      <c r="D22">
        <f>B22*C22</f>
        <v>0.60333999999999999</v>
      </c>
      <c r="E22">
        <f>POWER(B22,2)</f>
        <v>9.6720999999999986</v>
      </c>
      <c r="O22">
        <v>3</v>
      </c>
      <c r="P22">
        <f>T21</f>
        <v>3.6552226534700085</v>
      </c>
      <c r="Q22">
        <f>S21</f>
        <v>0.19722269963594469</v>
      </c>
      <c r="R22">
        <f>(P$10-P22)*(Q22/P22)</f>
        <v>0.12651577268182038</v>
      </c>
      <c r="S22">
        <f>Q22+R22</f>
        <v>0.32373847231776509</v>
      </c>
      <c r="T22">
        <f>(S22-B$28)/B$27</f>
        <v>10.755514919946945</v>
      </c>
      <c r="U22">
        <f>Q22/P22</f>
        <v>5.3956412052960846E-2</v>
      </c>
    </row>
    <row r="23" spans="1:21" x14ac:dyDescent="0.25">
      <c r="B23">
        <v>13.94</v>
      </c>
      <c r="C23">
        <v>0.375</v>
      </c>
      <c r="D23">
        <f>B23*C23</f>
        <v>5.2275</v>
      </c>
      <c r="E23">
        <f>POWER(B23,2)</f>
        <v>194.3236</v>
      </c>
      <c r="O23">
        <v>4</v>
      </c>
      <c r="P23">
        <f>T22</f>
        <v>10.755514919946945</v>
      </c>
      <c r="Q23">
        <f>S22</f>
        <v>0.32373847231776509</v>
      </c>
      <c r="R23">
        <f>(P$10-P23)*(Q23/P23)</f>
        <v>-0.14313988188633905</v>
      </c>
      <c r="S23">
        <f>Q23+R23</f>
        <v>0.18059859043142604</v>
      </c>
      <c r="T23">
        <f>(S23-B$28)/B$27</f>
        <v>2.7222478036165803</v>
      </c>
      <c r="U23">
        <f>Q23/P23</f>
        <v>3.0099765071904344E-2</v>
      </c>
    </row>
    <row r="24" spans="1:21" x14ac:dyDescent="0.25">
      <c r="B24">
        <v>1.99</v>
      </c>
      <c r="C24">
        <v>0.161</v>
      </c>
      <c r="D24">
        <f>B24*C24</f>
        <v>0.32039000000000001</v>
      </c>
      <c r="E24">
        <f>POWER(B24,2)</f>
        <v>3.9601000000000002</v>
      </c>
      <c r="O24">
        <v>5</v>
      </c>
      <c r="P24">
        <f>T23</f>
        <v>2.7222478036165803</v>
      </c>
      <c r="Q24">
        <f>S23</f>
        <v>0.18059859043142604</v>
      </c>
      <c r="R24">
        <f>(P$10-P24)*(Q24/P24)</f>
        <v>0.21745170504460498</v>
      </c>
      <c r="S24">
        <f>Q24+R24</f>
        <v>0.39805029547603099</v>
      </c>
      <c r="T24">
        <f>(S24-B$28)/B$27</f>
        <v>14.926027829870113</v>
      </c>
      <c r="U24">
        <f>Q24/P24</f>
        <v>6.6341715912671836E-2</v>
      </c>
    </row>
    <row r="25" spans="1:21" x14ac:dyDescent="0.25">
      <c r="A25" t="s">
        <v>83</v>
      </c>
      <c r="B25">
        <f>SUM(B20:B24)</f>
        <v>31.289999999999996</v>
      </c>
      <c r="C25">
        <f>SUM(C20:C24)</f>
        <v>1.218</v>
      </c>
      <c r="D25">
        <f>SUM(D20:D24)</f>
        <v>9.3131500000000003</v>
      </c>
      <c r="E25">
        <f>SUM(E20:E24)</f>
        <v>290.70949999999999</v>
      </c>
      <c r="O25">
        <v>6</v>
      </c>
      <c r="P25">
        <f>T24</f>
        <v>14.926027829870113</v>
      </c>
      <c r="Q25">
        <f>S24</f>
        <v>0.39805029547603099</v>
      </c>
      <c r="R25">
        <f>(P$10-P25)*(Q25/P25)</f>
        <v>-0.23804109543443031</v>
      </c>
      <c r="S25">
        <f>Q25+R25</f>
        <v>0.16000920004160069</v>
      </c>
      <c r="T25">
        <f>(S25-B$28)/B$27</f>
        <v>1.5667342557207593</v>
      </c>
      <c r="U25">
        <f>Q25/P25</f>
        <v>2.6668200006933446E-2</v>
      </c>
    </row>
    <row r="26" spans="1:21" x14ac:dyDescent="0.25">
      <c r="O26">
        <v>7</v>
      </c>
      <c r="P26">
        <f>T25</f>
        <v>1.5667342557207593</v>
      </c>
      <c r="Q26">
        <f>S25</f>
        <v>0.16000920004160069</v>
      </c>
      <c r="R26">
        <f>(P$10-P26)*(Q26/P26)</f>
        <v>0.45276555530958107</v>
      </c>
      <c r="S26">
        <f>Q26+R26</f>
        <v>0.61277475535118175</v>
      </c>
      <c r="T26">
        <f>(S26-B$28)/B$27</f>
        <v>26.976749961641495</v>
      </c>
      <c r="U26">
        <f>Q26/P26</f>
        <v>0.10212912589186363</v>
      </c>
    </row>
    <row r="27" spans="1:21" x14ac:dyDescent="0.25">
      <c r="A27" t="s">
        <v>80</v>
      </c>
      <c r="B27">
        <f>(5*D25-B25*C25)/(5*E25-POWER(B25,2))</f>
        <v>1.7818389431537546E-2</v>
      </c>
      <c r="P27">
        <v>6</v>
      </c>
    </row>
    <row r="28" spans="1:21" x14ac:dyDescent="0.25">
      <c r="A28" t="s">
        <v>81</v>
      </c>
      <c r="B28">
        <f>(C25-B27*B25)/5</f>
        <v>0.13209251893743806</v>
      </c>
      <c r="O28" t="s">
        <v>88</v>
      </c>
      <c r="P28" t="s">
        <v>76</v>
      </c>
      <c r="Q28" t="s">
        <v>77</v>
      </c>
      <c r="R28" t="s">
        <v>84</v>
      </c>
      <c r="S28" t="s">
        <v>86</v>
      </c>
      <c r="T28" t="s">
        <v>87</v>
      </c>
    </row>
    <row r="29" spans="1:21" x14ac:dyDescent="0.25">
      <c r="O29">
        <v>1</v>
      </c>
      <c r="P29">
        <v>4.16</v>
      </c>
      <c r="Q29">
        <v>0.2</v>
      </c>
      <c r="S29">
        <f>P$27/P29*Q29</f>
        <v>0.28846153846153849</v>
      </c>
      <c r="T29">
        <f>(S29-B$28)/B$27</f>
        <v>8.7757100676751438</v>
      </c>
    </row>
    <row r="30" spans="1:21" x14ac:dyDescent="0.25">
      <c r="A30" t="s">
        <v>82</v>
      </c>
      <c r="B30" t="s">
        <v>76</v>
      </c>
      <c r="C30" t="s">
        <v>77</v>
      </c>
      <c r="O30">
        <v>2</v>
      </c>
      <c r="P30">
        <f>T29</f>
        <v>8.7757100676751438</v>
      </c>
      <c r="Q30">
        <f>S29</f>
        <v>0.28846153846153849</v>
      </c>
      <c r="S30">
        <f>P$27/P30*Q30</f>
        <v>0.19722269963594471</v>
      </c>
      <c r="T30">
        <f>(S30-B$28)/B$27</f>
        <v>3.6552226534700099</v>
      </c>
    </row>
    <row r="31" spans="1:21" x14ac:dyDescent="0.25">
      <c r="B31">
        <v>13.11</v>
      </c>
      <c r="C31">
        <v>0.35699999999999998</v>
      </c>
      <c r="O31">
        <v>3</v>
      </c>
      <c r="P31">
        <f>T30</f>
        <v>3.6552226534700099</v>
      </c>
      <c r="Q31">
        <f>S30</f>
        <v>0.19722269963594471</v>
      </c>
      <c r="S31">
        <f>P$27/P31*Q31</f>
        <v>0.32373847231776498</v>
      </c>
      <c r="T31">
        <f>(S31-B$28)/B$27</f>
        <v>10.755514919946938</v>
      </c>
    </row>
    <row r="32" spans="1:21" x14ac:dyDescent="0.25">
      <c r="B32">
        <v>2.25</v>
      </c>
      <c r="C32">
        <v>0.16300000000000001</v>
      </c>
      <c r="O32">
        <v>4</v>
      </c>
      <c r="P32">
        <f>T31</f>
        <v>10.755514919946938</v>
      </c>
      <c r="Q32">
        <f>S31</f>
        <v>0.32373847231776498</v>
      </c>
      <c r="S32">
        <f>P$27/P32*Q32</f>
        <v>0.18059859043142612</v>
      </c>
      <c r="T32">
        <f>(S32-B$28)/B$27</f>
        <v>2.7222478036165851</v>
      </c>
    </row>
    <row r="33" spans="1:20" x14ac:dyDescent="0.25">
      <c r="B33">
        <v>18.57</v>
      </c>
      <c r="C33">
        <v>0.436</v>
      </c>
      <c r="O33">
        <v>5</v>
      </c>
      <c r="P33">
        <f>T32</f>
        <v>2.7222478036165851</v>
      </c>
      <c r="Q33">
        <f>S32</f>
        <v>0.18059859043142612</v>
      </c>
      <c r="S33">
        <f>P$27/P33*Q33</f>
        <v>0.39805029547603049</v>
      </c>
      <c r="T33">
        <f>(S33-B$28)/B$27</f>
        <v>14.926027829870085</v>
      </c>
    </row>
    <row r="34" spans="1:20" x14ac:dyDescent="0.25">
      <c r="B34">
        <v>1.93</v>
      </c>
      <c r="C34">
        <v>0.14099999999999999</v>
      </c>
      <c r="O34">
        <v>6</v>
      </c>
      <c r="P34">
        <f>T33</f>
        <v>14.926027829870085</v>
      </c>
      <c r="Q34">
        <f>S33</f>
        <v>0.39805029547603049</v>
      </c>
      <c r="S34">
        <f>P$27/P34*Q34</f>
        <v>0.1600092000416008</v>
      </c>
      <c r="T34">
        <f>(S34-B$28)/B$27</f>
        <v>1.5667342557207655</v>
      </c>
    </row>
    <row r="35" spans="1:20" x14ac:dyDescent="0.25">
      <c r="B35">
        <v>19.88</v>
      </c>
      <c r="C35">
        <v>0.437</v>
      </c>
      <c r="O35">
        <v>7</v>
      </c>
      <c r="P35">
        <f>T34</f>
        <v>1.5667342557207655</v>
      </c>
      <c r="Q35">
        <f>S34</f>
        <v>0.1600092000416008</v>
      </c>
      <c r="S35">
        <f>P$27/P35*Q35</f>
        <v>0.61277475535117976</v>
      </c>
      <c r="T35">
        <f>(S35-B$28)/B$27</f>
        <v>26.976749961641382</v>
      </c>
    </row>
    <row r="36" spans="1:20" x14ac:dyDescent="0.25">
      <c r="O36">
        <v>8</v>
      </c>
      <c r="P36">
        <f>T35</f>
        <v>26.976749961641382</v>
      </c>
      <c r="Q36">
        <f>S35</f>
        <v>0.61277475535117976</v>
      </c>
      <c r="S36">
        <f>P$27/P36*Q36</f>
        <v>0.13628952847674225</v>
      </c>
      <c r="T36">
        <f>(S36-B$28)/B$27</f>
        <v>0.23554370923534287</v>
      </c>
    </row>
    <row r="37" spans="1:20" x14ac:dyDescent="0.25">
      <c r="O37">
        <v>8</v>
      </c>
      <c r="P37">
        <f>T36</f>
        <v>0.23554370923534287</v>
      </c>
      <c r="Q37">
        <f>S36</f>
        <v>0.13628952847674225</v>
      </c>
      <c r="S37">
        <f>P$27/P37*Q37</f>
        <v>3.4717003205694343</v>
      </c>
      <c r="T37">
        <f>(S37-B$28)/B$27</f>
        <v>187.42478462846248</v>
      </c>
    </row>
    <row r="38" spans="1:20" x14ac:dyDescent="0.25">
      <c r="B38" t="s">
        <v>76</v>
      </c>
      <c r="C38" t="s">
        <v>77</v>
      </c>
      <c r="D38" t="s">
        <v>78</v>
      </c>
      <c r="E38" t="s">
        <v>79</v>
      </c>
      <c r="O38">
        <v>7</v>
      </c>
      <c r="P38">
        <f>T37</f>
        <v>187.42478462846248</v>
      </c>
      <c r="Q38">
        <f>S37</f>
        <v>3.4717003205694343</v>
      </c>
      <c r="S38">
        <f>P$27/P38*Q38</f>
        <v>0.11113899351523285</v>
      </c>
      <c r="T38">
        <f>(S38-B$28)/B$27</f>
        <v>-1.1759494595577002</v>
      </c>
    </row>
    <row r="39" spans="1:20" x14ac:dyDescent="0.25">
      <c r="B39">
        <f>B31</f>
        <v>13.11</v>
      </c>
      <c r="C39">
        <f>C31</f>
        <v>0.35699999999999998</v>
      </c>
      <c r="D39">
        <f>B39*C39</f>
        <v>4.6802699999999993</v>
      </c>
      <c r="E39">
        <f>POWER(B39,2)</f>
        <v>171.87209999999999</v>
      </c>
    </row>
    <row r="40" spans="1:20" x14ac:dyDescent="0.25">
      <c r="B40">
        <f t="shared" ref="B40:C40" si="0">B32</f>
        <v>2.25</v>
      </c>
      <c r="C40">
        <f t="shared" si="0"/>
        <v>0.16300000000000001</v>
      </c>
      <c r="D40">
        <f>B40*C40</f>
        <v>0.36675000000000002</v>
      </c>
      <c r="E40">
        <f>POWER(B40,2)</f>
        <v>5.0625</v>
      </c>
    </row>
    <row r="41" spans="1:20" x14ac:dyDescent="0.25">
      <c r="B41">
        <f t="shared" ref="B41:C41" si="1">B33</f>
        <v>18.57</v>
      </c>
      <c r="C41">
        <f t="shared" si="1"/>
        <v>0.436</v>
      </c>
      <c r="D41">
        <f>B41*C41</f>
        <v>8.0965199999999999</v>
      </c>
      <c r="E41">
        <f>POWER(B41,2)</f>
        <v>344.8449</v>
      </c>
    </row>
    <row r="42" spans="1:20" x14ac:dyDescent="0.25">
      <c r="B42">
        <f t="shared" ref="B42:C42" si="2">B34</f>
        <v>1.93</v>
      </c>
      <c r="C42">
        <f t="shared" si="2"/>
        <v>0.14099999999999999</v>
      </c>
      <c r="D42">
        <f>B42*C42</f>
        <v>0.27212999999999998</v>
      </c>
      <c r="E42">
        <f>POWER(B42,2)</f>
        <v>3.7248999999999999</v>
      </c>
    </row>
    <row r="43" spans="1:20" x14ac:dyDescent="0.25">
      <c r="B43">
        <f t="shared" ref="B43:C43" si="3">B35</f>
        <v>19.88</v>
      </c>
      <c r="C43">
        <f t="shared" si="3"/>
        <v>0.437</v>
      </c>
      <c r="D43">
        <f>B43*C43</f>
        <v>8.6875599999999995</v>
      </c>
      <c r="E43">
        <f>POWER(B43,2)</f>
        <v>395.21439999999996</v>
      </c>
    </row>
    <row r="44" spans="1:20" x14ac:dyDescent="0.25">
      <c r="A44" t="s">
        <v>83</v>
      </c>
      <c r="B44">
        <f>SUM(B39:B43)</f>
        <v>55.739999999999995</v>
      </c>
      <c r="C44">
        <f>SUM(C39:C43)</f>
        <v>1.534</v>
      </c>
      <c r="D44">
        <f>SUM(D39:D43)</f>
        <v>22.103229999999996</v>
      </c>
      <c r="E44">
        <f>SUM(E39:E43)</f>
        <v>920.71879999999999</v>
      </c>
    </row>
    <row r="46" spans="1:20" x14ac:dyDescent="0.25">
      <c r="A46" t="s">
        <v>80</v>
      </c>
      <c r="B46">
        <f>(5*D44-B44*C44)/(5*E44-POWER(B44,2))</f>
        <v>1.671135546779786E-2</v>
      </c>
    </row>
    <row r="47" spans="1:20" x14ac:dyDescent="0.25">
      <c r="A47" t="s">
        <v>81</v>
      </c>
      <c r="B47">
        <f>(C44-B46*B44)/5</f>
        <v>0.12050180924498947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</vt:lpstr>
      <vt:lpstr>FlowRate</vt:lpstr>
      <vt:lpstr>Best Approximate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KNBoo</dc:creator>
  <cp:lastModifiedBy>KN Boo</cp:lastModifiedBy>
  <dcterms:created xsi:type="dcterms:W3CDTF">2018-10-06T06:40:30Z</dcterms:created>
  <dcterms:modified xsi:type="dcterms:W3CDTF">2020-10-17T06:26:14Z</dcterms:modified>
</cp:coreProperties>
</file>