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tasha.sibarani\Natasha\Performance Management\Juara Inovasi\JI 2025\CEMIST\"/>
    </mc:Choice>
  </mc:AlternateContent>
  <bookViews>
    <workbookView xWindow="0" yWindow="0" windowWidth="19200" windowHeight="6900" firstSheet="9" activeTab="9"/>
  </bookViews>
  <sheets>
    <sheet name="Product" sheetId="4" state="hidden" r:id="rId1"/>
    <sheet name="RKAP" sheetId="7" state="hidden" r:id="rId2"/>
    <sheet name="Transpose CF MTD" sheetId="8" state="hidden" r:id="rId3"/>
    <sheet name="Transpose CF YTD" sheetId="9" state="hidden" r:id="rId4"/>
    <sheet name="Chart" sheetId="10" state="hidden" r:id="rId5"/>
    <sheet name="hanya untuk update angka foreca" sheetId="11" state="hidden" r:id="rId6"/>
    <sheet name="CF Monitor Dashboard" sheetId="12" state="hidden" r:id="rId7"/>
    <sheet name="STEC TSR" sheetId="13" state="hidden" r:id="rId8"/>
    <sheet name="CO2 Estimate" sheetId="14" state="hidden" r:id="rId9"/>
    <sheet name="MTD" sheetId="29" r:id="rId10"/>
    <sheet name="Slider" sheetId="20" state="hidden" r:id="rId11"/>
    <sheet name="Summary" sheetId="26" state="hidden" r:id="rId12"/>
    <sheet name="bulan" sheetId="27" state="hidden" r:id="rId13"/>
    <sheet name="Formula" sheetId="28" state="hidden" r:id="rId14"/>
  </sheets>
  <definedNames>
    <definedName name="_xlnm._FilterDatabase" localSheetId="9" hidden="1">MTD!$A$1:$A$529</definedName>
  </definedNames>
  <calcPr calcId="162913"/>
</workbook>
</file>

<file path=xl/calcChain.xml><?xml version="1.0" encoding="utf-8"?>
<calcChain xmlns="http://schemas.openxmlformats.org/spreadsheetml/2006/main">
  <c r="H21" i="26" l="1"/>
  <c r="G21" i="26"/>
  <c r="D21" i="26"/>
  <c r="C21" i="26"/>
  <c r="H20" i="26"/>
  <c r="G20" i="26"/>
  <c r="D20" i="26"/>
  <c r="C20" i="26"/>
  <c r="H19" i="26"/>
  <c r="G19" i="26"/>
  <c r="D19" i="26"/>
  <c r="C19" i="26"/>
  <c r="H18" i="26"/>
  <c r="G18" i="26"/>
  <c r="D18" i="26"/>
  <c r="C18" i="26"/>
  <c r="H17" i="26"/>
  <c r="G17" i="26"/>
  <c r="D17" i="26"/>
  <c r="C17" i="26"/>
  <c r="H16" i="26"/>
  <c r="G16" i="26"/>
  <c r="D16" i="26"/>
  <c r="C16" i="26"/>
  <c r="H15" i="26"/>
  <c r="G15" i="26"/>
  <c r="D15" i="26"/>
  <c r="C15" i="26"/>
  <c r="H11" i="26"/>
  <c r="G11" i="26"/>
  <c r="D11" i="26"/>
  <c r="C11" i="26"/>
  <c r="H10" i="26"/>
  <c r="G10" i="26"/>
  <c r="D10" i="26"/>
  <c r="C10" i="26"/>
  <c r="H9" i="26"/>
  <c r="G9" i="26"/>
  <c r="D9" i="26"/>
  <c r="C9" i="26"/>
  <c r="H8" i="26"/>
  <c r="G8" i="26"/>
  <c r="D8" i="26"/>
  <c r="C8" i="26"/>
  <c r="H7" i="26"/>
  <c r="G7" i="26"/>
  <c r="D7" i="26"/>
  <c r="C7" i="26"/>
  <c r="H6" i="26"/>
  <c r="G6" i="26"/>
  <c r="D6" i="26"/>
  <c r="C6" i="26"/>
  <c r="H5" i="26"/>
  <c r="G5" i="26"/>
  <c r="D5" i="26"/>
  <c r="C5" i="26"/>
  <c r="Z57" i="13"/>
  <c r="Y57" i="13"/>
  <c r="X57" i="13"/>
  <c r="W57" i="13"/>
  <c r="V57" i="13"/>
  <c r="U57" i="13"/>
  <c r="T57" i="13"/>
  <c r="M57" i="13"/>
  <c r="L57" i="13"/>
  <c r="K57" i="13"/>
  <c r="J57" i="13"/>
  <c r="I57" i="13"/>
  <c r="H57" i="13"/>
  <c r="G57" i="13"/>
  <c r="Z56" i="13"/>
  <c r="Y56" i="13"/>
  <c r="X56" i="13"/>
  <c r="W56" i="13"/>
  <c r="V56" i="13"/>
  <c r="U56" i="13"/>
  <c r="T56" i="13"/>
  <c r="M56" i="13"/>
  <c r="L56" i="13"/>
  <c r="K56" i="13"/>
  <c r="J56" i="13"/>
  <c r="I56" i="13"/>
  <c r="H56" i="13"/>
  <c r="G56" i="13"/>
  <c r="Z55" i="13"/>
  <c r="Y55" i="13"/>
  <c r="X55" i="13"/>
  <c r="W55" i="13"/>
  <c r="V55" i="13"/>
  <c r="U55" i="13"/>
  <c r="T55" i="13"/>
  <c r="M55" i="13"/>
  <c r="L55" i="13"/>
  <c r="K55" i="13"/>
  <c r="J55" i="13"/>
  <c r="I55" i="13"/>
  <c r="H55" i="13"/>
  <c r="G55" i="13"/>
  <c r="Z54" i="13"/>
  <c r="Y54" i="13"/>
  <c r="X54" i="13"/>
  <c r="W54" i="13"/>
  <c r="V54" i="13"/>
  <c r="U54" i="13"/>
  <c r="T54" i="13"/>
  <c r="M54" i="13"/>
  <c r="L54" i="13"/>
  <c r="K54" i="13"/>
  <c r="J54" i="13"/>
  <c r="I54" i="13"/>
  <c r="H54" i="13"/>
  <c r="G54" i="13"/>
  <c r="Z53" i="13"/>
  <c r="Y53" i="13"/>
  <c r="X53" i="13"/>
  <c r="W53" i="13"/>
  <c r="V53" i="13"/>
  <c r="U53" i="13"/>
  <c r="T53" i="13"/>
  <c r="M53" i="13"/>
  <c r="L53" i="13"/>
  <c r="K53" i="13"/>
  <c r="J53" i="13"/>
  <c r="I53" i="13"/>
  <c r="H53" i="13"/>
  <c r="G53" i="13"/>
  <c r="Z52" i="13"/>
  <c r="Y52" i="13"/>
  <c r="X52" i="13"/>
  <c r="W52" i="13"/>
  <c r="V52" i="13"/>
  <c r="U52" i="13"/>
  <c r="T52" i="13"/>
  <c r="M52" i="13"/>
  <c r="L52" i="13"/>
  <c r="K52" i="13"/>
  <c r="J52" i="13"/>
  <c r="I52" i="13"/>
  <c r="H52" i="13"/>
  <c r="G52" i="13"/>
  <c r="Z51" i="13"/>
  <c r="Y51" i="13"/>
  <c r="X51" i="13"/>
  <c r="W51" i="13"/>
  <c r="V51" i="13"/>
  <c r="U51" i="13"/>
  <c r="T51" i="13"/>
  <c r="M51" i="13"/>
  <c r="L51" i="13"/>
  <c r="K51" i="13"/>
  <c r="J51" i="13"/>
  <c r="I51" i="13"/>
  <c r="H51" i="13"/>
  <c r="G51" i="13"/>
  <c r="B30" i="13"/>
  <c r="T29" i="13" s="1"/>
  <c r="V19" i="14" s="1"/>
  <c r="X29" i="13"/>
  <c r="Z19" i="14" s="1"/>
  <c r="V29" i="13"/>
  <c r="X19" i="14" s="1"/>
  <c r="U29" i="13"/>
  <c r="W19" i="14" s="1"/>
  <c r="S29" i="13"/>
  <c r="U19" i="14" s="1"/>
  <c r="P29" i="13"/>
  <c r="R19" i="14" s="1"/>
  <c r="M29" i="13"/>
  <c r="M19" i="14" s="1"/>
  <c r="L29" i="13"/>
  <c r="L19" i="14" s="1"/>
  <c r="J29" i="13"/>
  <c r="J19" i="14" s="1"/>
  <c r="G29" i="13"/>
  <c r="G19" i="14" s="1"/>
  <c r="E29" i="13"/>
  <c r="E19" i="14" s="1"/>
  <c r="D29" i="13"/>
  <c r="D19" i="14" s="1"/>
  <c r="B29" i="13"/>
  <c r="B19" i="14" s="1"/>
  <c r="Z28" i="13"/>
  <c r="AB18" i="14" s="1"/>
  <c r="Y28" i="13"/>
  <c r="AA18" i="14" s="1"/>
  <c r="X28" i="13"/>
  <c r="Z18" i="14" s="1"/>
  <c r="V28" i="13"/>
  <c r="X18" i="14" s="1"/>
  <c r="U28" i="13"/>
  <c r="W18" i="14" s="1"/>
  <c r="S28" i="13"/>
  <c r="U18" i="14" s="1"/>
  <c r="R28" i="13"/>
  <c r="T18" i="14" s="1"/>
  <c r="Q28" i="13"/>
  <c r="S18" i="14" s="1"/>
  <c r="P28" i="13"/>
  <c r="R18" i="14" s="1"/>
  <c r="M28" i="13"/>
  <c r="M18" i="14" s="1"/>
  <c r="L28" i="13"/>
  <c r="L18" i="14" s="1"/>
  <c r="J28" i="13"/>
  <c r="J18" i="14" s="1"/>
  <c r="I28" i="13"/>
  <c r="I18" i="14" s="1"/>
  <c r="H28" i="13"/>
  <c r="H18" i="14" s="1"/>
  <c r="G28" i="13"/>
  <c r="G18" i="14" s="1"/>
  <c r="E28" i="13"/>
  <c r="E18" i="14" s="1"/>
  <c r="D28" i="13"/>
  <c r="D18" i="14" s="1"/>
  <c r="C28" i="13"/>
  <c r="C18" i="14" s="1"/>
  <c r="B28" i="13"/>
  <c r="B18" i="14" s="1"/>
  <c r="Z27" i="13"/>
  <c r="AB17" i="14" s="1"/>
  <c r="Y27" i="13"/>
  <c r="AA17" i="14" s="1"/>
  <c r="X27" i="13"/>
  <c r="Z17" i="14" s="1"/>
  <c r="W27" i="13"/>
  <c r="Y17" i="14" s="1"/>
  <c r="V27" i="13"/>
  <c r="X17" i="14" s="1"/>
  <c r="U27" i="13"/>
  <c r="W17" i="14" s="1"/>
  <c r="T27" i="13"/>
  <c r="V17" i="14" s="1"/>
  <c r="S27" i="13"/>
  <c r="U17" i="14" s="1"/>
  <c r="R27" i="13"/>
  <c r="T17" i="14" s="1"/>
  <c r="Q27" i="13"/>
  <c r="S17" i="14" s="1"/>
  <c r="P27" i="13"/>
  <c r="R17" i="14" s="1"/>
  <c r="O27" i="13"/>
  <c r="Q17" i="14" s="1"/>
  <c r="M27" i="13"/>
  <c r="M17" i="14" s="1"/>
  <c r="L27" i="13"/>
  <c r="L17" i="14" s="1"/>
  <c r="K27" i="13"/>
  <c r="K17" i="14" s="1"/>
  <c r="J27" i="13"/>
  <c r="J17" i="14" s="1"/>
  <c r="I27" i="13"/>
  <c r="I17" i="14" s="1"/>
  <c r="H27" i="13"/>
  <c r="H17" i="14" s="1"/>
  <c r="G27" i="13"/>
  <c r="G17" i="14" s="1"/>
  <c r="F27" i="13"/>
  <c r="F17" i="14" s="1"/>
  <c r="E27" i="13"/>
  <c r="E17" i="14" s="1"/>
  <c r="D27" i="13"/>
  <c r="D17" i="14" s="1"/>
  <c r="C27" i="13"/>
  <c r="C17" i="14" s="1"/>
  <c r="B27" i="13"/>
  <c r="B17" i="14" s="1"/>
  <c r="Z26" i="13"/>
  <c r="AB16" i="14" s="1"/>
  <c r="Y26" i="13"/>
  <c r="AA16" i="14" s="1"/>
  <c r="X26" i="13"/>
  <c r="Z16" i="14" s="1"/>
  <c r="W26" i="13"/>
  <c r="Y16" i="14" s="1"/>
  <c r="V26" i="13"/>
  <c r="X16" i="14" s="1"/>
  <c r="U26" i="13"/>
  <c r="W16" i="14" s="1"/>
  <c r="T26" i="13"/>
  <c r="V16" i="14" s="1"/>
  <c r="S26" i="13"/>
  <c r="U16" i="14" s="1"/>
  <c r="R26" i="13"/>
  <c r="T16" i="14" s="1"/>
  <c r="Q26" i="13"/>
  <c r="S16" i="14" s="1"/>
  <c r="P26" i="13"/>
  <c r="R16" i="14" s="1"/>
  <c r="O26" i="13"/>
  <c r="Q16" i="14" s="1"/>
  <c r="M26" i="13"/>
  <c r="M16" i="14" s="1"/>
  <c r="L26" i="13"/>
  <c r="L16" i="14" s="1"/>
  <c r="K26" i="13"/>
  <c r="K16" i="14" s="1"/>
  <c r="J26" i="13"/>
  <c r="J16" i="14" s="1"/>
  <c r="I26" i="13"/>
  <c r="I16" i="14" s="1"/>
  <c r="H26" i="13"/>
  <c r="H16" i="14" s="1"/>
  <c r="G26" i="13"/>
  <c r="G16" i="14" s="1"/>
  <c r="F26" i="13"/>
  <c r="F16" i="14" s="1"/>
  <c r="E26" i="13"/>
  <c r="E16" i="14" s="1"/>
  <c r="D26" i="13"/>
  <c r="D16" i="14" s="1"/>
  <c r="C26" i="13"/>
  <c r="C16" i="14" s="1"/>
  <c r="B26" i="13"/>
  <c r="B16" i="14" s="1"/>
  <c r="Z25" i="13"/>
  <c r="AB15" i="14" s="1"/>
  <c r="Y25" i="13"/>
  <c r="AA15" i="14" s="1"/>
  <c r="X25" i="13"/>
  <c r="Z15" i="14" s="1"/>
  <c r="W25" i="13"/>
  <c r="Y15" i="14" s="1"/>
  <c r="V25" i="13"/>
  <c r="X15" i="14" s="1"/>
  <c r="U25" i="13"/>
  <c r="W15" i="14" s="1"/>
  <c r="T25" i="13"/>
  <c r="V15" i="14" s="1"/>
  <c r="S25" i="13"/>
  <c r="U15" i="14" s="1"/>
  <c r="R25" i="13"/>
  <c r="T15" i="14" s="1"/>
  <c r="Q25" i="13"/>
  <c r="S15" i="14" s="1"/>
  <c r="P25" i="13"/>
  <c r="R15" i="14" s="1"/>
  <c r="O25" i="13"/>
  <c r="Q15" i="14" s="1"/>
  <c r="M25" i="13"/>
  <c r="M15" i="14" s="1"/>
  <c r="L25" i="13"/>
  <c r="L15" i="14" s="1"/>
  <c r="K25" i="13"/>
  <c r="K15" i="14" s="1"/>
  <c r="J25" i="13"/>
  <c r="J15" i="14" s="1"/>
  <c r="I25" i="13"/>
  <c r="I15" i="14" s="1"/>
  <c r="H25" i="13"/>
  <c r="H15" i="14" s="1"/>
  <c r="G25" i="13"/>
  <c r="G15" i="14" s="1"/>
  <c r="F25" i="13"/>
  <c r="F15" i="14" s="1"/>
  <c r="E25" i="13"/>
  <c r="E15" i="14" s="1"/>
  <c r="D25" i="13"/>
  <c r="D15" i="14" s="1"/>
  <c r="C25" i="13"/>
  <c r="C15" i="14" s="1"/>
  <c r="B25" i="13"/>
  <c r="B15" i="14" s="1"/>
  <c r="Z24" i="13"/>
  <c r="AB14" i="14" s="1"/>
  <c r="Y24" i="13"/>
  <c r="AA14" i="14" s="1"/>
  <c r="X24" i="13"/>
  <c r="Z14" i="14" s="1"/>
  <c r="W24" i="13"/>
  <c r="Y14" i="14" s="1"/>
  <c r="V24" i="13"/>
  <c r="X14" i="14" s="1"/>
  <c r="U24" i="13"/>
  <c r="W14" i="14" s="1"/>
  <c r="T24" i="13"/>
  <c r="V14" i="14" s="1"/>
  <c r="S24" i="13"/>
  <c r="U14" i="14" s="1"/>
  <c r="R24" i="13"/>
  <c r="T14" i="14" s="1"/>
  <c r="Q24" i="13"/>
  <c r="S14" i="14" s="1"/>
  <c r="P24" i="13"/>
  <c r="R14" i="14" s="1"/>
  <c r="O24" i="13"/>
  <c r="Q14" i="14" s="1"/>
  <c r="M24" i="13"/>
  <c r="M14" i="14" s="1"/>
  <c r="L24" i="13"/>
  <c r="L14" i="14" s="1"/>
  <c r="K24" i="13"/>
  <c r="K14" i="14" s="1"/>
  <c r="J24" i="13"/>
  <c r="J14" i="14" s="1"/>
  <c r="I24" i="13"/>
  <c r="I14" i="14" s="1"/>
  <c r="H24" i="13"/>
  <c r="H14" i="14" s="1"/>
  <c r="G24" i="13"/>
  <c r="G14" i="14" s="1"/>
  <c r="F24" i="13"/>
  <c r="F14" i="14" s="1"/>
  <c r="E24" i="13"/>
  <c r="E14" i="14" s="1"/>
  <c r="D24" i="13"/>
  <c r="D14" i="14" s="1"/>
  <c r="C24" i="13"/>
  <c r="C14" i="14" s="1"/>
  <c r="B24" i="13"/>
  <c r="B14" i="14" s="1"/>
  <c r="Z23" i="13"/>
  <c r="AB13" i="14" s="1"/>
  <c r="Y23" i="13"/>
  <c r="AA13" i="14" s="1"/>
  <c r="X23" i="13"/>
  <c r="Z13" i="14" s="1"/>
  <c r="W23" i="13"/>
  <c r="Y13" i="14" s="1"/>
  <c r="V23" i="13"/>
  <c r="X13" i="14" s="1"/>
  <c r="U23" i="13"/>
  <c r="W13" i="14" s="1"/>
  <c r="T23" i="13"/>
  <c r="V13" i="14" s="1"/>
  <c r="S23" i="13"/>
  <c r="U13" i="14" s="1"/>
  <c r="R23" i="13"/>
  <c r="T13" i="14" s="1"/>
  <c r="Q23" i="13"/>
  <c r="S13" i="14" s="1"/>
  <c r="P23" i="13"/>
  <c r="R13" i="14" s="1"/>
  <c r="O23" i="13"/>
  <c r="Q13" i="14" s="1"/>
  <c r="M23" i="13"/>
  <c r="M13" i="14" s="1"/>
  <c r="L23" i="13"/>
  <c r="L13" i="14" s="1"/>
  <c r="K23" i="13"/>
  <c r="K13" i="14" s="1"/>
  <c r="J23" i="13"/>
  <c r="J13" i="14" s="1"/>
  <c r="I23" i="13"/>
  <c r="I13" i="14" s="1"/>
  <c r="H23" i="13"/>
  <c r="H13" i="14" s="1"/>
  <c r="G23" i="13"/>
  <c r="G13" i="14" s="1"/>
  <c r="F23" i="13"/>
  <c r="F13" i="14" s="1"/>
  <c r="E23" i="13"/>
  <c r="E13" i="14" s="1"/>
  <c r="D23" i="13"/>
  <c r="D13" i="14" s="1"/>
  <c r="C23" i="13"/>
  <c r="C13" i="14" s="1"/>
  <c r="B23" i="13"/>
  <c r="B13" i="14" s="1"/>
  <c r="N61" i="12"/>
  <c r="N60" i="12"/>
  <c r="U59" i="12"/>
  <c r="V59" i="12" s="1"/>
  <c r="N59" i="12"/>
  <c r="U58" i="12"/>
  <c r="V58" i="12" s="1"/>
  <c r="S58" i="12"/>
  <c r="N58" i="12"/>
  <c r="N56" i="12"/>
  <c r="N55" i="12"/>
  <c r="U54" i="12"/>
  <c r="V54" i="12" s="1"/>
  <c r="U53" i="12"/>
  <c r="V53" i="12" s="1"/>
  <c r="N53" i="12"/>
  <c r="U52" i="12"/>
  <c r="V52" i="12" s="1"/>
  <c r="S52" i="12"/>
  <c r="N52" i="12"/>
  <c r="N51" i="12"/>
  <c r="U50" i="12"/>
  <c r="V50" i="12" s="1"/>
  <c r="N50" i="12"/>
  <c r="N48" i="12"/>
  <c r="V47" i="12"/>
  <c r="U47" i="12"/>
  <c r="S47" i="12"/>
  <c r="N47" i="12"/>
  <c r="N46" i="12"/>
  <c r="N44" i="12"/>
  <c r="N43" i="12"/>
  <c r="V42" i="12"/>
  <c r="U42" i="12"/>
  <c r="S42" i="12"/>
  <c r="N42" i="12"/>
  <c r="N41" i="12"/>
  <c r="N40" i="12"/>
  <c r="N39" i="12"/>
  <c r="N38" i="12"/>
  <c r="U37" i="12"/>
  <c r="V37" i="12" s="1"/>
  <c r="N37" i="12"/>
  <c r="N36" i="12"/>
  <c r="N35" i="12"/>
  <c r="V34" i="12"/>
  <c r="S34" i="12"/>
  <c r="N34" i="12"/>
  <c r="N30" i="12"/>
  <c r="AM29" i="12"/>
  <c r="N29" i="12"/>
  <c r="AM28" i="12"/>
  <c r="N28" i="12"/>
  <c r="U27" i="12"/>
  <c r="V27" i="12" s="1"/>
  <c r="S27" i="12"/>
  <c r="N27" i="12"/>
  <c r="AM26" i="12"/>
  <c r="V26" i="12"/>
  <c r="AM25" i="12"/>
  <c r="N25" i="12"/>
  <c r="AM24" i="12"/>
  <c r="N24" i="12"/>
  <c r="AM23" i="12"/>
  <c r="N23" i="12"/>
  <c r="AM22" i="12"/>
  <c r="N22" i="12"/>
  <c r="U21" i="12"/>
  <c r="V21" i="12" s="1"/>
  <c r="S21" i="12"/>
  <c r="N21" i="12"/>
  <c r="AM20" i="12"/>
  <c r="N20" i="12"/>
  <c r="AM19" i="12"/>
  <c r="N19" i="12"/>
  <c r="AM18" i="12"/>
  <c r="N18" i="12"/>
  <c r="AM17" i="12"/>
  <c r="V17" i="12"/>
  <c r="N17" i="12"/>
  <c r="N26" i="12" s="1"/>
  <c r="U16" i="12"/>
  <c r="V16" i="12" s="1"/>
  <c r="S16" i="12"/>
  <c r="N16" i="12"/>
  <c r="N15" i="12"/>
  <c r="AM14" i="12"/>
  <c r="AM13" i="12"/>
  <c r="N13" i="12"/>
  <c r="AM12" i="12"/>
  <c r="N12" i="12"/>
  <c r="U11" i="12"/>
  <c r="V11" i="12" s="1"/>
  <c r="S11" i="12"/>
  <c r="N11" i="12"/>
  <c r="AM10" i="12"/>
  <c r="N10" i="12"/>
  <c r="AM9" i="12"/>
  <c r="N9" i="12"/>
  <c r="AM8" i="12"/>
  <c r="N8" i="12"/>
  <c r="AM7" i="12"/>
  <c r="N7" i="12"/>
  <c r="AM6" i="12"/>
  <c r="N6" i="12"/>
  <c r="AM5" i="12"/>
  <c r="N5" i="12"/>
  <c r="AM4" i="12"/>
  <c r="V4" i="12"/>
  <c r="N4" i="12"/>
  <c r="U3" i="12"/>
  <c r="S3" i="12"/>
  <c r="N3" i="12"/>
  <c r="AH34" i="7"/>
  <c r="AF34" i="7"/>
  <c r="AH33" i="7"/>
  <c r="AF33" i="7"/>
  <c r="AJ32" i="7"/>
  <c r="AH32" i="7"/>
  <c r="AF32" i="7"/>
  <c r="AH31" i="7"/>
  <c r="AF31" i="7"/>
  <c r="AH30" i="7"/>
  <c r="AF30" i="7"/>
  <c r="AH29" i="7"/>
  <c r="AF29" i="7"/>
  <c r="AJ28" i="7"/>
  <c r="AH28" i="7"/>
  <c r="AF28" i="7"/>
  <c r="AH27" i="7"/>
  <c r="AF27" i="7"/>
  <c r="AH26" i="7"/>
  <c r="AF26" i="7"/>
  <c r="AH25" i="7"/>
  <c r="AF25" i="7"/>
  <c r="AH24" i="7"/>
  <c r="AF24" i="7"/>
  <c r="AJ24" i="7" s="1"/>
  <c r="AH23" i="7"/>
  <c r="AF23" i="7"/>
  <c r="AG23" i="7" s="1"/>
  <c r="D4" i="13"/>
  <c r="E9" i="13"/>
  <c r="D14" i="13"/>
  <c r="O15" i="13"/>
  <c r="C14" i="13"/>
  <c r="C6" i="13"/>
  <c r="S9" i="13"/>
  <c r="S16" i="13"/>
  <c r="D9" i="13"/>
  <c r="E15" i="13"/>
  <c r="O19" i="13"/>
  <c r="Q19" i="13"/>
  <c r="B6" i="13"/>
  <c r="P8" i="13"/>
  <c r="O4" i="13"/>
  <c r="Q16" i="13"/>
  <c r="D15" i="13"/>
  <c r="F17" i="13"/>
  <c r="F7" i="13"/>
  <c r="E17" i="13"/>
  <c r="P18" i="13"/>
  <c r="D7" i="13"/>
  <c r="E19" i="13"/>
  <c r="C15" i="13"/>
  <c r="P9" i="13"/>
  <c r="B5" i="13"/>
  <c r="Q14" i="13"/>
  <c r="F5" i="13"/>
  <c r="O13" i="13"/>
  <c r="R7" i="13"/>
  <c r="O14" i="13"/>
  <c r="S6" i="13"/>
  <c r="P7" i="13"/>
  <c r="P17" i="13"/>
  <c r="S5" i="13"/>
  <c r="S18" i="13"/>
  <c r="O5" i="13"/>
  <c r="B17" i="13"/>
  <c r="B14" i="13"/>
  <c r="R6" i="13"/>
  <c r="R18" i="13"/>
  <c r="P6" i="13"/>
  <c r="F4" i="13"/>
  <c r="E13" i="13"/>
  <c r="D13" i="13"/>
  <c r="Q7" i="13"/>
  <c r="P16" i="13"/>
  <c r="R19" i="13"/>
  <c r="O8" i="13"/>
  <c r="C7" i="13"/>
  <c r="F13" i="13"/>
  <c r="D18" i="13"/>
  <c r="R4" i="13"/>
  <c r="S4" i="13"/>
  <c r="S14" i="13"/>
  <c r="C13" i="13"/>
  <c r="E14" i="13"/>
  <c r="B19" i="13"/>
  <c r="R17" i="13"/>
  <c r="Q18" i="13"/>
  <c r="Q15" i="13"/>
  <c r="E8" i="13"/>
  <c r="E4" i="13"/>
  <c r="O16" i="13"/>
  <c r="E16" i="13"/>
  <c r="R8" i="13"/>
  <c r="P14" i="13"/>
  <c r="R5" i="13"/>
  <c r="E18" i="13"/>
  <c r="Q13" i="13"/>
  <c r="B16" i="13"/>
  <c r="S3" i="13"/>
  <c r="B8" i="13"/>
  <c r="F6" i="13"/>
  <c r="C5" i="13"/>
  <c r="B15" i="13"/>
  <c r="O17" i="13"/>
  <c r="S17" i="13"/>
  <c r="D3" i="13"/>
  <c r="S15" i="13"/>
  <c r="E5" i="13"/>
  <c r="R13" i="13"/>
  <c r="C18" i="13"/>
  <c r="R16" i="13"/>
  <c r="P15" i="13"/>
  <c r="O3" i="13"/>
  <c r="S13" i="13"/>
  <c r="O9" i="13"/>
  <c r="P4" i="13"/>
  <c r="D6" i="13"/>
  <c r="O6" i="13"/>
  <c r="Q4" i="13"/>
  <c r="Q6" i="13"/>
  <c r="R14" i="13"/>
  <c r="O18" i="13"/>
  <c r="E7" i="13"/>
  <c r="C19" i="13"/>
  <c r="B7" i="13"/>
  <c r="O7" i="13"/>
  <c r="F14" i="13"/>
  <c r="E3" i="13"/>
  <c r="D8" i="13"/>
  <c r="C8" i="13"/>
  <c r="B18" i="13"/>
  <c r="C9" i="13"/>
  <c r="B9" i="13"/>
  <c r="F9" i="13"/>
  <c r="F19" i="13"/>
  <c r="P3" i="13"/>
  <c r="B3" i="13"/>
  <c r="P19" i="13"/>
  <c r="Q8" i="13"/>
  <c r="Q17" i="13"/>
  <c r="E6" i="13"/>
  <c r="S19" i="13"/>
  <c r="C16" i="13"/>
  <c r="C17" i="13"/>
  <c r="F15" i="13"/>
  <c r="F3" i="13"/>
  <c r="R3" i="13"/>
  <c r="F16" i="13"/>
  <c r="B4" i="13"/>
  <c r="D17" i="13"/>
  <c r="F18" i="13"/>
  <c r="D19" i="13"/>
  <c r="C4" i="13"/>
  <c r="D16" i="13"/>
  <c r="R9" i="13"/>
  <c r="P13" i="13"/>
  <c r="S8" i="13"/>
  <c r="Q3" i="13"/>
  <c r="Q5" i="13"/>
  <c r="Q9" i="13"/>
  <c r="B13" i="13"/>
  <c r="S7" i="13"/>
  <c r="P5" i="13"/>
  <c r="F8" i="13"/>
  <c r="C3" i="13"/>
  <c r="D5" i="13"/>
  <c r="R15" i="13"/>
  <c r="D51" i="13" l="1"/>
  <c r="B52" i="13"/>
  <c r="R52" i="13"/>
  <c r="P53" i="13"/>
  <c r="F54" i="13"/>
  <c r="D55" i="13"/>
  <c r="B56" i="13"/>
  <c r="R56" i="13"/>
  <c r="P57" i="13"/>
  <c r="E51" i="13"/>
  <c r="C52" i="13"/>
  <c r="S52" i="13"/>
  <c r="Q53" i="13"/>
  <c r="O54" i="13"/>
  <c r="E55" i="13"/>
  <c r="C56" i="13"/>
  <c r="S56" i="13"/>
  <c r="Q57" i="13"/>
  <c r="F51" i="13"/>
  <c r="D52" i="13"/>
  <c r="B53" i="13"/>
  <c r="R53" i="13"/>
  <c r="P54" i="13"/>
  <c r="F55" i="13"/>
  <c r="D56" i="13"/>
  <c r="B57" i="13"/>
  <c r="R57" i="13"/>
  <c r="O51" i="13"/>
  <c r="E52" i="13"/>
  <c r="C53" i="13"/>
  <c r="S53" i="13"/>
  <c r="Q54" i="13"/>
  <c r="O55" i="13"/>
  <c r="E56" i="13"/>
  <c r="C57" i="13"/>
  <c r="S57" i="13"/>
  <c r="P51" i="13"/>
  <c r="F52" i="13"/>
  <c r="D53" i="13"/>
  <c r="B54" i="13"/>
  <c r="R54" i="13"/>
  <c r="P55" i="13"/>
  <c r="F56" i="13"/>
  <c r="D57" i="13"/>
  <c r="Q51" i="13"/>
  <c r="O52" i="13"/>
  <c r="E53" i="13"/>
  <c r="C54" i="13"/>
  <c r="S54" i="13"/>
  <c r="Q55" i="13"/>
  <c r="O56" i="13"/>
  <c r="E57" i="13"/>
  <c r="B51" i="13"/>
  <c r="R51" i="13"/>
  <c r="P52" i="13"/>
  <c r="F53" i="13"/>
  <c r="D54" i="13"/>
  <c r="B55" i="13"/>
  <c r="R55" i="13"/>
  <c r="P56" i="13"/>
  <c r="F57" i="13"/>
  <c r="C51" i="13"/>
  <c r="S51" i="13"/>
  <c r="Q52" i="13"/>
  <c r="O53" i="13"/>
  <c r="E54" i="13"/>
  <c r="C55" i="13"/>
  <c r="S55" i="13"/>
  <c r="Q56" i="13"/>
  <c r="O57" i="13"/>
  <c r="B13" i="12"/>
  <c r="E9" i="12"/>
  <c r="J6" i="12"/>
  <c r="H14" i="12"/>
  <c r="J10" i="12"/>
  <c r="J14" i="12"/>
  <c r="B4" i="12"/>
  <c r="J8" i="12"/>
  <c r="K10" i="12"/>
  <c r="B10" i="12"/>
  <c r="B5" i="12"/>
  <c r="C7" i="12"/>
  <c r="AE7" i="12" s="1"/>
  <c r="C9" i="12"/>
  <c r="AE9" i="12" s="1"/>
  <c r="D9" i="12"/>
  <c r="AJ9" i="12" s="1"/>
  <c r="Q4" i="12"/>
  <c r="Q7" i="12"/>
  <c r="Q5" i="12"/>
  <c r="H8" i="12"/>
  <c r="H6" i="12"/>
  <c r="I8" i="12"/>
  <c r="I10" i="12"/>
  <c r="M4" i="12"/>
  <c r="M7" i="12"/>
  <c r="Q13" i="12"/>
  <c r="H12" i="12"/>
  <c r="K13" i="12"/>
  <c r="M12" i="12"/>
  <c r="D17" i="12"/>
  <c r="AJ17" i="12" s="1"/>
  <c r="F24" i="12"/>
  <c r="P24" i="12" s="1"/>
  <c r="S24" i="12" s="1"/>
  <c r="M22" i="12"/>
  <c r="R7" i="12"/>
  <c r="R9" i="12"/>
  <c r="R13" i="12"/>
  <c r="G23" i="12"/>
  <c r="H25" i="12"/>
  <c r="B7" i="12"/>
  <c r="R4" i="12"/>
  <c r="F9" i="12"/>
  <c r="P9" i="12" s="1"/>
  <c r="S9" i="12" s="1"/>
  <c r="R5" i="12"/>
  <c r="L12" i="12"/>
  <c r="Q15" i="12"/>
  <c r="R18" i="12"/>
  <c r="H17" i="12"/>
  <c r="Q10" i="12"/>
  <c r="R15" i="12"/>
  <c r="I24" i="12"/>
  <c r="B6" i="12"/>
  <c r="C8" i="12"/>
  <c r="AE8" i="12" s="1"/>
  <c r="C6" i="12"/>
  <c r="AE6" i="12" s="1"/>
  <c r="D10" i="12"/>
  <c r="AJ10" i="12" s="1"/>
  <c r="Q8" i="12"/>
  <c r="R10" i="12"/>
  <c r="Q6" i="12"/>
  <c r="G4" i="12"/>
  <c r="G5" i="12"/>
  <c r="H4" i="12"/>
  <c r="H7" i="12"/>
  <c r="H5" i="12"/>
  <c r="I9" i="12"/>
  <c r="C13" i="12"/>
  <c r="AE13" i="12" s="1"/>
  <c r="E12" i="12"/>
  <c r="Q14" i="12"/>
  <c r="H13" i="12"/>
  <c r="B20" i="12"/>
  <c r="E20" i="12"/>
  <c r="R8" i="12"/>
  <c r="R6" i="12"/>
  <c r="Q12" i="12"/>
  <c r="R14" i="12"/>
  <c r="F19" i="12"/>
  <c r="P19" i="12" s="1"/>
  <c r="S19" i="12" s="1"/>
  <c r="G25" i="12"/>
  <c r="E6" i="12"/>
  <c r="G10" i="12"/>
  <c r="J4" i="12"/>
  <c r="J5" i="12"/>
  <c r="K9" i="12"/>
  <c r="L9" i="12"/>
  <c r="M5" i="12"/>
  <c r="D12" i="12"/>
  <c r="AJ12" i="12" s="1"/>
  <c r="G13" i="12"/>
  <c r="C18" i="12"/>
  <c r="AE18" i="12" s="1"/>
  <c r="F20" i="12"/>
  <c r="I20" i="12"/>
  <c r="F23" i="12"/>
  <c r="J23" i="12"/>
  <c r="Q9" i="12"/>
  <c r="D14" i="12"/>
  <c r="R12" i="12"/>
  <c r="Q17" i="12"/>
  <c r="G18" i="12"/>
  <c r="G26" i="12"/>
  <c r="Q19" i="12"/>
  <c r="R20" i="12"/>
  <c r="R23" i="12"/>
  <c r="H26" i="12"/>
  <c r="K25" i="12"/>
  <c r="L24" i="12"/>
  <c r="M23" i="12"/>
  <c r="D18" i="12"/>
  <c r="AJ18" i="12" s="1"/>
  <c r="E17" i="12"/>
  <c r="Q18" i="12"/>
  <c r="R19" i="12"/>
  <c r="G19" i="12"/>
  <c r="H18" i="12"/>
  <c r="I17" i="12"/>
  <c r="L18" i="12"/>
  <c r="M17" i="12"/>
  <c r="Q26" i="12"/>
  <c r="Q25" i="12"/>
  <c r="J26" i="12"/>
  <c r="K22" i="12"/>
  <c r="C28" i="12"/>
  <c r="AE28" i="12" s="1"/>
  <c r="J19" i="12"/>
  <c r="K18" i="12"/>
  <c r="L17" i="12"/>
  <c r="M20" i="12"/>
  <c r="Q22" i="12"/>
  <c r="R26" i="12"/>
  <c r="Q24" i="12"/>
  <c r="R25" i="12"/>
  <c r="G22" i="12"/>
  <c r="I22" i="12"/>
  <c r="L25" i="12"/>
  <c r="H24" i="12"/>
  <c r="I23" i="12"/>
  <c r="K26" i="12"/>
  <c r="L22" i="12"/>
  <c r="R17" i="12"/>
  <c r="Q20" i="12"/>
  <c r="R22" i="12"/>
  <c r="Q23" i="12"/>
  <c r="R24" i="12"/>
  <c r="B29" i="12"/>
  <c r="AJ27" i="7"/>
  <c r="Q29" i="12"/>
  <c r="D28" i="12"/>
  <c r="AJ28" i="12" s="1"/>
  <c r="Q28" i="12"/>
  <c r="R29" i="12"/>
  <c r="G29" i="12"/>
  <c r="H28" i="12"/>
  <c r="K29" i="12"/>
  <c r="L28" i="12"/>
  <c r="R28" i="12"/>
  <c r="F29" i="12"/>
  <c r="P29" i="12" s="1"/>
  <c r="S29" i="12" s="1"/>
  <c r="G28" i="12"/>
  <c r="J29" i="12"/>
  <c r="K28" i="12"/>
  <c r="AJ23" i="7"/>
  <c r="AJ34" i="7"/>
  <c r="AI23" i="7"/>
  <c r="AK23" i="7" s="1"/>
  <c r="AJ30" i="7"/>
  <c r="AJ26" i="7"/>
  <c r="AJ31" i="7"/>
  <c r="N54" i="12"/>
  <c r="P23" i="12"/>
  <c r="S23" i="12" s="1"/>
  <c r="AG24" i="7"/>
  <c r="AJ25" i="7"/>
  <c r="AJ29" i="7"/>
  <c r="AJ33" i="7"/>
  <c r="P20" i="12"/>
  <c r="S20" i="12" s="1"/>
  <c r="V3" i="12"/>
  <c r="N14" i="12"/>
  <c r="F28" i="13"/>
  <c r="F18" i="14" s="1"/>
  <c r="O28" i="13"/>
  <c r="Q18" i="14" s="1"/>
  <c r="W28" i="13"/>
  <c r="Y18" i="14" s="1"/>
  <c r="F29" i="13"/>
  <c r="F19" i="14" s="1"/>
  <c r="O29" i="13"/>
  <c r="Q19" i="14" s="1"/>
  <c r="W29" i="13"/>
  <c r="Y19" i="14" s="1"/>
  <c r="N57" i="12"/>
  <c r="H29" i="13"/>
  <c r="H19" i="14" s="1"/>
  <c r="Q29" i="13"/>
  <c r="S19" i="14" s="1"/>
  <c r="Y29" i="13"/>
  <c r="AA19" i="14" s="1"/>
  <c r="I29" i="13"/>
  <c r="I19" i="14" s="1"/>
  <c r="R29" i="13"/>
  <c r="T19" i="14" s="1"/>
  <c r="Z29" i="13"/>
  <c r="AB19" i="14" s="1"/>
  <c r="N49" i="12"/>
  <c r="K28" i="13"/>
  <c r="K18" i="14" s="1"/>
  <c r="T28" i="13"/>
  <c r="V18" i="14" s="1"/>
  <c r="C29" i="13"/>
  <c r="C19" i="14" s="1"/>
  <c r="K29" i="13"/>
  <c r="K19" i="14" s="1"/>
  <c r="B55" i="12" l="1"/>
  <c r="K21" i="12"/>
  <c r="L21" i="12"/>
  <c r="I11" i="12"/>
  <c r="B36" i="12"/>
  <c r="AC23" i="12"/>
  <c r="U23" i="12"/>
  <c r="V23" i="12" s="1"/>
  <c r="W23" i="12" s="1"/>
  <c r="U24" i="12"/>
  <c r="V24" i="12" s="1"/>
  <c r="W24" i="12" s="1"/>
  <c r="AC24" i="12"/>
  <c r="J22" i="12"/>
  <c r="AL28" i="12"/>
  <c r="X28" i="12"/>
  <c r="M29" i="12"/>
  <c r="J18" i="12"/>
  <c r="G17" i="12"/>
  <c r="U28" i="12"/>
  <c r="V28" i="12" s="1"/>
  <c r="W28" i="12" s="1"/>
  <c r="AC28" i="12"/>
  <c r="I28" i="12"/>
  <c r="U29" i="12"/>
  <c r="V29" i="12" s="1"/>
  <c r="W29" i="12" s="1"/>
  <c r="AC29" i="12"/>
  <c r="F26" i="12"/>
  <c r="P26" i="12" s="1"/>
  <c r="S26" i="12" s="1"/>
  <c r="C26" i="12"/>
  <c r="E19" i="12"/>
  <c r="C27" i="12"/>
  <c r="D29" i="12"/>
  <c r="AJ29" i="12" s="1"/>
  <c r="U25" i="12"/>
  <c r="V25" i="12" s="1"/>
  <c r="W25" i="12" s="1"/>
  <c r="AC25" i="12"/>
  <c r="J20" i="12"/>
  <c r="L26" i="12"/>
  <c r="U19" i="12"/>
  <c r="V19" i="12" s="1"/>
  <c r="W19" i="12" s="1"/>
  <c r="AC19" i="12"/>
  <c r="L7" i="12"/>
  <c r="AC9" i="12"/>
  <c r="U9" i="12"/>
  <c r="V9" i="12" s="1"/>
  <c r="W9" i="12" s="1"/>
  <c r="H19" i="12"/>
  <c r="B14" i="12"/>
  <c r="D6" i="12"/>
  <c r="AJ6" i="12" s="1"/>
  <c r="L15" i="12"/>
  <c r="F21" i="12"/>
  <c r="AL5" i="12"/>
  <c r="X5" i="12"/>
  <c r="AD5" i="12" s="1"/>
  <c r="E14" i="12"/>
  <c r="AC5" i="12"/>
  <c r="U5" i="12"/>
  <c r="AL29" i="12"/>
  <c r="X29" i="12"/>
  <c r="AD29" i="12" s="1"/>
  <c r="H20" i="12"/>
  <c r="K20" i="12"/>
  <c r="L29" i="12"/>
  <c r="M19" i="12"/>
  <c r="U20" i="12"/>
  <c r="V20" i="12" s="1"/>
  <c r="W20" i="12" s="1"/>
  <c r="AC20" i="12"/>
  <c r="M25" i="12"/>
  <c r="AL26" i="12"/>
  <c r="X26" i="12"/>
  <c r="G24" i="12"/>
  <c r="C23" i="12"/>
  <c r="AE23" i="12" s="1"/>
  <c r="C19" i="12"/>
  <c r="AE19" i="12" s="1"/>
  <c r="D22" i="12"/>
  <c r="AJ22" i="12" s="1"/>
  <c r="B24" i="12"/>
  <c r="I26" i="12"/>
  <c r="E15" i="12"/>
  <c r="AL12" i="12"/>
  <c r="AK12" i="12" s="1"/>
  <c r="AK11" i="12" s="1"/>
  <c r="X12" i="12"/>
  <c r="M9" i="12"/>
  <c r="L4" i="12"/>
  <c r="I21" i="12"/>
  <c r="I12" i="12"/>
  <c r="K7" i="12"/>
  <c r="AL14" i="12"/>
  <c r="X14" i="12"/>
  <c r="AD14" i="12" s="1"/>
  <c r="I5" i="12"/>
  <c r="X6" i="12"/>
  <c r="AD6" i="12" s="1"/>
  <c r="AL6" i="12"/>
  <c r="D8" i="12"/>
  <c r="AJ8" i="12" s="1"/>
  <c r="D19" i="12"/>
  <c r="AJ19" i="12" s="1"/>
  <c r="AL15" i="12"/>
  <c r="X15" i="12"/>
  <c r="AD15" i="12" s="1"/>
  <c r="I14" i="12"/>
  <c r="M10" i="12"/>
  <c r="F4" i="12"/>
  <c r="P4" i="12" s="1"/>
  <c r="S4" i="12" s="1"/>
  <c r="R30" i="12"/>
  <c r="R31" i="12" s="1"/>
  <c r="Q31" i="12" s="1"/>
  <c r="S31" i="12" s="1"/>
  <c r="X4" i="12"/>
  <c r="AL4" i="12"/>
  <c r="AA4" i="12"/>
  <c r="C20" i="12"/>
  <c r="AE20" i="12" s="1"/>
  <c r="AC13" i="12"/>
  <c r="U13" i="12"/>
  <c r="V13" i="12" s="1"/>
  <c r="W13" i="12" s="1"/>
  <c r="D25" i="12"/>
  <c r="AJ25" i="12" s="1"/>
  <c r="K23" i="12"/>
  <c r="B18" i="12"/>
  <c r="B9" i="12"/>
  <c r="I6" i="12"/>
  <c r="C4" i="12"/>
  <c r="H29" i="12"/>
  <c r="I13" i="12"/>
  <c r="K5" i="12"/>
  <c r="I7" i="12"/>
  <c r="L14" i="12"/>
  <c r="M8" i="12"/>
  <c r="H9" i="12"/>
  <c r="L10" i="12"/>
  <c r="AG25" i="7"/>
  <c r="E28" i="12"/>
  <c r="H22" i="12"/>
  <c r="F25" i="12"/>
  <c r="P25" i="12" s="1"/>
  <c r="S25" i="12" s="1"/>
  <c r="D26" i="12"/>
  <c r="AJ26" i="12" s="1"/>
  <c r="AK26" i="12" s="1"/>
  <c r="I19" i="12"/>
  <c r="F18" i="12"/>
  <c r="P18" i="12" s="1"/>
  <c r="S18" i="12" s="1"/>
  <c r="D20" i="12"/>
  <c r="AJ20" i="12" s="1"/>
  <c r="AC22" i="12"/>
  <c r="U22" i="12"/>
  <c r="V22" i="12" s="1"/>
  <c r="W22" i="12" s="1"/>
  <c r="M26" i="12"/>
  <c r="W26" i="12"/>
  <c r="B23" i="12"/>
  <c r="E22" i="12"/>
  <c r="C24" i="12"/>
  <c r="AE24" i="12" s="1"/>
  <c r="L19" i="12"/>
  <c r="F17" i="12"/>
  <c r="P17" i="12" s="1"/>
  <c r="S17" i="12" s="1"/>
  <c r="F12" i="12"/>
  <c r="P12" i="12" s="1"/>
  <c r="S12" i="12" s="1"/>
  <c r="J9" i="12"/>
  <c r="I4" i="12"/>
  <c r="E10" i="12"/>
  <c r="AC14" i="12"/>
  <c r="U14" i="12"/>
  <c r="V14" i="12" s="1"/>
  <c r="W14" i="12" s="1"/>
  <c r="I15" i="12"/>
  <c r="G14" i="12"/>
  <c r="G7" i="12"/>
  <c r="B38" i="12"/>
  <c r="B17" i="12"/>
  <c r="F15" i="12"/>
  <c r="K6" i="12"/>
  <c r="E5" i="12"/>
  <c r="C14" i="12"/>
  <c r="AE14" i="12" s="1"/>
  <c r="I18" i="12"/>
  <c r="U7" i="12"/>
  <c r="V7" i="12" s="1"/>
  <c r="W7" i="12" s="1"/>
  <c r="AC7" i="12"/>
  <c r="F11" i="12"/>
  <c r="AI24" i="7"/>
  <c r="AK24" i="7" s="1"/>
  <c r="AK28" i="12"/>
  <c r="B28" i="12"/>
  <c r="K24" i="12"/>
  <c r="AL22" i="12"/>
  <c r="X22" i="12"/>
  <c r="AL23" i="12"/>
  <c r="X23" i="12"/>
  <c r="AD23" i="12" s="1"/>
  <c r="M15" i="12"/>
  <c r="B8" i="12"/>
  <c r="U8" i="12"/>
  <c r="V8" i="12" s="1"/>
  <c r="W8" i="12" s="1"/>
  <c r="AC8" i="12"/>
  <c r="G9" i="12"/>
  <c r="X7" i="12"/>
  <c r="AD7" i="12" s="1"/>
  <c r="AL7" i="12"/>
  <c r="K27" i="12"/>
  <c r="K8" i="14" s="1"/>
  <c r="F28" i="12"/>
  <c r="P28" i="12" s="1"/>
  <c r="S28" i="12" s="1"/>
  <c r="AL24" i="12"/>
  <c r="X24" i="12"/>
  <c r="AD24" i="12" s="1"/>
  <c r="B25" i="12"/>
  <c r="L20" i="12"/>
  <c r="C17" i="12"/>
  <c r="AL25" i="12"/>
  <c r="X25" i="12"/>
  <c r="AD25" i="12" s="1"/>
  <c r="H23" i="12"/>
  <c r="F14" i="12"/>
  <c r="P14" i="12" s="1"/>
  <c r="S14" i="12" s="1"/>
  <c r="G6" i="12"/>
  <c r="J15" i="12"/>
  <c r="B15" i="12"/>
  <c r="K14" i="12"/>
  <c r="J7" i="12"/>
  <c r="E8" i="12"/>
  <c r="AC6" i="12"/>
  <c r="U6" i="12"/>
  <c r="V6" i="12" s="1"/>
  <c r="W6" i="12" s="1"/>
  <c r="Y6" i="12" s="1"/>
  <c r="M14" i="12"/>
  <c r="G12" i="12"/>
  <c r="K8" i="12"/>
  <c r="F7" i="12"/>
  <c r="P7" i="12" s="1"/>
  <c r="S7" i="12" s="1"/>
  <c r="E7" i="12"/>
  <c r="B19" i="12"/>
  <c r="C15" i="12"/>
  <c r="C12" i="12"/>
  <c r="AE12" i="12" s="1"/>
  <c r="D5" i="12"/>
  <c r="AJ5" i="12" s="1"/>
  <c r="AK5" i="12" s="1"/>
  <c r="C29" i="12"/>
  <c r="AE29" i="12" s="1"/>
  <c r="G27" i="12"/>
  <c r="J25" i="12"/>
  <c r="E25" i="12"/>
  <c r="B26" i="12"/>
  <c r="K17" i="12"/>
  <c r="AL17" i="12"/>
  <c r="AK17" i="12" s="1"/>
  <c r="X17" i="12"/>
  <c r="AA17" i="12"/>
  <c r="J24" i="12"/>
  <c r="E23" i="12"/>
  <c r="K19" i="12"/>
  <c r="AL19" i="12"/>
  <c r="X19" i="12"/>
  <c r="AD19" i="12" s="1"/>
  <c r="F22" i="12"/>
  <c r="P22" i="12" s="1"/>
  <c r="S22" i="12" s="1"/>
  <c r="D24" i="12"/>
  <c r="AJ24" i="12" s="1"/>
  <c r="B22" i="12"/>
  <c r="W17" i="12"/>
  <c r="K4" i="12"/>
  <c r="G8" i="12"/>
  <c r="E18" i="12"/>
  <c r="L13" i="12"/>
  <c r="F10" i="12"/>
  <c r="P10" i="12" s="1"/>
  <c r="S10" i="12" s="1"/>
  <c r="G15" i="12"/>
  <c r="K12" i="12"/>
  <c r="U12" i="12"/>
  <c r="V12" i="12" s="1"/>
  <c r="W12" i="12" s="1"/>
  <c r="AC12" i="12"/>
  <c r="B43" i="12"/>
  <c r="F13" i="12"/>
  <c r="P13" i="12" s="1"/>
  <c r="S13" i="12" s="1"/>
  <c r="F5" i="12"/>
  <c r="P5" i="12" s="1"/>
  <c r="S5" i="12" s="1"/>
  <c r="C10" i="12"/>
  <c r="AE10" i="12" s="1"/>
  <c r="U15" i="12"/>
  <c r="V15" i="12" s="1"/>
  <c r="W15" i="12" s="1"/>
  <c r="Y15" i="12" s="1"/>
  <c r="AC15" i="12"/>
  <c r="E4" i="12"/>
  <c r="K15" i="12"/>
  <c r="D7" i="12"/>
  <c r="AJ7" i="12" s="1"/>
  <c r="M24" i="12"/>
  <c r="AL20" i="12"/>
  <c r="X20" i="12"/>
  <c r="AD20" i="12" s="1"/>
  <c r="B12" i="12"/>
  <c r="L6" i="12"/>
  <c r="AL13" i="12"/>
  <c r="X13" i="12"/>
  <c r="AD13" i="12" s="1"/>
  <c r="D4" i="12"/>
  <c r="AJ4" i="12" s="1"/>
  <c r="AK4" i="12" s="1"/>
  <c r="F16" i="12"/>
  <c r="H15" i="12"/>
  <c r="N45" i="12"/>
  <c r="J28" i="12"/>
  <c r="E29" i="12"/>
  <c r="E26" i="12"/>
  <c r="F8" i="12"/>
  <c r="P8" i="12" s="1"/>
  <c r="S8" i="12" s="1"/>
  <c r="AL8" i="12"/>
  <c r="X8" i="12"/>
  <c r="AD8" i="12" s="1"/>
  <c r="M28" i="12"/>
  <c r="I29" i="12"/>
  <c r="L23" i="12"/>
  <c r="C25" i="12"/>
  <c r="AE25" i="12" s="1"/>
  <c r="I25" i="12"/>
  <c r="D23" i="12"/>
  <c r="AJ23" i="12" s="1"/>
  <c r="AC18" i="12"/>
  <c r="U18" i="12"/>
  <c r="V18" i="12" s="1"/>
  <c r="W18" i="12" s="1"/>
  <c r="F27" i="12"/>
  <c r="F28" i="14" s="1"/>
  <c r="E24" i="12"/>
  <c r="C22" i="12"/>
  <c r="AE22" i="12" s="1"/>
  <c r="M18" i="12"/>
  <c r="J17" i="12"/>
  <c r="J12" i="12"/>
  <c r="AJ14" i="12"/>
  <c r="AK14" i="12" s="1"/>
  <c r="M6" i="12"/>
  <c r="L5" i="12"/>
  <c r="H10" i="12"/>
  <c r="F6" i="12"/>
  <c r="P6" i="12" s="1"/>
  <c r="S6" i="12" s="1"/>
  <c r="J13" i="12"/>
  <c r="E13" i="12"/>
  <c r="D15" i="12"/>
  <c r="X10" i="12"/>
  <c r="AD10" i="12" s="1"/>
  <c r="AL10" i="12"/>
  <c r="AK10" i="12" s="1"/>
  <c r="G20" i="12"/>
  <c r="L8" i="12"/>
  <c r="AC10" i="12"/>
  <c r="U10" i="12"/>
  <c r="V10" i="12" s="1"/>
  <c r="W10" i="12" s="1"/>
  <c r="Y10" i="12" s="1"/>
  <c r="Z10" i="12" s="1"/>
  <c r="AL18" i="12"/>
  <c r="AK18" i="12" s="1"/>
  <c r="X18" i="12"/>
  <c r="AD18" i="12" s="1"/>
  <c r="D13" i="12"/>
  <c r="AJ13" i="12" s="1"/>
  <c r="AK13" i="12" s="1"/>
  <c r="M13" i="12"/>
  <c r="AL9" i="12"/>
  <c r="AK9" i="12" s="1"/>
  <c r="X9" i="12"/>
  <c r="AD9" i="12" s="1"/>
  <c r="C5" i="12"/>
  <c r="AE5" i="12" s="1"/>
  <c r="Q30" i="12"/>
  <c r="S30" i="12" s="1"/>
  <c r="W4" i="12"/>
  <c r="Y7" i="12" l="1"/>
  <c r="Y14" i="12"/>
  <c r="Z14" i="12" s="1"/>
  <c r="Y8" i="12"/>
  <c r="Z8" i="12" s="1"/>
  <c r="AK23" i="12"/>
  <c r="AK7" i="12"/>
  <c r="Y26" i="12"/>
  <c r="Z26" i="12" s="1"/>
  <c r="C41" i="12"/>
  <c r="D38" i="12"/>
  <c r="C36" i="12"/>
  <c r="B49" i="12"/>
  <c r="M21" i="12"/>
  <c r="D5" i="14"/>
  <c r="AJ15" i="12"/>
  <c r="AK15" i="12" s="1"/>
  <c r="AM15" i="12" s="1"/>
  <c r="D25" i="14"/>
  <c r="B40" i="12"/>
  <c r="I27" i="12"/>
  <c r="B57" i="12"/>
  <c r="W11" i="12"/>
  <c r="Y12" i="12"/>
  <c r="Z12" i="12" s="1"/>
  <c r="C38" i="12"/>
  <c r="D11" i="12"/>
  <c r="E40" i="12"/>
  <c r="D50" i="12"/>
  <c r="C21" i="12"/>
  <c r="X31" i="12"/>
  <c r="U31" i="12" s="1"/>
  <c r="X3" i="12"/>
  <c r="AD4" i="12" s="1"/>
  <c r="AC4" i="12" s="1"/>
  <c r="AK19" i="12"/>
  <c r="L11" i="12"/>
  <c r="J11" i="12"/>
  <c r="L3" i="12"/>
  <c r="B45" i="12"/>
  <c r="AK6" i="12"/>
  <c r="AK3" i="12" s="1"/>
  <c r="B59" i="12"/>
  <c r="Q50" i="12"/>
  <c r="W50" i="12" s="1"/>
  <c r="Q36" i="12"/>
  <c r="U36" i="12" s="1"/>
  <c r="V36" i="12" s="1"/>
  <c r="W36" i="12" s="1"/>
  <c r="J21" i="12"/>
  <c r="B35" i="12"/>
  <c r="H16" i="12"/>
  <c r="B50" i="12"/>
  <c r="B60" i="12"/>
  <c r="E27" i="12"/>
  <c r="K11" i="12"/>
  <c r="AK22" i="12"/>
  <c r="B27" i="12"/>
  <c r="M27" i="12"/>
  <c r="V5" i="12"/>
  <c r="U30" i="12"/>
  <c r="I4" i="14"/>
  <c r="I24" i="14"/>
  <c r="B7" i="26"/>
  <c r="F5" i="14"/>
  <c r="F35" i="14" s="1"/>
  <c r="P15" i="12"/>
  <c r="S15" i="12" s="1"/>
  <c r="F25" i="14"/>
  <c r="M3" i="12"/>
  <c r="B56" i="12"/>
  <c r="G3" i="12"/>
  <c r="B51" i="12"/>
  <c r="C16" i="12"/>
  <c r="G16" i="12"/>
  <c r="W27" i="12"/>
  <c r="Y28" i="12"/>
  <c r="Z28" i="12" s="1"/>
  <c r="C49" i="12"/>
  <c r="D59" i="12"/>
  <c r="Q48" i="12"/>
  <c r="U48" i="12" s="1"/>
  <c r="V48" i="12" s="1"/>
  <c r="W48" i="12" s="1"/>
  <c r="H5" i="14"/>
  <c r="H25" i="14"/>
  <c r="D3" i="12"/>
  <c r="G5" i="14"/>
  <c r="G25" i="14"/>
  <c r="B48" i="12"/>
  <c r="B16" i="12"/>
  <c r="C48" i="12"/>
  <c r="M5" i="14"/>
  <c r="M25" i="14"/>
  <c r="J16" i="12"/>
  <c r="AL21" i="12"/>
  <c r="AG26" i="7"/>
  <c r="C59" i="12"/>
  <c r="I7" i="14"/>
  <c r="I37" i="14" s="1"/>
  <c r="I27" i="14"/>
  <c r="Y20" i="12"/>
  <c r="Z20" i="12" s="1"/>
  <c r="C60" i="12"/>
  <c r="B9" i="26"/>
  <c r="F7" i="14"/>
  <c r="F27" i="14"/>
  <c r="C8" i="14"/>
  <c r="C28" i="14"/>
  <c r="X27" i="12"/>
  <c r="AD28" i="12"/>
  <c r="D51" i="12"/>
  <c r="L7" i="14"/>
  <c r="L27" i="14"/>
  <c r="C44" i="12"/>
  <c r="B11" i="12"/>
  <c r="B53" i="12"/>
  <c r="F3" i="12"/>
  <c r="D16" i="12"/>
  <c r="X16" i="12"/>
  <c r="AD17" i="12" s="1"/>
  <c r="AC17" i="12" s="1"/>
  <c r="G11" i="12"/>
  <c r="B44" i="12"/>
  <c r="C45" i="12"/>
  <c r="L16" i="12"/>
  <c r="Y13" i="12"/>
  <c r="Z13" i="12" s="1"/>
  <c r="AK8" i="12"/>
  <c r="L5" i="14"/>
  <c r="L35" i="14" s="1"/>
  <c r="L25" i="14"/>
  <c r="Y9" i="12"/>
  <c r="Z9" i="12" s="1"/>
  <c r="G21" i="12"/>
  <c r="Y25" i="12"/>
  <c r="Z25" i="12" s="1"/>
  <c r="E16" i="12"/>
  <c r="AL27" i="12"/>
  <c r="E21" i="12"/>
  <c r="B41" i="12"/>
  <c r="J5" i="14"/>
  <c r="J25" i="14"/>
  <c r="AI25" i="7"/>
  <c r="AK25" i="7" s="1"/>
  <c r="C37" i="12"/>
  <c r="C11" i="12"/>
  <c r="D48" i="12"/>
  <c r="K5" i="14"/>
  <c r="K25" i="14"/>
  <c r="F7" i="26"/>
  <c r="I7" i="26" s="1"/>
  <c r="Z15" i="12"/>
  <c r="AK24" i="12"/>
  <c r="AL16" i="12"/>
  <c r="K16" i="12"/>
  <c r="C54" i="12"/>
  <c r="Z7" i="12"/>
  <c r="C40" i="12"/>
  <c r="H21" i="12"/>
  <c r="L27" i="12"/>
  <c r="D60" i="12"/>
  <c r="E3" i="12"/>
  <c r="AK25" i="12"/>
  <c r="AD12" i="12"/>
  <c r="X11" i="12"/>
  <c r="E5" i="14"/>
  <c r="E25" i="14"/>
  <c r="H11" i="12"/>
  <c r="D27" i="12"/>
  <c r="I3" i="12"/>
  <c r="B3" i="12"/>
  <c r="Y19" i="12"/>
  <c r="Z19" i="12" s="1"/>
  <c r="AK29" i="12"/>
  <c r="AK27" i="12" s="1"/>
  <c r="D45" i="12"/>
  <c r="AK16" i="12"/>
  <c r="AM16" i="12" s="1"/>
  <c r="K3" i="12"/>
  <c r="B8" i="26"/>
  <c r="F6" i="14"/>
  <c r="F26" i="14"/>
  <c r="B39" i="12"/>
  <c r="G8" i="14"/>
  <c r="G28" i="14"/>
  <c r="K28" i="14"/>
  <c r="K38" i="14" s="1"/>
  <c r="B6" i="26"/>
  <c r="F4" i="14"/>
  <c r="F24" i="14"/>
  <c r="B37" i="12"/>
  <c r="E11" i="12"/>
  <c r="AK20" i="12"/>
  <c r="C51" i="12"/>
  <c r="AL11" i="12"/>
  <c r="AM11" i="12" s="1"/>
  <c r="J3" i="12"/>
  <c r="Y29" i="12"/>
  <c r="Z29" i="12" s="1"/>
  <c r="Y23" i="12"/>
  <c r="Z23" i="12" s="1"/>
  <c r="C56" i="12"/>
  <c r="Y4" i="12"/>
  <c r="Z4" i="12" s="1"/>
  <c r="B10" i="26"/>
  <c r="F8" i="14"/>
  <c r="F38" i="14" s="1"/>
  <c r="AD22" i="12"/>
  <c r="X21" i="12"/>
  <c r="AD26" i="12" s="1"/>
  <c r="AC26" i="12" s="1"/>
  <c r="Y18" i="12"/>
  <c r="Z18" i="12" s="1"/>
  <c r="M11" i="12"/>
  <c r="Y17" i="12"/>
  <c r="Z17" i="12" s="1"/>
  <c r="W16" i="12"/>
  <c r="Y16" i="12" s="1"/>
  <c r="C50" i="12"/>
  <c r="R45" i="12"/>
  <c r="X45" i="12" s="1"/>
  <c r="B46" i="12"/>
  <c r="B54" i="12"/>
  <c r="C55" i="12"/>
  <c r="C5" i="14"/>
  <c r="AE15" i="12"/>
  <c r="C25" i="14"/>
  <c r="Z6" i="12"/>
  <c r="H3" i="12"/>
  <c r="B5" i="14"/>
  <c r="B35" i="14" s="1"/>
  <c r="B25" i="14"/>
  <c r="D21" i="12"/>
  <c r="J27" i="12"/>
  <c r="Q40" i="12"/>
  <c r="U40" i="12" s="1"/>
  <c r="V40" i="12" s="1"/>
  <c r="W40" i="12" s="1"/>
  <c r="H27" i="12"/>
  <c r="I5" i="14"/>
  <c r="I35" i="14" s="1"/>
  <c r="I25" i="14"/>
  <c r="Y22" i="12"/>
  <c r="Z22" i="12" s="1"/>
  <c r="W21" i="12"/>
  <c r="I16" i="12"/>
  <c r="AL3" i="12"/>
  <c r="AL30" i="12" s="1"/>
  <c r="D40" i="12"/>
  <c r="B21" i="12"/>
  <c r="M16" i="12"/>
  <c r="Y24" i="12"/>
  <c r="Z24" i="12" s="1"/>
  <c r="Q43" i="12"/>
  <c r="U43" i="12" s="1"/>
  <c r="V43" i="12" s="1"/>
  <c r="W43" i="12" s="1"/>
  <c r="K7" i="14"/>
  <c r="K27" i="14"/>
  <c r="D44" i="12"/>
  <c r="C35" i="14" l="1"/>
  <c r="F37" i="14"/>
  <c r="G35" i="14"/>
  <c r="D35" i="14"/>
  <c r="E35" i="14"/>
  <c r="AM27" i="12"/>
  <c r="E60" i="12"/>
  <c r="M30" i="12"/>
  <c r="AM3" i="12"/>
  <c r="J8" i="14"/>
  <c r="J28" i="14"/>
  <c r="K37" i="14"/>
  <c r="M6" i="14"/>
  <c r="M26" i="14"/>
  <c r="Y21" i="12"/>
  <c r="B51" i="14"/>
  <c r="B59" i="14"/>
  <c r="C39" i="12"/>
  <c r="E44" i="12"/>
  <c r="J3" i="14"/>
  <c r="J23" i="14"/>
  <c r="Q37" i="12"/>
  <c r="W37" i="12" s="1"/>
  <c r="E51" i="14"/>
  <c r="E59" i="14"/>
  <c r="E3" i="14"/>
  <c r="E33" i="14" s="1"/>
  <c r="E23" i="14"/>
  <c r="C4" i="14"/>
  <c r="C24" i="14"/>
  <c r="E45" i="12"/>
  <c r="B42" i="12"/>
  <c r="J6" i="14"/>
  <c r="J26" i="14"/>
  <c r="C53" i="12"/>
  <c r="G6" i="14"/>
  <c r="G26" i="14"/>
  <c r="E7" i="26"/>
  <c r="F51" i="14"/>
  <c r="F59" i="14"/>
  <c r="E8" i="14"/>
  <c r="E28" i="14"/>
  <c r="Y11" i="12"/>
  <c r="C52" i="12"/>
  <c r="H8" i="14"/>
  <c r="H28" i="14"/>
  <c r="F8" i="26"/>
  <c r="I8" i="26" s="1"/>
  <c r="Z16" i="12"/>
  <c r="B52" i="12"/>
  <c r="F34" i="14"/>
  <c r="F36" i="14"/>
  <c r="B3" i="14"/>
  <c r="B23" i="14"/>
  <c r="K35" i="14"/>
  <c r="C57" i="12"/>
  <c r="E7" i="14"/>
  <c r="E27" i="14"/>
  <c r="C3" i="12"/>
  <c r="AA26" i="12"/>
  <c r="R51" i="12"/>
  <c r="X51" i="12" s="1"/>
  <c r="AG27" i="7"/>
  <c r="B6" i="14"/>
  <c r="B26" i="14"/>
  <c r="G3" i="14"/>
  <c r="G23" i="14"/>
  <c r="I34" i="14"/>
  <c r="B8" i="14"/>
  <c r="B28" i="14"/>
  <c r="J4" i="14"/>
  <c r="J24" i="14"/>
  <c r="B58" i="12"/>
  <c r="B47" i="12"/>
  <c r="L8" i="14"/>
  <c r="L28" i="14"/>
  <c r="K6" i="14"/>
  <c r="K36" i="14" s="1"/>
  <c r="K26" i="14"/>
  <c r="B5" i="26"/>
  <c r="F3" i="14"/>
  <c r="F23" i="14"/>
  <c r="G51" i="14"/>
  <c r="G59" i="14"/>
  <c r="D3" i="14"/>
  <c r="D23" i="14"/>
  <c r="C6" i="14"/>
  <c r="C26" i="14"/>
  <c r="E50" i="12"/>
  <c r="B4" i="14"/>
  <c r="B24" i="14"/>
  <c r="C38" i="14"/>
  <c r="M35" i="14"/>
  <c r="B2" i="8" a="1"/>
  <c r="D54" i="12"/>
  <c r="Q59" i="12"/>
  <c r="W59" i="12" s="1"/>
  <c r="W5" i="12"/>
  <c r="V31" i="12"/>
  <c r="AK21" i="12"/>
  <c r="AM21" i="12" s="1"/>
  <c r="L4" i="14"/>
  <c r="L34" i="14" s="1"/>
  <c r="L24" i="14"/>
  <c r="I8" i="14"/>
  <c r="I28" i="14"/>
  <c r="E52" i="12"/>
  <c r="E4" i="14"/>
  <c r="E24" i="14"/>
  <c r="I3" i="14"/>
  <c r="I23" i="14"/>
  <c r="L51" i="14"/>
  <c r="L59" i="14"/>
  <c r="D7" i="14"/>
  <c r="D27" i="14"/>
  <c r="R40" i="12"/>
  <c r="X40" i="12" s="1"/>
  <c r="C43" i="12"/>
  <c r="R55" i="12"/>
  <c r="X55" i="12" s="1"/>
  <c r="D6" i="14"/>
  <c r="D26" i="14"/>
  <c r="C46" i="12"/>
  <c r="I53" i="14"/>
  <c r="I61" i="14"/>
  <c r="Q60" i="12"/>
  <c r="U60" i="12" s="1"/>
  <c r="V60" i="12" s="1"/>
  <c r="W60" i="12" s="1"/>
  <c r="E59" i="12"/>
  <c r="K4" i="14"/>
  <c r="K24" i="14"/>
  <c r="C35" i="12"/>
  <c r="D56" i="12"/>
  <c r="R44" i="12"/>
  <c r="X44" i="12" s="1"/>
  <c r="M4" i="14"/>
  <c r="M34" i="14" s="1"/>
  <c r="M24" i="14"/>
  <c r="H4" i="14"/>
  <c r="H24" i="14"/>
  <c r="H7" i="14"/>
  <c r="H37" i="14" s="1"/>
  <c r="H27" i="14"/>
  <c r="J35" i="14"/>
  <c r="L37" i="14"/>
  <c r="B34" i="12"/>
  <c r="H35" i="14"/>
  <c r="Q51" i="12"/>
  <c r="U51" i="12" s="1"/>
  <c r="V51" i="12" s="1"/>
  <c r="W51" i="12" s="1"/>
  <c r="Y27" i="12"/>
  <c r="D49" i="12"/>
  <c r="M8" i="14"/>
  <c r="M28" i="14"/>
  <c r="J7" i="14"/>
  <c r="J27" i="14"/>
  <c r="F50" i="12"/>
  <c r="P50" i="12" s="1"/>
  <c r="S50" i="12" s="1"/>
  <c r="D55" i="12"/>
  <c r="I59" i="14"/>
  <c r="I51" i="14"/>
  <c r="K62" i="14"/>
  <c r="K54" i="14"/>
  <c r="Q35" i="12"/>
  <c r="B7" i="14"/>
  <c r="B27" i="14"/>
  <c r="K3" i="14"/>
  <c r="K23" i="14"/>
  <c r="R59" i="12"/>
  <c r="X59" i="12" s="1"/>
  <c r="E6" i="14"/>
  <c r="E26" i="14"/>
  <c r="L6" i="14"/>
  <c r="L26" i="14"/>
  <c r="E9" i="26"/>
  <c r="F53" i="14"/>
  <c r="F61" i="14"/>
  <c r="E51" i="12"/>
  <c r="M3" i="14"/>
  <c r="M23" i="14"/>
  <c r="H6" i="14"/>
  <c r="H26" i="14"/>
  <c r="L3" i="14"/>
  <c r="L23" i="14"/>
  <c r="C7" i="14"/>
  <c r="C27" i="14"/>
  <c r="Q38" i="12"/>
  <c r="U38" i="12" s="1"/>
  <c r="V38" i="12" s="1"/>
  <c r="W38" i="12" s="1"/>
  <c r="H3" i="14"/>
  <c r="H23" i="14"/>
  <c r="C51" i="14"/>
  <c r="C59" i="14"/>
  <c r="F40" i="12"/>
  <c r="P40" i="12" s="1"/>
  <c r="S40" i="12" s="1"/>
  <c r="Q5" i="14"/>
  <c r="Q25" i="14"/>
  <c r="I6" i="14"/>
  <c r="I26" i="14"/>
  <c r="Y40" i="12"/>
  <c r="E10" i="26"/>
  <c r="F54" i="14"/>
  <c r="F62" i="14"/>
  <c r="Q44" i="12"/>
  <c r="U44" i="12" s="1"/>
  <c r="V44" i="12" s="1"/>
  <c r="W44" i="12" s="1"/>
  <c r="Y44" i="12" s="1"/>
  <c r="D52" i="12"/>
  <c r="G38" i="14"/>
  <c r="D8" i="14"/>
  <c r="D28" i="14"/>
  <c r="AI26" i="7"/>
  <c r="AK26" i="7" s="1"/>
  <c r="Q45" i="12"/>
  <c r="U45" i="12" s="1"/>
  <c r="V45" i="12" s="1"/>
  <c r="W45" i="12" s="1"/>
  <c r="Y45" i="12" s="1"/>
  <c r="G7" i="14"/>
  <c r="G27" i="14"/>
  <c r="G4" i="14"/>
  <c r="G24" i="14"/>
  <c r="D4" i="14"/>
  <c r="D34" i="14" s="1"/>
  <c r="D24" i="14"/>
  <c r="R50" i="12"/>
  <c r="X50" i="12" s="1"/>
  <c r="Y50" i="12" s="1"/>
  <c r="Z50" i="12" s="1"/>
  <c r="D51" i="14"/>
  <c r="D59" i="14"/>
  <c r="M7" i="14"/>
  <c r="M27" i="14"/>
  <c r="M37" i="14" l="1"/>
  <c r="M61" i="14" s="1"/>
  <c r="C37" i="14"/>
  <c r="H34" i="14"/>
  <c r="M36" i="14"/>
  <c r="J33" i="14"/>
  <c r="J34" i="14"/>
  <c r="Z40" i="12"/>
  <c r="J37" i="14"/>
  <c r="J53" i="14" s="1"/>
  <c r="D37" i="14"/>
  <c r="D61" i="14" s="1"/>
  <c r="J38" i="14"/>
  <c r="D47" i="12"/>
  <c r="X13" i="8"/>
  <c r="P13" i="8"/>
  <c r="H13" i="8"/>
  <c r="AD12" i="8"/>
  <c r="V12" i="8"/>
  <c r="N12" i="8"/>
  <c r="F12" i="8"/>
  <c r="AB11" i="8"/>
  <c r="T11" i="8"/>
  <c r="L11" i="8"/>
  <c r="D11" i="8"/>
  <c r="Z10" i="8"/>
  <c r="R10" i="8"/>
  <c r="J10" i="8"/>
  <c r="B10" i="8"/>
  <c r="X9" i="8"/>
  <c r="P9" i="8"/>
  <c r="H9" i="8"/>
  <c r="AD8" i="8"/>
  <c r="V8" i="8"/>
  <c r="N8" i="8"/>
  <c r="F8" i="8"/>
  <c r="AB7" i="8"/>
  <c r="T7" i="8"/>
  <c r="L7" i="8"/>
  <c r="D7" i="8"/>
  <c r="Z6" i="8"/>
  <c r="R6" i="8"/>
  <c r="J6" i="8"/>
  <c r="B6" i="8"/>
  <c r="X5" i="8"/>
  <c r="P5" i="8"/>
  <c r="H5" i="8"/>
  <c r="AD4" i="8"/>
  <c r="V4" i="8"/>
  <c r="N4" i="8"/>
  <c r="F4" i="8"/>
  <c r="AB3" i="8"/>
  <c r="T3" i="8"/>
  <c r="L3" i="8"/>
  <c r="D3" i="8"/>
  <c r="Z2" i="8"/>
  <c r="R2" i="8"/>
  <c r="J2" i="8"/>
  <c r="AE13" i="8"/>
  <c r="W13" i="8"/>
  <c r="O13" i="8"/>
  <c r="G13" i="8"/>
  <c r="AC12" i="8"/>
  <c r="U12" i="8"/>
  <c r="M12" i="8"/>
  <c r="E12" i="8"/>
  <c r="AA11" i="8"/>
  <c r="S11" i="8"/>
  <c r="K11" i="8"/>
  <c r="C11" i="8"/>
  <c r="Y10" i="8"/>
  <c r="Q10" i="8"/>
  <c r="I10" i="8"/>
  <c r="AE9" i="8"/>
  <c r="W9" i="8"/>
  <c r="O9" i="8"/>
  <c r="G9" i="8"/>
  <c r="AC8" i="8"/>
  <c r="U8" i="8"/>
  <c r="M8" i="8"/>
  <c r="E8" i="8"/>
  <c r="AA7" i="8"/>
  <c r="S7" i="8"/>
  <c r="K7" i="8"/>
  <c r="C7" i="8"/>
  <c r="Y6" i="8"/>
  <c r="Q6" i="8"/>
  <c r="I6" i="8"/>
  <c r="AE5" i="8"/>
  <c r="W5" i="8"/>
  <c r="O5" i="8"/>
  <c r="G5" i="8"/>
  <c r="AC4" i="8"/>
  <c r="U4" i="8"/>
  <c r="M4" i="8"/>
  <c r="E4" i="8"/>
  <c r="AA3" i="8"/>
  <c r="S3" i="8"/>
  <c r="K3" i="8"/>
  <c r="C3" i="8"/>
  <c r="Y2" i="8"/>
  <c r="Q2" i="8"/>
  <c r="I2" i="8"/>
  <c r="B2" i="8"/>
  <c r="AD13" i="8"/>
  <c r="V13" i="8"/>
  <c r="N13" i="8"/>
  <c r="F13" i="8"/>
  <c r="AB12" i="8"/>
  <c r="T12" i="8"/>
  <c r="L12" i="8"/>
  <c r="D12" i="8"/>
  <c r="Z11" i="8"/>
  <c r="R11" i="8"/>
  <c r="J11" i="8"/>
  <c r="B11" i="8"/>
  <c r="X10" i="8"/>
  <c r="P10" i="8"/>
  <c r="H10" i="8"/>
  <c r="AD9" i="8"/>
  <c r="V9" i="8"/>
  <c r="N9" i="8"/>
  <c r="F9" i="8"/>
  <c r="AB8" i="8"/>
  <c r="T8" i="8"/>
  <c r="L8" i="8"/>
  <c r="D8" i="8"/>
  <c r="Z7" i="8"/>
  <c r="R7" i="8"/>
  <c r="J7" i="8"/>
  <c r="B7" i="8"/>
  <c r="X6" i="8"/>
  <c r="P6" i="8"/>
  <c r="H6" i="8"/>
  <c r="AD5" i="8"/>
  <c r="V5" i="8"/>
  <c r="N5" i="8"/>
  <c r="F5" i="8"/>
  <c r="AB4" i="8"/>
  <c r="T4" i="8"/>
  <c r="L4" i="8"/>
  <c r="D4" i="8"/>
  <c r="Z3" i="8"/>
  <c r="R3" i="8"/>
  <c r="J3" i="8"/>
  <c r="B3" i="8"/>
  <c r="X2" i="8"/>
  <c r="P2" i="8"/>
  <c r="H2" i="8"/>
  <c r="AC13" i="8"/>
  <c r="U13" i="8"/>
  <c r="M13" i="8"/>
  <c r="E13" i="8"/>
  <c r="AA12" i="8"/>
  <c r="S12" i="8"/>
  <c r="K12" i="8"/>
  <c r="C12" i="8"/>
  <c r="Y11" i="8"/>
  <c r="Q11" i="8"/>
  <c r="I11" i="8"/>
  <c r="AE10" i="8"/>
  <c r="W10" i="8"/>
  <c r="O10" i="8"/>
  <c r="G10" i="8"/>
  <c r="AC9" i="8"/>
  <c r="U9" i="8"/>
  <c r="M9" i="8"/>
  <c r="E9" i="8"/>
  <c r="AA8" i="8"/>
  <c r="S8" i="8"/>
  <c r="K8" i="8"/>
  <c r="C8" i="8"/>
  <c r="Y7" i="8"/>
  <c r="Q7" i="8"/>
  <c r="I7" i="8"/>
  <c r="AE6" i="8"/>
  <c r="W6" i="8"/>
  <c r="O6" i="8"/>
  <c r="G6" i="8"/>
  <c r="AC5" i="8"/>
  <c r="U5" i="8"/>
  <c r="M5" i="8"/>
  <c r="E5" i="8"/>
  <c r="AA4" i="8"/>
  <c r="S4" i="8"/>
  <c r="K4" i="8"/>
  <c r="C4" i="8"/>
  <c r="Y3" i="8"/>
  <c r="Q3" i="8"/>
  <c r="I3" i="8"/>
  <c r="AE2" i="8"/>
  <c r="W2" i="8"/>
  <c r="O2" i="8"/>
  <c r="G2" i="8"/>
  <c r="AB13" i="8"/>
  <c r="T13" i="8"/>
  <c r="L13" i="8"/>
  <c r="D13" i="8"/>
  <c r="Z12" i="8"/>
  <c r="R12" i="8"/>
  <c r="J12" i="8"/>
  <c r="B12" i="8"/>
  <c r="X11" i="8"/>
  <c r="P11" i="8"/>
  <c r="H11" i="8"/>
  <c r="AD10" i="8"/>
  <c r="V10" i="8"/>
  <c r="N10" i="8"/>
  <c r="F10" i="8"/>
  <c r="AB9" i="8"/>
  <c r="T9" i="8"/>
  <c r="L9" i="8"/>
  <c r="D9" i="8"/>
  <c r="Z8" i="8"/>
  <c r="R8" i="8"/>
  <c r="J8" i="8"/>
  <c r="B8" i="8"/>
  <c r="X7" i="8"/>
  <c r="P7" i="8"/>
  <c r="H7" i="8"/>
  <c r="AD6" i="8"/>
  <c r="V6" i="8"/>
  <c r="N6" i="8"/>
  <c r="F6" i="8"/>
  <c r="AB5" i="8"/>
  <c r="T5" i="8"/>
  <c r="L5" i="8"/>
  <c r="D5" i="8"/>
  <c r="Z4" i="8"/>
  <c r="R4" i="8"/>
  <c r="J4" i="8"/>
  <c r="B4" i="8"/>
  <c r="X3" i="8"/>
  <c r="P3" i="8"/>
  <c r="H3" i="8"/>
  <c r="AD2" i="8"/>
  <c r="V2" i="8"/>
  <c r="N2" i="8"/>
  <c r="F2" i="8"/>
  <c r="AA13" i="8"/>
  <c r="S13" i="8"/>
  <c r="K13" i="8"/>
  <c r="C13" i="8"/>
  <c r="Y12" i="8"/>
  <c r="Q12" i="8"/>
  <c r="I12" i="8"/>
  <c r="AE11" i="8"/>
  <c r="W11" i="8"/>
  <c r="O11" i="8"/>
  <c r="G11" i="8"/>
  <c r="AC10" i="8"/>
  <c r="U10" i="8"/>
  <c r="M10" i="8"/>
  <c r="E10" i="8"/>
  <c r="AA9" i="8"/>
  <c r="S9" i="8"/>
  <c r="K9" i="8"/>
  <c r="C9" i="8"/>
  <c r="Y8" i="8"/>
  <c r="Q8" i="8"/>
  <c r="I8" i="8"/>
  <c r="AE7" i="8"/>
  <c r="W7" i="8"/>
  <c r="O7" i="8"/>
  <c r="G7" i="8"/>
  <c r="AC6" i="8"/>
  <c r="U6" i="8"/>
  <c r="M6" i="8"/>
  <c r="E6" i="8"/>
  <c r="AA5" i="8"/>
  <c r="S5" i="8"/>
  <c r="K5" i="8"/>
  <c r="C5" i="8"/>
  <c r="Y4" i="8"/>
  <c r="Q4" i="8"/>
  <c r="I4" i="8"/>
  <c r="AE3" i="8"/>
  <c r="W3" i="8"/>
  <c r="O3" i="8"/>
  <c r="G3" i="8"/>
  <c r="AC2" i="8"/>
  <c r="U2" i="8"/>
  <c r="M2" i="8"/>
  <c r="E2" i="8"/>
  <c r="B13" i="8"/>
  <c r="AD11" i="8"/>
  <c r="AB10" i="8"/>
  <c r="Z9" i="8"/>
  <c r="X8" i="8"/>
  <c r="V7" i="8"/>
  <c r="T6" i="8"/>
  <c r="R5" i="8"/>
  <c r="P4" i="8"/>
  <c r="N3" i="8"/>
  <c r="L2" i="8"/>
  <c r="Z13" i="8"/>
  <c r="X12" i="8"/>
  <c r="V11" i="8"/>
  <c r="T10" i="8"/>
  <c r="R9" i="8"/>
  <c r="P8" i="8"/>
  <c r="N7" i="8"/>
  <c r="L6" i="8"/>
  <c r="J5" i="8"/>
  <c r="H4" i="8"/>
  <c r="F3" i="8"/>
  <c r="D2" i="8"/>
  <c r="Y13" i="8"/>
  <c r="W12" i="8"/>
  <c r="U11" i="8"/>
  <c r="S10" i="8"/>
  <c r="Q9" i="8"/>
  <c r="O8" i="8"/>
  <c r="M7" i="8"/>
  <c r="K6" i="8"/>
  <c r="I5" i="8"/>
  <c r="G4" i="8"/>
  <c r="E3" i="8"/>
  <c r="C2" i="8"/>
  <c r="R13" i="8"/>
  <c r="P12" i="8"/>
  <c r="N11" i="8"/>
  <c r="L10" i="8"/>
  <c r="J9" i="8"/>
  <c r="H8" i="8"/>
  <c r="F7" i="8"/>
  <c r="D6" i="8"/>
  <c r="B5" i="8"/>
  <c r="AD3" i="8"/>
  <c r="AB2" i="8"/>
  <c r="Q13" i="8"/>
  <c r="O12" i="8"/>
  <c r="M11" i="8"/>
  <c r="K10" i="8"/>
  <c r="I9" i="8"/>
  <c r="G8" i="8"/>
  <c r="E7" i="8"/>
  <c r="C6" i="8"/>
  <c r="AE4" i="8"/>
  <c r="AC3" i="8"/>
  <c r="AA2" i="8"/>
  <c r="J13" i="8"/>
  <c r="H12" i="8"/>
  <c r="F11" i="8"/>
  <c r="D10" i="8"/>
  <c r="B9" i="8"/>
  <c r="AD7" i="8"/>
  <c r="AB6" i="8"/>
  <c r="Z5" i="8"/>
  <c r="X4" i="8"/>
  <c r="V3" i="8"/>
  <c r="T2" i="8"/>
  <c r="E11" i="8"/>
  <c r="AA6" i="8"/>
  <c r="S2" i="8"/>
  <c r="AA10" i="8"/>
  <c r="S6" i="8"/>
  <c r="K2" i="8"/>
  <c r="C10" i="8"/>
  <c r="Y5" i="8"/>
  <c r="Y9" i="8"/>
  <c r="Q5" i="8"/>
  <c r="I13" i="8"/>
  <c r="AE8" i="8"/>
  <c r="W4" i="8"/>
  <c r="AE12" i="8"/>
  <c r="W8" i="8"/>
  <c r="O4" i="8"/>
  <c r="G12" i="8"/>
  <c r="AC7" i="8"/>
  <c r="U3" i="8"/>
  <c r="AC11" i="8"/>
  <c r="U7" i="8"/>
  <c r="M3" i="8"/>
  <c r="F38" i="12"/>
  <c r="P38" i="12" s="1"/>
  <c r="S38" i="12" s="1"/>
  <c r="M52" i="14"/>
  <c r="M60" i="14"/>
  <c r="D33" i="14"/>
  <c r="Q8" i="14"/>
  <c r="Q28" i="14"/>
  <c r="G36" i="14"/>
  <c r="J36" i="14"/>
  <c r="W42" i="12"/>
  <c r="E38" i="12"/>
  <c r="K30" i="12"/>
  <c r="L33" i="14"/>
  <c r="L36" i="14"/>
  <c r="E36" i="14"/>
  <c r="Q41" i="12"/>
  <c r="U41" i="12" s="1"/>
  <c r="V41" i="12" s="1"/>
  <c r="W41" i="12" s="1"/>
  <c r="L38" i="14"/>
  <c r="G33" i="14"/>
  <c r="E6" i="26"/>
  <c r="F58" i="14"/>
  <c r="F50" i="14"/>
  <c r="E30" i="12"/>
  <c r="F6" i="26"/>
  <c r="I6" i="26" s="1"/>
  <c r="Z11" i="12"/>
  <c r="E48" i="12"/>
  <c r="U35" i="12"/>
  <c r="F51" i="12"/>
  <c r="P51" i="12" s="1"/>
  <c r="S51" i="12" s="1"/>
  <c r="F60" i="12"/>
  <c r="P60" i="12" s="1"/>
  <c r="S60" i="12" s="1"/>
  <c r="K33" i="14"/>
  <c r="M38" i="14"/>
  <c r="Y51" i="12"/>
  <c r="S7" i="14"/>
  <c r="S37" i="14" s="1"/>
  <c r="S27" i="14"/>
  <c r="D37" i="12"/>
  <c r="L61" i="14"/>
  <c r="L53" i="14"/>
  <c r="H53" i="14"/>
  <c r="H61" i="14"/>
  <c r="M50" i="14"/>
  <c r="M58" i="14"/>
  <c r="G40" i="12"/>
  <c r="E41" i="12"/>
  <c r="R5" i="14"/>
  <c r="R35" i="14" s="1"/>
  <c r="R25" i="14"/>
  <c r="L50" i="14"/>
  <c r="L58" i="14"/>
  <c r="F30" i="12"/>
  <c r="R39" i="12"/>
  <c r="X39" i="12" s="1"/>
  <c r="K51" i="14"/>
  <c r="K59" i="14"/>
  <c r="E8" i="26"/>
  <c r="F60" i="14"/>
  <c r="F52" i="14"/>
  <c r="R48" i="12"/>
  <c r="J49" i="14"/>
  <c r="J57" i="14"/>
  <c r="K53" i="14"/>
  <c r="K61" i="14"/>
  <c r="G50" i="12"/>
  <c r="D35" i="12"/>
  <c r="E56" i="12"/>
  <c r="AI27" i="7"/>
  <c r="Q35" i="14"/>
  <c r="H33" i="14"/>
  <c r="D30" i="12"/>
  <c r="H59" i="14"/>
  <c r="N59" i="14" s="1"/>
  <c r="H51" i="14"/>
  <c r="N51" i="14" s="1"/>
  <c r="K34" i="14"/>
  <c r="I33" i="14"/>
  <c r="I38" i="14"/>
  <c r="Y5" i="12"/>
  <c r="Z5" i="12" s="1"/>
  <c r="W3" i="12"/>
  <c r="Y3" i="12" s="1"/>
  <c r="W31" i="12"/>
  <c r="Y31" i="12" s="1"/>
  <c r="F11" i="26" s="1"/>
  <c r="M51" i="14"/>
  <c r="M59" i="14"/>
  <c r="Q54" i="12"/>
  <c r="W54" i="12" s="1"/>
  <c r="F33" i="14"/>
  <c r="B38" i="14"/>
  <c r="B36" i="14"/>
  <c r="I30" i="12"/>
  <c r="E37" i="14"/>
  <c r="B33" i="14"/>
  <c r="H38" i="14"/>
  <c r="C58" i="12"/>
  <c r="E38" i="14"/>
  <c r="F9" i="26"/>
  <c r="I9" i="26" s="1"/>
  <c r="Z21" i="12"/>
  <c r="AK30" i="12"/>
  <c r="K52" i="14"/>
  <c r="K60" i="14"/>
  <c r="AG28" i="7"/>
  <c r="AK27" i="7"/>
  <c r="E54" i="12"/>
  <c r="J58" i="14"/>
  <c r="J50" i="14"/>
  <c r="I50" i="14"/>
  <c r="I58" i="14"/>
  <c r="D53" i="12"/>
  <c r="Q7" i="14"/>
  <c r="Q27" i="14"/>
  <c r="R7" i="14"/>
  <c r="R27" i="14"/>
  <c r="Q4" i="14"/>
  <c r="Q34" i="14" s="1"/>
  <c r="Q24" i="14"/>
  <c r="E57" i="14"/>
  <c r="E49" i="14"/>
  <c r="J62" i="14"/>
  <c r="J54" i="14"/>
  <c r="C3" i="14"/>
  <c r="C23" i="14"/>
  <c r="M9" i="14"/>
  <c r="M39" i="14" s="1"/>
  <c r="M29" i="14"/>
  <c r="B30" i="12"/>
  <c r="G37" i="14"/>
  <c r="R60" i="12"/>
  <c r="X60" i="12" s="1"/>
  <c r="Y60" i="12" s="1"/>
  <c r="Z60" i="12" s="1"/>
  <c r="H36" i="14"/>
  <c r="D50" i="14"/>
  <c r="D58" i="14"/>
  <c r="R53" i="12"/>
  <c r="X53" i="12" s="1"/>
  <c r="G34" i="14"/>
  <c r="F45" i="12"/>
  <c r="P45" i="12" s="1"/>
  <c r="S45" i="12" s="1"/>
  <c r="D38" i="14"/>
  <c r="D43" i="12"/>
  <c r="Q57" i="12"/>
  <c r="U57" i="12" s="1"/>
  <c r="V57" i="12" s="1"/>
  <c r="W57" i="12" s="1"/>
  <c r="E57" i="12"/>
  <c r="F10" i="26"/>
  <c r="I10" i="26" s="1"/>
  <c r="Z27" i="12"/>
  <c r="J51" i="14"/>
  <c r="J59" i="14"/>
  <c r="J30" i="12"/>
  <c r="R49" i="12"/>
  <c r="X49" i="12" s="1"/>
  <c r="Q6" i="14"/>
  <c r="Q26" i="14"/>
  <c r="G30" i="12"/>
  <c r="C34" i="14"/>
  <c r="C42" i="12"/>
  <c r="R38" i="12"/>
  <c r="X38" i="12" s="1"/>
  <c r="Y38" i="12" s="1"/>
  <c r="Z38" i="12" s="1"/>
  <c r="Z44" i="12"/>
  <c r="Q55" i="12"/>
  <c r="U55" i="12" s="1"/>
  <c r="V55" i="12" s="1"/>
  <c r="W55" i="12" s="1"/>
  <c r="Y55" i="12" s="1"/>
  <c r="C53" i="14"/>
  <c r="C61" i="14"/>
  <c r="Q3" i="14"/>
  <c r="Q33" i="14" s="1"/>
  <c r="Q23" i="14"/>
  <c r="J61" i="14"/>
  <c r="H50" i="14"/>
  <c r="H58" i="14"/>
  <c r="Q49" i="12"/>
  <c r="U49" i="12" s="1"/>
  <c r="V49" i="12" s="1"/>
  <c r="W49" i="12" s="1"/>
  <c r="F59" i="12"/>
  <c r="P59" i="12" s="1"/>
  <c r="S59" i="12" s="1"/>
  <c r="C62" i="14"/>
  <c r="C54" i="14"/>
  <c r="F52" i="12"/>
  <c r="D57" i="12"/>
  <c r="E49" i="12"/>
  <c r="C34" i="12"/>
  <c r="E34" i="14"/>
  <c r="H30" i="12"/>
  <c r="G54" i="14"/>
  <c r="G62" i="14"/>
  <c r="F44" i="12"/>
  <c r="P44" i="12" s="1"/>
  <c r="S44" i="12" s="1"/>
  <c r="D39" i="12"/>
  <c r="I36" i="14"/>
  <c r="E55" i="12"/>
  <c r="M33" i="14"/>
  <c r="B37" i="14"/>
  <c r="C47" i="12"/>
  <c r="D41" i="12"/>
  <c r="D36" i="12"/>
  <c r="D36" i="14"/>
  <c r="T7" i="14"/>
  <c r="T37" i="14" s="1"/>
  <c r="T27" i="14"/>
  <c r="Y59" i="12"/>
  <c r="W58" i="12"/>
  <c r="B34" i="14"/>
  <c r="D46" i="12"/>
  <c r="C36" i="14"/>
  <c r="R56" i="12"/>
  <c r="X56" i="12" s="1"/>
  <c r="Q56" i="12"/>
  <c r="U56" i="12" s="1"/>
  <c r="V56" i="12" s="1"/>
  <c r="W56" i="12" s="1"/>
  <c r="Y56" i="12" s="1"/>
  <c r="R54" i="12"/>
  <c r="X54" i="12" s="1"/>
  <c r="L30" i="12"/>
  <c r="D53" i="14" l="1"/>
  <c r="M53" i="14"/>
  <c r="Z59" i="12"/>
  <c r="Q36" i="14"/>
  <c r="Z45" i="12"/>
  <c r="E47" i="12"/>
  <c r="H40" i="12"/>
  <c r="G59" i="12"/>
  <c r="B19" i="26"/>
  <c r="U7" i="14"/>
  <c r="U27" i="14"/>
  <c r="F55" i="12"/>
  <c r="P55" i="12" s="1"/>
  <c r="S55" i="12" s="1"/>
  <c r="S53" i="14"/>
  <c r="S61" i="14"/>
  <c r="E53" i="12"/>
  <c r="J9" i="14"/>
  <c r="J29" i="14"/>
  <c r="R37" i="14"/>
  <c r="AL31" i="12"/>
  <c r="AM30" i="12"/>
  <c r="I49" i="14"/>
  <c r="I57" i="14"/>
  <c r="J52" i="14"/>
  <c r="J60" i="14"/>
  <c r="M57" i="14"/>
  <c r="M49" i="14"/>
  <c r="R46" i="12"/>
  <c r="X46" i="12" s="1"/>
  <c r="Z55" i="12"/>
  <c r="Q53" i="12"/>
  <c r="W53" i="12" s="1"/>
  <c r="G44" i="12"/>
  <c r="H52" i="14"/>
  <c r="H60" i="14"/>
  <c r="AG29" i="7"/>
  <c r="H54" i="14"/>
  <c r="H62" i="14"/>
  <c r="G52" i="12"/>
  <c r="I11" i="26"/>
  <c r="R41" i="12"/>
  <c r="X41" i="12" s="1"/>
  <c r="Y41" i="12" s="1"/>
  <c r="G45" i="12"/>
  <c r="F48" i="12"/>
  <c r="P48" i="12" s="1"/>
  <c r="S48" i="12" s="1"/>
  <c r="V35" i="12"/>
  <c r="E52" i="14"/>
  <c r="E60" i="14"/>
  <c r="G60" i="14"/>
  <c r="G52" i="14"/>
  <c r="Q38" i="14"/>
  <c r="C52" i="14"/>
  <c r="C60" i="14"/>
  <c r="Q60" i="14"/>
  <c r="Q52" i="14"/>
  <c r="G61" i="14"/>
  <c r="G53" i="14"/>
  <c r="Q37" i="14"/>
  <c r="B49" i="14"/>
  <c r="B57" i="14"/>
  <c r="E5" i="26"/>
  <c r="F49" i="14"/>
  <c r="F57" i="14"/>
  <c r="F5" i="26"/>
  <c r="I5" i="26" s="1"/>
  <c r="Z3" i="12"/>
  <c r="E37" i="12"/>
  <c r="H57" i="14"/>
  <c r="H49" i="14"/>
  <c r="E36" i="12"/>
  <c r="L52" i="14"/>
  <c r="L60" i="14"/>
  <c r="R6" i="14"/>
  <c r="R26" i="14"/>
  <c r="S5" i="14"/>
  <c r="S25" i="14"/>
  <c r="H9" i="14"/>
  <c r="H29" i="14"/>
  <c r="Y49" i="12"/>
  <c r="Z49" i="12" s="1"/>
  <c r="W47" i="12"/>
  <c r="I9" i="14"/>
  <c r="I29" i="14"/>
  <c r="R37" i="12"/>
  <c r="X37" i="12" s="1"/>
  <c r="Y37" i="12" s="1"/>
  <c r="Q51" i="14"/>
  <c r="Q59" i="14"/>
  <c r="D58" i="12"/>
  <c r="R36" i="12"/>
  <c r="X36" i="12" s="1"/>
  <c r="Y36" i="12" s="1"/>
  <c r="L57" i="14"/>
  <c r="L49" i="14"/>
  <c r="D57" i="14"/>
  <c r="D49" i="14"/>
  <c r="S6" i="14"/>
  <c r="S26" i="14"/>
  <c r="G50" i="14"/>
  <c r="G58" i="14"/>
  <c r="L54" i="14"/>
  <c r="L62" i="14"/>
  <c r="D52" i="14"/>
  <c r="D60" i="14"/>
  <c r="L9" i="14"/>
  <c r="L29" i="14"/>
  <c r="F56" i="12"/>
  <c r="P56" i="12" s="1"/>
  <c r="S56" i="12" s="1"/>
  <c r="D42" i="12"/>
  <c r="Q46" i="12"/>
  <c r="U46" i="12" s="1"/>
  <c r="V46" i="12" s="1"/>
  <c r="W46" i="12" s="1"/>
  <c r="Y46" i="12" s="1"/>
  <c r="R3" i="14"/>
  <c r="R23" i="14"/>
  <c r="F49" i="12"/>
  <c r="P49" i="12" s="1"/>
  <c r="S49" i="12" s="1"/>
  <c r="B53" i="14"/>
  <c r="B61" i="14"/>
  <c r="E46" i="12"/>
  <c r="Q39" i="12"/>
  <c r="G9" i="14"/>
  <c r="G29" i="14"/>
  <c r="E43" i="12"/>
  <c r="D54" i="14"/>
  <c r="D62" i="14"/>
  <c r="B9" i="14"/>
  <c r="B39" i="14" s="1"/>
  <c r="B29" i="14"/>
  <c r="B58" i="14"/>
  <c r="B50" i="14"/>
  <c r="I60" i="14"/>
  <c r="I52" i="14"/>
  <c r="E58" i="14"/>
  <c r="E50" i="14"/>
  <c r="E39" i="12"/>
  <c r="R4" i="14"/>
  <c r="R24" i="14"/>
  <c r="C58" i="14"/>
  <c r="C50" i="14"/>
  <c r="R43" i="12"/>
  <c r="X43" i="12" s="1"/>
  <c r="X58" i="12"/>
  <c r="Y58" i="12" s="1"/>
  <c r="C33" i="14"/>
  <c r="F54" i="12"/>
  <c r="P54" i="12" s="1"/>
  <c r="S54" i="12" s="1"/>
  <c r="I54" i="14"/>
  <c r="I62" i="14"/>
  <c r="AI28" i="7"/>
  <c r="AK28" i="7" s="1"/>
  <c r="R59" i="14"/>
  <c r="R51" i="14"/>
  <c r="Z51" i="12"/>
  <c r="G57" i="14"/>
  <c r="G49" i="14"/>
  <c r="K9" i="14"/>
  <c r="K29" i="14"/>
  <c r="E35" i="12"/>
  <c r="G60" i="12"/>
  <c r="G51" i="12"/>
  <c r="E62" i="14"/>
  <c r="E54" i="14"/>
  <c r="E61" i="14"/>
  <c r="E53" i="14"/>
  <c r="B52" i="14"/>
  <c r="N52" i="14" s="1"/>
  <c r="B60" i="14"/>
  <c r="N60" i="14" s="1"/>
  <c r="Y54" i="12"/>
  <c r="K58" i="14"/>
  <c r="K50" i="14"/>
  <c r="B61" i="12"/>
  <c r="X48" i="12"/>
  <c r="B11" i="26"/>
  <c r="J11" i="26" s="1"/>
  <c r="F9" i="14"/>
  <c r="F29" i="14"/>
  <c r="R57" i="12"/>
  <c r="M54" i="14"/>
  <c r="M62" i="14"/>
  <c r="R35" i="12"/>
  <c r="T53" i="14"/>
  <c r="T61" i="14"/>
  <c r="Q49" i="14"/>
  <c r="Q57" i="14"/>
  <c r="D34" i="12"/>
  <c r="F57" i="12"/>
  <c r="P57" i="12" s="1"/>
  <c r="S57" i="12" s="1"/>
  <c r="M55" i="14"/>
  <c r="M63" i="14"/>
  <c r="C30" i="12"/>
  <c r="Q50" i="14"/>
  <c r="Q58" i="14"/>
  <c r="R8" i="14"/>
  <c r="R28" i="14"/>
  <c r="B62" i="14"/>
  <c r="B54" i="14"/>
  <c r="N54" i="14" s="1"/>
  <c r="D9" i="14"/>
  <c r="D39" i="14" s="1"/>
  <c r="AJ30" i="12"/>
  <c r="D29" i="14"/>
  <c r="K49" i="14"/>
  <c r="K57" i="14"/>
  <c r="E9" i="14"/>
  <c r="E39" i="14" s="1"/>
  <c r="E29" i="14"/>
  <c r="F41" i="12"/>
  <c r="P41" i="12" s="1"/>
  <c r="S41" i="12" s="1"/>
  <c r="Z41" i="12" l="1"/>
  <c r="I39" i="14"/>
  <c r="R36" i="14"/>
  <c r="F39" i="14"/>
  <c r="F55" i="14" s="1"/>
  <c r="Z54" i="12"/>
  <c r="I40" i="12"/>
  <c r="F47" i="12"/>
  <c r="G41" i="12"/>
  <c r="E11" i="26"/>
  <c r="F63" i="14"/>
  <c r="R38" i="14"/>
  <c r="F37" i="12"/>
  <c r="P37" i="12" s="1"/>
  <c r="S37" i="12" s="1"/>
  <c r="F35" i="12"/>
  <c r="P35" i="12" s="1"/>
  <c r="S35" i="12" s="1"/>
  <c r="AI29" i="7"/>
  <c r="R34" i="14"/>
  <c r="N58" i="14"/>
  <c r="F39" i="12"/>
  <c r="P39" i="12" s="1"/>
  <c r="S39" i="12" s="1"/>
  <c r="G56" i="12"/>
  <c r="S36" i="14"/>
  <c r="H39" i="14"/>
  <c r="E42" i="12"/>
  <c r="S35" i="14"/>
  <c r="E58" i="12"/>
  <c r="F53" i="12"/>
  <c r="P53" i="12" s="1"/>
  <c r="S53" i="12" s="1"/>
  <c r="J39" i="14"/>
  <c r="U37" i="14"/>
  <c r="C9" i="14"/>
  <c r="C29" i="14"/>
  <c r="G38" i="12"/>
  <c r="X57" i="12"/>
  <c r="C49" i="14"/>
  <c r="C57" i="14"/>
  <c r="U39" i="12"/>
  <c r="Q61" i="12"/>
  <c r="N61" i="14"/>
  <c r="S4" i="14"/>
  <c r="S24" i="14"/>
  <c r="F36" i="12"/>
  <c r="P36" i="12" s="1"/>
  <c r="S36" i="12" s="1"/>
  <c r="Z37" i="12"/>
  <c r="F20" i="26"/>
  <c r="I20" i="26" s="1"/>
  <c r="K39" i="14"/>
  <c r="F43" i="12"/>
  <c r="P43" i="12" s="1"/>
  <c r="S43" i="12" s="1"/>
  <c r="H50" i="12"/>
  <c r="N53" i="14"/>
  <c r="I63" i="14"/>
  <c r="I55" i="14"/>
  <c r="N57" i="14"/>
  <c r="K11" i="26"/>
  <c r="L11" i="26" s="1"/>
  <c r="Y53" i="12"/>
  <c r="Z53" i="12" s="1"/>
  <c r="W52" i="12"/>
  <c r="R53" i="14"/>
  <c r="R61" i="14"/>
  <c r="G55" i="12"/>
  <c r="T6" i="14"/>
  <c r="T36" i="14" s="1"/>
  <c r="T26" i="14"/>
  <c r="S3" i="14"/>
  <c r="S23" i="14"/>
  <c r="G39" i="14"/>
  <c r="I50" i="12"/>
  <c r="R33" i="14"/>
  <c r="L39" i="14"/>
  <c r="S8" i="14"/>
  <c r="S38" i="14" s="1"/>
  <c r="S28" i="14"/>
  <c r="N49" i="14"/>
  <c r="Q54" i="14"/>
  <c r="Q62" i="14"/>
  <c r="H45" i="12"/>
  <c r="D55" i="14"/>
  <c r="D63" i="14"/>
  <c r="H51" i="12"/>
  <c r="F17" i="26"/>
  <c r="I17" i="26" s="1"/>
  <c r="X47" i="12"/>
  <c r="Y47" i="12" s="1"/>
  <c r="Y48" i="12"/>
  <c r="Z48" i="12" s="1"/>
  <c r="N50" i="14"/>
  <c r="E55" i="14"/>
  <c r="E63" i="14"/>
  <c r="N62" i="14"/>
  <c r="X35" i="12"/>
  <c r="R61" i="12"/>
  <c r="AA35" i="12" s="1"/>
  <c r="Q9" i="14"/>
  <c r="Q39" i="14" s="1"/>
  <c r="Q29" i="14"/>
  <c r="E34" i="12"/>
  <c r="H38" i="12"/>
  <c r="C61" i="12"/>
  <c r="Z56" i="12"/>
  <c r="R52" i="14"/>
  <c r="R60" i="14"/>
  <c r="V7" i="14"/>
  <c r="V37" i="14" s="1"/>
  <c r="V27" i="14"/>
  <c r="H44" i="12"/>
  <c r="H59" i="12"/>
  <c r="X42" i="12"/>
  <c r="Y42" i="12" s="1"/>
  <c r="Y43" i="12"/>
  <c r="Z43" i="12" s="1"/>
  <c r="B55" i="14"/>
  <c r="B63" i="14"/>
  <c r="F46" i="12"/>
  <c r="Z46" i="12" s="1"/>
  <c r="Q53" i="14"/>
  <c r="Q61" i="14"/>
  <c r="W35" i="12"/>
  <c r="AG30" i="7"/>
  <c r="AK29" i="7"/>
  <c r="G49" i="12"/>
  <c r="T5" i="14"/>
  <c r="T35" i="14" s="1"/>
  <c r="T25" i="14"/>
  <c r="G48" i="12"/>
  <c r="G54" i="12"/>
  <c r="H52" i="12"/>
  <c r="C39" i="14" l="1"/>
  <c r="C63" i="14" s="1"/>
  <c r="N63" i="14" s="1"/>
  <c r="G47" i="12"/>
  <c r="Y35" i="12"/>
  <c r="Z35" i="12" s="1"/>
  <c r="H54" i="12"/>
  <c r="X34" i="12"/>
  <c r="X62" i="12"/>
  <c r="H41" i="12"/>
  <c r="I52" i="12"/>
  <c r="H60" i="12"/>
  <c r="Z36" i="12"/>
  <c r="T8" i="14"/>
  <c r="T28" i="14"/>
  <c r="S60" i="14"/>
  <c r="S52" i="14"/>
  <c r="F58" i="12"/>
  <c r="V61" i="14"/>
  <c r="V53" i="14"/>
  <c r="I44" i="12"/>
  <c r="D61" i="12"/>
  <c r="T52" i="14"/>
  <c r="T60" i="14"/>
  <c r="I45" i="12"/>
  <c r="K55" i="14"/>
  <c r="K63" i="14"/>
  <c r="S61" i="12"/>
  <c r="Y57" i="12"/>
  <c r="Z57" i="12" s="1"/>
  <c r="X52" i="12"/>
  <c r="H56" i="12"/>
  <c r="H57" i="12"/>
  <c r="E19" i="26"/>
  <c r="U53" i="14"/>
  <c r="U61" i="14"/>
  <c r="S59" i="14"/>
  <c r="S51" i="14"/>
  <c r="F18" i="26"/>
  <c r="I18" i="26" s="1"/>
  <c r="Z47" i="12"/>
  <c r="F16" i="26"/>
  <c r="I16" i="26" s="1"/>
  <c r="H49" i="12"/>
  <c r="R9" i="14"/>
  <c r="R29" i="14"/>
  <c r="R62" i="12"/>
  <c r="Q62" i="12" s="1"/>
  <c r="S62" i="12" s="1"/>
  <c r="AA48" i="12"/>
  <c r="G46" i="12"/>
  <c r="S54" i="14"/>
  <c r="S62" i="14"/>
  <c r="R54" i="14"/>
  <c r="R62" i="14"/>
  <c r="I59" i="12"/>
  <c r="F34" i="12"/>
  <c r="G36" i="12"/>
  <c r="G35" i="12"/>
  <c r="V39" i="12"/>
  <c r="U61" i="12"/>
  <c r="AA57" i="12"/>
  <c r="J55" i="14"/>
  <c r="J63" i="14"/>
  <c r="T4" i="14"/>
  <c r="T24" i="14"/>
  <c r="G57" i="12"/>
  <c r="R57" i="14"/>
  <c r="R49" i="14"/>
  <c r="B17" i="26"/>
  <c r="U5" i="14"/>
  <c r="P46" i="12"/>
  <c r="S46" i="12" s="1"/>
  <c r="U25" i="14"/>
  <c r="N55" i="14"/>
  <c r="G55" i="14"/>
  <c r="G63" i="14"/>
  <c r="G43" i="12"/>
  <c r="R50" i="14"/>
  <c r="R58" i="14"/>
  <c r="T51" i="14"/>
  <c r="T59" i="14"/>
  <c r="Q55" i="14"/>
  <c r="Q63" i="14"/>
  <c r="L55" i="14"/>
  <c r="L63" i="14"/>
  <c r="Y52" i="12"/>
  <c r="G53" i="12"/>
  <c r="S34" i="14"/>
  <c r="F42" i="12"/>
  <c r="H48" i="12"/>
  <c r="B18" i="26"/>
  <c r="U6" i="14"/>
  <c r="U26" i="14"/>
  <c r="W7" i="14"/>
  <c r="W27" i="14"/>
  <c r="T3" i="14"/>
  <c r="T23" i="14"/>
  <c r="J40" i="12"/>
  <c r="H55" i="12"/>
  <c r="I51" i="12"/>
  <c r="H63" i="14"/>
  <c r="H55" i="14"/>
  <c r="AI30" i="7"/>
  <c r="AK30" i="7" s="1"/>
  <c r="AG31" i="7"/>
  <c r="G39" i="12"/>
  <c r="S33" i="14"/>
  <c r="G37" i="12"/>
  <c r="C55" i="14" l="1"/>
  <c r="U36" i="14"/>
  <c r="U62" i="12"/>
  <c r="T38" i="14"/>
  <c r="T33" i="14"/>
  <c r="T49" i="14" s="1"/>
  <c r="AG32" i="7"/>
  <c r="S49" i="14"/>
  <c r="S57" i="14"/>
  <c r="I48" i="12"/>
  <c r="H53" i="12"/>
  <c r="W39" i="12"/>
  <c r="V62" i="12"/>
  <c r="H46" i="12"/>
  <c r="J45" i="12"/>
  <c r="I55" i="12"/>
  <c r="T34" i="14"/>
  <c r="B15" i="26"/>
  <c r="U3" i="14"/>
  <c r="U23" i="14"/>
  <c r="R39" i="14"/>
  <c r="I54" i="12"/>
  <c r="K50" i="12"/>
  <c r="J52" i="12"/>
  <c r="I41" i="12"/>
  <c r="J38" i="12"/>
  <c r="J51" i="12"/>
  <c r="F19" i="26"/>
  <c r="I19" i="26" s="1"/>
  <c r="Z52" i="12"/>
  <c r="G58" i="12"/>
  <c r="V5" i="14"/>
  <c r="V25" i="14"/>
  <c r="S9" i="14"/>
  <c r="S29" i="14"/>
  <c r="B20" i="26"/>
  <c r="U8" i="14"/>
  <c r="U28" i="14"/>
  <c r="Z58" i="12"/>
  <c r="T62" i="14"/>
  <c r="T54" i="14"/>
  <c r="I56" i="12"/>
  <c r="X7" i="14"/>
  <c r="X27" i="14"/>
  <c r="V6" i="14"/>
  <c r="V26" i="14"/>
  <c r="I38" i="12"/>
  <c r="I49" i="12"/>
  <c r="B16" i="26"/>
  <c r="U4" i="14"/>
  <c r="U24" i="14"/>
  <c r="S50" i="14"/>
  <c r="S58" i="14"/>
  <c r="H43" i="12"/>
  <c r="J60" i="12"/>
  <c r="E61" i="12"/>
  <c r="I60" i="12"/>
  <c r="G42" i="12"/>
  <c r="H35" i="12"/>
  <c r="H36" i="12"/>
  <c r="H37" i="12"/>
  <c r="Z42" i="12"/>
  <c r="J59" i="12"/>
  <c r="W37" i="14"/>
  <c r="H39" i="12"/>
  <c r="E18" i="26"/>
  <c r="U52" i="14"/>
  <c r="U60" i="14"/>
  <c r="J50" i="12"/>
  <c r="U35" i="14"/>
  <c r="J44" i="12"/>
  <c r="AI31" i="7"/>
  <c r="K40" i="12"/>
  <c r="G34" i="12"/>
  <c r="T57" i="14" l="1"/>
  <c r="U33" i="14"/>
  <c r="K38" i="12"/>
  <c r="V3" i="14"/>
  <c r="V23" i="14"/>
  <c r="AI32" i="7"/>
  <c r="AK32" i="7" s="1"/>
  <c r="I37" i="12"/>
  <c r="I36" i="12"/>
  <c r="V4" i="14"/>
  <c r="V24" i="14"/>
  <c r="J48" i="12"/>
  <c r="U38" i="14"/>
  <c r="H58" i="12"/>
  <c r="W5" i="14"/>
  <c r="W25" i="14"/>
  <c r="AK31" i="7"/>
  <c r="R63" i="14"/>
  <c r="R55" i="14"/>
  <c r="J41" i="12"/>
  <c r="L50" i="12"/>
  <c r="J57" i="12"/>
  <c r="H34" i="12"/>
  <c r="V35" i="14"/>
  <c r="J49" i="12"/>
  <c r="H42" i="12"/>
  <c r="X37" i="14"/>
  <c r="V8" i="14"/>
  <c r="V28" i="14"/>
  <c r="AG33" i="7"/>
  <c r="H47" i="12"/>
  <c r="J54" i="12"/>
  <c r="E15" i="26"/>
  <c r="U49" i="14"/>
  <c r="U57" i="14"/>
  <c r="E17" i="26"/>
  <c r="U59" i="14"/>
  <c r="U51" i="14"/>
  <c r="I35" i="12"/>
  <c r="L40" i="12"/>
  <c r="I43" i="12"/>
  <c r="K44" i="12"/>
  <c r="I46" i="12"/>
  <c r="J56" i="12"/>
  <c r="S39" i="14"/>
  <c r="K51" i="12"/>
  <c r="I53" i="12"/>
  <c r="K52" i="12"/>
  <c r="W61" i="14"/>
  <c r="W53" i="14"/>
  <c r="F61" i="12"/>
  <c r="I57" i="12"/>
  <c r="I39" i="12"/>
  <c r="U34" i="14"/>
  <c r="V36" i="14"/>
  <c r="K59" i="12"/>
  <c r="T9" i="14"/>
  <c r="T29" i="14"/>
  <c r="T58" i="14"/>
  <c r="T50" i="14"/>
  <c r="K45" i="12"/>
  <c r="I47" i="12"/>
  <c r="Y7" i="14"/>
  <c r="Y27" i="14"/>
  <c r="Y39" i="12"/>
  <c r="Z39" i="12" s="1"/>
  <c r="W34" i="12"/>
  <c r="Y34" i="12" s="1"/>
  <c r="W62" i="12"/>
  <c r="Y62" i="12" s="1"/>
  <c r="F21" i="26" s="1"/>
  <c r="J55" i="12"/>
  <c r="V33" i="14" l="1"/>
  <c r="V38" i="14"/>
  <c r="V34" i="14"/>
  <c r="K57" i="12"/>
  <c r="K41" i="12"/>
  <c r="I21" i="26"/>
  <c r="F15" i="26"/>
  <c r="I15" i="26" s="1"/>
  <c r="Z34" i="12"/>
  <c r="L59" i="12"/>
  <c r="J37" i="12"/>
  <c r="J46" i="12"/>
  <c r="W4" i="14"/>
  <c r="W24" i="14"/>
  <c r="V51" i="14"/>
  <c r="V59" i="14"/>
  <c r="K48" i="12"/>
  <c r="G61" i="12"/>
  <c r="Z7" i="14"/>
  <c r="Z27" i="14"/>
  <c r="V54" i="14"/>
  <c r="V62" i="14"/>
  <c r="M40" i="12"/>
  <c r="W35" i="14"/>
  <c r="J47" i="12"/>
  <c r="B21" i="26"/>
  <c r="J21" i="26" s="1"/>
  <c r="U9" i="14"/>
  <c r="U29" i="14"/>
  <c r="E16" i="26"/>
  <c r="U58" i="14"/>
  <c r="U50" i="14"/>
  <c r="AG34" i="7"/>
  <c r="K54" i="12"/>
  <c r="L45" i="12"/>
  <c r="J39" i="12"/>
  <c r="K60" i="12"/>
  <c r="V50" i="14"/>
  <c r="V58" i="14"/>
  <c r="K55" i="12"/>
  <c r="AI33" i="7"/>
  <c r="AK33" i="7" s="1"/>
  <c r="J35" i="12"/>
  <c r="S63" i="14"/>
  <c r="S55" i="14"/>
  <c r="Y37" i="14"/>
  <c r="J36" i="12"/>
  <c r="I42" i="12"/>
  <c r="J43" i="12"/>
  <c r="K49" i="12"/>
  <c r="I34" i="12"/>
  <c r="K56" i="12"/>
  <c r="W6" i="14"/>
  <c r="W26" i="14"/>
  <c r="L44" i="12"/>
  <c r="W3" i="14"/>
  <c r="W23" i="14"/>
  <c r="E20" i="26"/>
  <c r="U62" i="14"/>
  <c r="U54" i="14"/>
  <c r="V57" i="14"/>
  <c r="V49" i="14"/>
  <c r="L52" i="12"/>
  <c r="L51" i="12"/>
  <c r="X53" i="14"/>
  <c r="X61" i="14"/>
  <c r="I58" i="12"/>
  <c r="W8" i="14"/>
  <c r="W38" i="14" s="1"/>
  <c r="W28" i="14"/>
  <c r="T39" i="14"/>
  <c r="V52" i="14"/>
  <c r="V60" i="14"/>
  <c r="X6" i="14"/>
  <c r="X26" i="14"/>
  <c r="J53" i="12"/>
  <c r="X5" i="14"/>
  <c r="X35" i="14" s="1"/>
  <c r="X25" i="14"/>
  <c r="X36" i="14" l="1"/>
  <c r="W33" i="14"/>
  <c r="W36" i="14"/>
  <c r="U39" i="14"/>
  <c r="Z37" i="14"/>
  <c r="Z53" i="14" s="1"/>
  <c r="X4" i="14"/>
  <c r="X24" i="14"/>
  <c r="L49" i="12"/>
  <c r="K39" i="12"/>
  <c r="M45" i="12"/>
  <c r="V9" i="14"/>
  <c r="V29" i="14"/>
  <c r="M50" i="12"/>
  <c r="J34" i="12"/>
  <c r="Y53" i="14"/>
  <c r="Y61" i="14"/>
  <c r="K43" i="12"/>
  <c r="K36" i="12"/>
  <c r="M60" i="12"/>
  <c r="M59" i="12"/>
  <c r="K46" i="12"/>
  <c r="M44" i="12"/>
  <c r="L48" i="12"/>
  <c r="Y5" i="14"/>
  <c r="Y35" i="14" s="1"/>
  <c r="Y25" i="14"/>
  <c r="X51" i="14"/>
  <c r="X59" i="14"/>
  <c r="X8" i="14"/>
  <c r="X28" i="14"/>
  <c r="L56" i="12"/>
  <c r="L54" i="12"/>
  <c r="J42" i="12"/>
  <c r="L38" i="12"/>
  <c r="K53" i="12"/>
  <c r="AA7" i="14"/>
  <c r="AA27" i="14"/>
  <c r="W52" i="14"/>
  <c r="W60" i="14"/>
  <c r="L60" i="12"/>
  <c r="K35" i="12"/>
  <c r="M38" i="12"/>
  <c r="E21" i="26"/>
  <c r="K21" i="26" s="1"/>
  <c r="L21" i="26" s="1"/>
  <c r="U63" i="14"/>
  <c r="U55" i="14"/>
  <c r="Y6" i="14"/>
  <c r="Y26" i="14"/>
  <c r="L41" i="12"/>
  <c r="W51" i="14"/>
  <c r="W59" i="14"/>
  <c r="H61" i="12"/>
  <c r="M51" i="12"/>
  <c r="T55" i="14"/>
  <c r="T63" i="14"/>
  <c r="W57" i="14"/>
  <c r="W49" i="14"/>
  <c r="X3" i="14"/>
  <c r="X23" i="14"/>
  <c r="Z61" i="14"/>
  <c r="K47" i="12"/>
  <c r="J58" i="12"/>
  <c r="M52" i="12"/>
  <c r="L55" i="12"/>
  <c r="X60" i="14"/>
  <c r="X52" i="14"/>
  <c r="W62" i="14"/>
  <c r="W54" i="14"/>
  <c r="AI34" i="7"/>
  <c r="K37" i="12"/>
  <c r="W34" i="14"/>
  <c r="X38" i="14" l="1"/>
  <c r="Y36" i="14"/>
  <c r="AA37" i="14"/>
  <c r="V39" i="14"/>
  <c r="M57" i="12"/>
  <c r="M49" i="12"/>
  <c r="K42" i="12"/>
  <c r="L35" i="12"/>
  <c r="X33" i="14"/>
  <c r="I61" i="12"/>
  <c r="M56" i="12"/>
  <c r="AB7" i="14"/>
  <c r="AB27" i="14"/>
  <c r="M48" i="12"/>
  <c r="K34" i="12"/>
  <c r="W58" i="14"/>
  <c r="W50" i="14"/>
  <c r="AA53" i="14"/>
  <c r="AA61" i="14"/>
  <c r="V55" i="14"/>
  <c r="V63" i="14"/>
  <c r="L36" i="12"/>
  <c r="L43" i="12"/>
  <c r="K58" i="12"/>
  <c r="AK34" i="7"/>
  <c r="X34" i="14"/>
  <c r="L57" i="12"/>
  <c r="L53" i="12"/>
  <c r="Y60" i="14"/>
  <c r="Y52" i="14"/>
  <c r="M41" i="12"/>
  <c r="L39" i="12"/>
  <c r="Y8" i="14"/>
  <c r="Y28" i="14"/>
  <c r="W9" i="14"/>
  <c r="W29" i="14"/>
  <c r="Y3" i="14"/>
  <c r="Y23" i="14"/>
  <c r="M55" i="12"/>
  <c r="M54" i="12"/>
  <c r="Z6" i="14"/>
  <c r="Z26" i="14"/>
  <c r="L37" i="12"/>
  <c r="Y51" i="14"/>
  <c r="Y59" i="14"/>
  <c r="Z5" i="14"/>
  <c r="Z25" i="14"/>
  <c r="L46" i="12"/>
  <c r="Y4" i="14"/>
  <c r="Y24" i="14"/>
  <c r="X54" i="14"/>
  <c r="X62" i="14"/>
  <c r="AB37" i="14" l="1"/>
  <c r="W39" i="14"/>
  <c r="J61" i="12"/>
  <c r="AB53" i="14"/>
  <c r="AC53" i="14" s="1"/>
  <c r="AB61" i="14"/>
  <c r="AC61" i="14" s="1"/>
  <c r="Z4" i="14"/>
  <c r="Z24" i="14"/>
  <c r="L42" i="12"/>
  <c r="Y34" i="14"/>
  <c r="L58" i="12"/>
  <c r="M47" i="12"/>
  <c r="C2" i="20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X9" i="14"/>
  <c r="X29" i="14"/>
  <c r="L34" i="12"/>
  <c r="Z35" i="14"/>
  <c r="Y38" i="14"/>
  <c r="M37" i="12"/>
  <c r="M46" i="12"/>
  <c r="M43" i="12"/>
  <c r="AA5" i="14"/>
  <c r="AA25" i="14"/>
  <c r="Z36" i="14"/>
  <c r="Y33" i="14"/>
  <c r="M35" i="12"/>
  <c r="M53" i="12"/>
  <c r="X50" i="14"/>
  <c r="X58" i="14"/>
  <c r="Z3" i="14"/>
  <c r="Z23" i="14"/>
  <c r="M36" i="12"/>
  <c r="W55" i="14"/>
  <c r="W63" i="14"/>
  <c r="L47" i="12"/>
  <c r="X49" i="14"/>
  <c r="X57" i="14"/>
  <c r="Z8" i="14"/>
  <c r="Z28" i="14"/>
  <c r="M39" i="12"/>
  <c r="A2" i="20"/>
  <c r="A3" i="20" s="1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Z33" i="14" l="1"/>
  <c r="Z49" i="14" s="1"/>
  <c r="Y50" i="14"/>
  <c r="Y58" i="14"/>
  <c r="M42" i="12"/>
  <c r="Y49" i="14"/>
  <c r="Y57" i="14"/>
  <c r="AB5" i="14"/>
  <c r="AB25" i="14"/>
  <c r="AA8" i="14"/>
  <c r="AA28" i="14"/>
  <c r="AA4" i="14"/>
  <c r="AA34" i="14" s="1"/>
  <c r="AA24" i="14"/>
  <c r="AA35" i="14"/>
  <c r="K61" i="12"/>
  <c r="M34" i="12"/>
  <c r="Z52" i="14"/>
  <c r="Z60" i="14"/>
  <c r="Z34" i="14"/>
  <c r="M58" i="12"/>
  <c r="Y54" i="14"/>
  <c r="Y62" i="14"/>
  <c r="X39" i="14"/>
  <c r="B2" i="20"/>
  <c r="B3" i="20" s="1"/>
  <c r="B4" i="20" s="1"/>
  <c r="B5" i="20" s="1"/>
  <c r="B6" i="20" s="1"/>
  <c r="B7" i="20" s="1"/>
  <c r="B8" i="20" s="1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Z59" i="14"/>
  <c r="Z51" i="14"/>
  <c r="Z38" i="14"/>
  <c r="AA3" i="14"/>
  <c r="AA23" i="14"/>
  <c r="AB6" i="14"/>
  <c r="AB26" i="14"/>
  <c r="AA6" i="14"/>
  <c r="AA26" i="14"/>
  <c r="Z57" i="14"/>
  <c r="B2" i="9" a="1"/>
  <c r="Y9" i="14"/>
  <c r="Y29" i="14"/>
  <c r="Y39" i="14" l="1"/>
  <c r="X13" i="9"/>
  <c r="P13" i="9"/>
  <c r="H13" i="9"/>
  <c r="AD12" i="9"/>
  <c r="V12" i="9"/>
  <c r="N12" i="9"/>
  <c r="F12" i="9"/>
  <c r="AB11" i="9"/>
  <c r="T11" i="9"/>
  <c r="L11" i="9"/>
  <c r="D11" i="9"/>
  <c r="Z10" i="9"/>
  <c r="R10" i="9"/>
  <c r="J10" i="9"/>
  <c r="B10" i="9"/>
  <c r="X9" i="9"/>
  <c r="P9" i="9"/>
  <c r="H9" i="9"/>
  <c r="AD8" i="9"/>
  <c r="V8" i="9"/>
  <c r="N8" i="9"/>
  <c r="F8" i="9"/>
  <c r="AB7" i="9"/>
  <c r="T7" i="9"/>
  <c r="L7" i="9"/>
  <c r="D7" i="9"/>
  <c r="Z6" i="9"/>
  <c r="R6" i="9"/>
  <c r="J6" i="9"/>
  <c r="B6" i="9"/>
  <c r="AC13" i="9"/>
  <c r="T13" i="9"/>
  <c r="K13" i="9"/>
  <c r="B13" i="9"/>
  <c r="W12" i="9"/>
  <c r="M12" i="9"/>
  <c r="D12" i="9"/>
  <c r="Y11" i="9"/>
  <c r="P11" i="9"/>
  <c r="G11" i="9"/>
  <c r="AB10" i="9"/>
  <c r="S10" i="9"/>
  <c r="I10" i="9"/>
  <c r="AD9" i="9"/>
  <c r="U9" i="9"/>
  <c r="L9" i="9"/>
  <c r="C9" i="9"/>
  <c r="X8" i="9"/>
  <c r="O8" i="9"/>
  <c r="E8" i="9"/>
  <c r="Z7" i="9"/>
  <c r="Q7" i="9"/>
  <c r="H7" i="9"/>
  <c r="AC6" i="9"/>
  <c r="T6" i="9"/>
  <c r="K6" i="9"/>
  <c r="AE5" i="9"/>
  <c r="W5" i="9"/>
  <c r="O5" i="9"/>
  <c r="G5" i="9"/>
  <c r="AC4" i="9"/>
  <c r="U4" i="9"/>
  <c r="M4" i="9"/>
  <c r="E4" i="9"/>
  <c r="AA3" i="9"/>
  <c r="S3" i="9"/>
  <c r="K3" i="9"/>
  <c r="C3" i="9"/>
  <c r="Y2" i="9"/>
  <c r="Q2" i="9"/>
  <c r="I2" i="9"/>
  <c r="B2" i="9"/>
  <c r="AB13" i="9"/>
  <c r="S13" i="9"/>
  <c r="J13" i="9"/>
  <c r="AE12" i="9"/>
  <c r="U12" i="9"/>
  <c r="L12" i="9"/>
  <c r="C12" i="9"/>
  <c r="X11" i="9"/>
  <c r="O11" i="9"/>
  <c r="F11" i="9"/>
  <c r="AA10" i="9"/>
  <c r="Q10" i="9"/>
  <c r="H10" i="9"/>
  <c r="AC9" i="9"/>
  <c r="T9" i="9"/>
  <c r="K9" i="9"/>
  <c r="B9" i="9"/>
  <c r="W8" i="9"/>
  <c r="M8" i="9"/>
  <c r="D8" i="9"/>
  <c r="Y7" i="9"/>
  <c r="P7" i="9"/>
  <c r="G7" i="9"/>
  <c r="AB6" i="9"/>
  <c r="S6" i="9"/>
  <c r="I6" i="9"/>
  <c r="AD5" i="9"/>
  <c r="V5" i="9"/>
  <c r="N5" i="9"/>
  <c r="F5" i="9"/>
  <c r="AB4" i="9"/>
  <c r="T4" i="9"/>
  <c r="L4" i="9"/>
  <c r="D4" i="9"/>
  <c r="Z3" i="9"/>
  <c r="R3" i="9"/>
  <c r="J3" i="9"/>
  <c r="B3" i="9"/>
  <c r="X2" i="9"/>
  <c r="P2" i="9"/>
  <c r="H2" i="9"/>
  <c r="AA13" i="9"/>
  <c r="R13" i="9"/>
  <c r="I13" i="9"/>
  <c r="AC12" i="9"/>
  <c r="T12" i="9"/>
  <c r="K12" i="9"/>
  <c r="B12" i="9"/>
  <c r="W11" i="9"/>
  <c r="N11" i="9"/>
  <c r="E11" i="9"/>
  <c r="Y10" i="9"/>
  <c r="P10" i="9"/>
  <c r="G10" i="9"/>
  <c r="AB9" i="9"/>
  <c r="S9" i="9"/>
  <c r="J9" i="9"/>
  <c r="AE8" i="9"/>
  <c r="U8" i="9"/>
  <c r="L8" i="9"/>
  <c r="C8" i="9"/>
  <c r="X7" i="9"/>
  <c r="O7" i="9"/>
  <c r="F7" i="9"/>
  <c r="AA6" i="9"/>
  <c r="Q6" i="9"/>
  <c r="H6" i="9"/>
  <c r="AC5" i="9"/>
  <c r="U5" i="9"/>
  <c r="M5" i="9"/>
  <c r="E5" i="9"/>
  <c r="AA4" i="9"/>
  <c r="S4" i="9"/>
  <c r="K4" i="9"/>
  <c r="C4" i="9"/>
  <c r="Y3" i="9"/>
  <c r="Q3" i="9"/>
  <c r="I3" i="9"/>
  <c r="AE2" i="9"/>
  <c r="W2" i="9"/>
  <c r="O2" i="9"/>
  <c r="G2" i="9"/>
  <c r="Z13" i="9"/>
  <c r="Q13" i="9"/>
  <c r="G13" i="9"/>
  <c r="AB12" i="9"/>
  <c r="S12" i="9"/>
  <c r="J12" i="9"/>
  <c r="AE11" i="9"/>
  <c r="V11" i="9"/>
  <c r="M11" i="9"/>
  <c r="C11" i="9"/>
  <c r="X10" i="9"/>
  <c r="O10" i="9"/>
  <c r="F10" i="9"/>
  <c r="AA9" i="9"/>
  <c r="R9" i="9"/>
  <c r="I9" i="9"/>
  <c r="AC8" i="9"/>
  <c r="T8" i="9"/>
  <c r="K8" i="9"/>
  <c r="B8" i="9"/>
  <c r="W7" i="9"/>
  <c r="N7" i="9"/>
  <c r="E7" i="9"/>
  <c r="Y6" i="9"/>
  <c r="P6" i="9"/>
  <c r="G6" i="9"/>
  <c r="AB5" i="9"/>
  <c r="T5" i="9"/>
  <c r="L5" i="9"/>
  <c r="D5" i="9"/>
  <c r="Z4" i="9"/>
  <c r="R4" i="9"/>
  <c r="J4" i="9"/>
  <c r="B4" i="9"/>
  <c r="X3" i="9"/>
  <c r="P3" i="9"/>
  <c r="H3" i="9"/>
  <c r="AD2" i="9"/>
  <c r="V2" i="9"/>
  <c r="N2" i="9"/>
  <c r="F2" i="9"/>
  <c r="Y13" i="9"/>
  <c r="O13" i="9"/>
  <c r="F13" i="9"/>
  <c r="AA12" i="9"/>
  <c r="R12" i="9"/>
  <c r="I12" i="9"/>
  <c r="AD11" i="9"/>
  <c r="U11" i="9"/>
  <c r="K11" i="9"/>
  <c r="B11" i="9"/>
  <c r="W10" i="9"/>
  <c r="N10" i="9"/>
  <c r="E10" i="9"/>
  <c r="Z9" i="9"/>
  <c r="Q9" i="9"/>
  <c r="G9" i="9"/>
  <c r="AB8" i="9"/>
  <c r="S8" i="9"/>
  <c r="J8" i="9"/>
  <c r="AE7" i="9"/>
  <c r="V7" i="9"/>
  <c r="M7" i="9"/>
  <c r="C7" i="9"/>
  <c r="X6" i="9"/>
  <c r="O6" i="9"/>
  <c r="F6" i="9"/>
  <c r="AA5" i="9"/>
  <c r="S5" i="9"/>
  <c r="K5" i="9"/>
  <c r="C5" i="9"/>
  <c r="Y4" i="9"/>
  <c r="Q4" i="9"/>
  <c r="I4" i="9"/>
  <c r="AE3" i="9"/>
  <c r="W3" i="9"/>
  <c r="O3" i="9"/>
  <c r="G3" i="9"/>
  <c r="AC2" i="9"/>
  <c r="U2" i="9"/>
  <c r="M2" i="9"/>
  <c r="E2" i="9"/>
  <c r="W13" i="9"/>
  <c r="N13" i="9"/>
  <c r="E13" i="9"/>
  <c r="Z12" i="9"/>
  <c r="Q12" i="9"/>
  <c r="H12" i="9"/>
  <c r="AC11" i="9"/>
  <c r="S11" i="9"/>
  <c r="J11" i="9"/>
  <c r="AE10" i="9"/>
  <c r="V10" i="9"/>
  <c r="M10" i="9"/>
  <c r="D10" i="9"/>
  <c r="Y9" i="9"/>
  <c r="O9" i="9"/>
  <c r="F9" i="9"/>
  <c r="AA8" i="9"/>
  <c r="R8" i="9"/>
  <c r="I8" i="9"/>
  <c r="AD7" i="9"/>
  <c r="U7" i="9"/>
  <c r="K7" i="9"/>
  <c r="B7" i="9"/>
  <c r="W6" i="9"/>
  <c r="N6" i="9"/>
  <c r="E6" i="9"/>
  <c r="Z5" i="9"/>
  <c r="R5" i="9"/>
  <c r="J5" i="9"/>
  <c r="B5" i="9"/>
  <c r="X4" i="9"/>
  <c r="P4" i="9"/>
  <c r="H4" i="9"/>
  <c r="AD3" i="9"/>
  <c r="V3" i="9"/>
  <c r="N3" i="9"/>
  <c r="F3" i="9"/>
  <c r="AB2" i="9"/>
  <c r="T2" i="9"/>
  <c r="L2" i="9"/>
  <c r="D2" i="9"/>
  <c r="AD13" i="9"/>
  <c r="U13" i="9"/>
  <c r="L13" i="9"/>
  <c r="C13" i="9"/>
  <c r="X12" i="9"/>
  <c r="O12" i="9"/>
  <c r="E12" i="9"/>
  <c r="Z11" i="9"/>
  <c r="Q11" i="9"/>
  <c r="H11" i="9"/>
  <c r="AC10" i="9"/>
  <c r="T10" i="9"/>
  <c r="K10" i="9"/>
  <c r="AE9" i="9"/>
  <c r="V9" i="9"/>
  <c r="M9" i="9"/>
  <c r="D9" i="9"/>
  <c r="Y8" i="9"/>
  <c r="P8" i="9"/>
  <c r="G8" i="9"/>
  <c r="AA7" i="9"/>
  <c r="R7" i="9"/>
  <c r="I7" i="9"/>
  <c r="AD6" i="9"/>
  <c r="U6" i="9"/>
  <c r="L6" i="9"/>
  <c r="C6" i="9"/>
  <c r="X5" i="9"/>
  <c r="P5" i="9"/>
  <c r="H5" i="9"/>
  <c r="AD4" i="9"/>
  <c r="V4" i="9"/>
  <c r="N4" i="9"/>
  <c r="F4" i="9"/>
  <c r="AB3" i="9"/>
  <c r="T3" i="9"/>
  <c r="L3" i="9"/>
  <c r="D3" i="9"/>
  <c r="Z2" i="9"/>
  <c r="R2" i="9"/>
  <c r="J2" i="9"/>
  <c r="AE13" i="9"/>
  <c r="R11" i="9"/>
  <c r="E9" i="9"/>
  <c r="V6" i="9"/>
  <c r="O4" i="9"/>
  <c r="K2" i="9"/>
  <c r="M13" i="9"/>
  <c r="AD10" i="9"/>
  <c r="Q8" i="9"/>
  <c r="D6" i="9"/>
  <c r="AC3" i="9"/>
  <c r="D13" i="9"/>
  <c r="U10" i="9"/>
  <c r="H8" i="9"/>
  <c r="Y5" i="9"/>
  <c r="U3" i="9"/>
  <c r="Y12" i="9"/>
  <c r="L10" i="9"/>
  <c r="AC7" i="9"/>
  <c r="Q5" i="9"/>
  <c r="M3" i="9"/>
  <c r="P12" i="9"/>
  <c r="C10" i="9"/>
  <c r="S7" i="9"/>
  <c r="I5" i="9"/>
  <c r="E3" i="9"/>
  <c r="G12" i="9"/>
  <c r="W9" i="9"/>
  <c r="J7" i="9"/>
  <c r="AE4" i="9"/>
  <c r="AA2" i="9"/>
  <c r="W4" i="9"/>
  <c r="V13" i="9"/>
  <c r="G4" i="9"/>
  <c r="AA11" i="9"/>
  <c r="S2" i="9"/>
  <c r="I11" i="9"/>
  <c r="C2" i="9"/>
  <c r="N9" i="9"/>
  <c r="Z8" i="9"/>
  <c r="AE6" i="9"/>
  <c r="M6" i="9"/>
  <c r="X55" i="14"/>
  <c r="X63" i="14"/>
  <c r="AB36" i="14"/>
  <c r="AB3" i="14"/>
  <c r="AB23" i="14"/>
  <c r="AA33" i="14"/>
  <c r="AA38" i="14"/>
  <c r="AB4" i="14"/>
  <c r="AB24" i="14"/>
  <c r="AB8" i="14"/>
  <c r="AB38" i="14" s="1"/>
  <c r="AB28" i="14"/>
  <c r="Z9" i="14"/>
  <c r="Z29" i="14"/>
  <c r="AB35" i="14"/>
  <c r="Z50" i="14"/>
  <c r="Z58" i="14"/>
  <c r="AA50" i="14"/>
  <c r="AA58" i="14"/>
  <c r="Y55" i="14"/>
  <c r="Y63" i="14"/>
  <c r="Z54" i="14"/>
  <c r="Z62" i="14"/>
  <c r="AA36" i="14"/>
  <c r="AA59" i="14"/>
  <c r="AA51" i="14"/>
  <c r="L61" i="12"/>
  <c r="Z39" i="14" l="1"/>
  <c r="Z63" i="14" s="1"/>
  <c r="AA9" i="14"/>
  <c r="AA29" i="14"/>
  <c r="AB52" i="14"/>
  <c r="AC52" i="14" s="1"/>
  <c r="AB60" i="14"/>
  <c r="AC60" i="14" s="1"/>
  <c r="AB51" i="14"/>
  <c r="AC51" i="14" s="1"/>
  <c r="AB59" i="14"/>
  <c r="AC59" i="14" s="1"/>
  <c r="AB33" i="14"/>
  <c r="AA52" i="14"/>
  <c r="AA60" i="14"/>
  <c r="AB62" i="14"/>
  <c r="AC62" i="14" s="1"/>
  <c r="AB54" i="14"/>
  <c r="AC54" i="14" s="1"/>
  <c r="AA49" i="14"/>
  <c r="AA57" i="14"/>
  <c r="M61" i="12"/>
  <c r="AA54" i="14"/>
  <c r="AA62" i="14"/>
  <c r="AB34" i="14"/>
  <c r="Z55" i="14" l="1"/>
  <c r="AA39" i="14"/>
  <c r="AA63" i="14"/>
  <c r="AA55" i="14"/>
  <c r="AB9" i="14"/>
  <c r="AB29" i="14"/>
  <c r="AB58" i="14"/>
  <c r="AC58" i="14" s="1"/>
  <c r="AB50" i="14"/>
  <c r="AC50" i="14" s="1"/>
  <c r="AB49" i="14"/>
  <c r="AC49" i="14" s="1"/>
  <c r="AB57" i="14"/>
  <c r="AC57" i="14" s="1"/>
  <c r="AB39" i="14" l="1"/>
  <c r="AB55" i="14" l="1"/>
  <c r="AC55" i="14" s="1"/>
  <c r="AB63" i="14"/>
  <c r="AC63" i="14" s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  <scheme val="minor"/>
          </rPr>
          <t>(common industry standard)
	-Gunawan Gunawan</t>
        </r>
      </text>
    </comment>
    <comment ref="A11" authorId="0" shapeId="0">
      <text>
        <r>
          <rPr>
            <sz val="10"/>
            <color rgb="FF000000"/>
            <rFont val="Arial"/>
            <family val="2"/>
            <scheme val="minor"/>
          </rPr>
          <t>typical for a mix of fossil fuels
	-Gunawan Gunawan</t>
        </r>
      </text>
    </comment>
  </commentList>
</comments>
</file>

<file path=xl/sharedStrings.xml><?xml version="1.0" encoding="utf-8"?>
<sst xmlns="http://schemas.openxmlformats.org/spreadsheetml/2006/main" count="4283" uniqueCount="284">
  <si>
    <t>Clinker Factor</t>
  </si>
  <si>
    <t>Cement Type</t>
  </si>
  <si>
    <t>Clinker Consumption</t>
  </si>
  <si>
    <t>Cement Production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</si>
  <si>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</si>
  <si>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</si>
  <si>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</si>
  <si>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</si>
  <si>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</si>
  <si>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</si>
  <si>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</si>
  <si>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</si>
  <si>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</si>
  <si>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</si>
  <si>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</si>
  <si>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</si>
  <si>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NAR1 GU/Dynamix/EzPro/PCC (Transisi)</t>
  </si>
  <si>
    <t>NAR2 GU/Dynamix/EzPro/PCC</t>
  </si>
  <si>
    <t>NAR consolidate GU/Dynamix/EzPro/PCC</t>
  </si>
  <si>
    <t>CIL GU/Dynamix/EzPro/PCC</t>
  </si>
  <si>
    <t>TQ1 GU/Dynamix/EzPro/PCC (Transisi)</t>
  </si>
  <si>
    <t>TQ2 GU/Dynamix/EzPro/PCC (Transisi)</t>
  </si>
  <si>
    <t>TQ2 GU/Dynamix/EzPro/PCC (Murni)</t>
  </si>
  <si>
    <t>TQ Consolidated GU/Dynamix/EzPro/PCC</t>
  </si>
  <si>
    <t>NAR1 Type 5/DuPro+ HSR</t>
  </si>
  <si>
    <t>TQ2 Type 5/DuPro+ HSR</t>
  </si>
  <si>
    <t>SBI Type 5/DuPro+ HSR Consolidated</t>
  </si>
  <si>
    <t>NAR1 RFP (Type 1 SNI)/SprintPro</t>
  </si>
  <si>
    <t>TQ1 RFP (Type 1 SNI)/SprintPro</t>
  </si>
  <si>
    <t>NAR2 RFP (Type 1 SNI)/SprintPro</t>
  </si>
  <si>
    <t>SBI RFP (Type 1 SNI)/SprintPro Consolidated</t>
  </si>
  <si>
    <t>NAR1 OWC/SuperTermo</t>
  </si>
  <si>
    <t>NAR1 OPC (Type 1 General)/UltraPro (DLH, DJabes &amp; non-DJabes)</t>
  </si>
  <si>
    <t>NAR1 OPC (Type 1 General)/UltraPro - SG</t>
  </si>
  <si>
    <t>TQ1 OPC (Type 1 General)/UltraPro - SG</t>
  </si>
  <si>
    <t>SBI OPC (Type 1 General)/UltraPro Consolidated</t>
  </si>
  <si>
    <t>NAR1 Power Max/PowerPro</t>
  </si>
  <si>
    <t>LHO GU/Dynamix/EzPro/PCC</t>
  </si>
  <si>
    <t>LHO OPC (Type 1 General)/UltraPro</t>
  </si>
  <si>
    <t>SBI Type 1 OPC (Type 1 General)/UltraPro Consolidated (NAR1, TQ &amp; LHO)</t>
  </si>
  <si>
    <t>SBI Type OPC (Type1 + Type V + Type II + RFP) Consolidated (NAR1, TQ &amp; LHO)</t>
  </si>
  <si>
    <t>SBI Consolidated</t>
  </si>
  <si>
    <t>PCC Reguler SBI Consol + LHO (exclude PCC NAR1, TQ1, TQ2 Transisi, Power max)</t>
  </si>
  <si>
    <t>PCC SBI Consol + LHO (all)</t>
  </si>
  <si>
    <t>Product Cluster</t>
  </si>
  <si>
    <t>Bag/Bulk</t>
  </si>
  <si>
    <t>Old Brand</t>
  </si>
  <si>
    <t>New Brand</t>
  </si>
  <si>
    <t>PCC
Semen Portland Komposit</t>
  </si>
  <si>
    <t>Convenient</t>
  </si>
  <si>
    <t>Bulk</t>
  </si>
  <si>
    <t>Ready Flow</t>
  </si>
  <si>
    <t>EzPro</t>
  </si>
  <si>
    <t>Bag</t>
  </si>
  <si>
    <t>Serba Guna</t>
  </si>
  <si>
    <t>Dynamix</t>
  </si>
  <si>
    <t>Semen Andalas</t>
  </si>
  <si>
    <t>Semen Padang</t>
  </si>
  <si>
    <t>Semen Gresik</t>
  </si>
  <si>
    <t>Semen Tonasa</t>
  </si>
  <si>
    <t>Accelerate</t>
  </si>
  <si>
    <t>Power Max</t>
  </si>
  <si>
    <t>Dynamix Extra Power</t>
  </si>
  <si>
    <t>PwrPro</t>
  </si>
  <si>
    <t>Hydraulic Cement Type HE</t>
  </si>
  <si>
    <t>-</t>
  </si>
  <si>
    <t>OPC
Semen Portland Jenis I</t>
  </si>
  <si>
    <t>Strong</t>
  </si>
  <si>
    <t>Smooth Fibre (SF)</t>
  </si>
  <si>
    <t>UltraPro</t>
  </si>
  <si>
    <t>Extra Strong</t>
  </si>
  <si>
    <t>Ready Flow Plus (RFP)</t>
  </si>
  <si>
    <t>SprintPro</t>
  </si>
  <si>
    <t>OPC
Semen Portland Jenis II</t>
  </si>
  <si>
    <t>Special Type: Extreme</t>
  </si>
  <si>
    <t>Durable</t>
  </si>
  <si>
    <t>DuPro+ MSR</t>
  </si>
  <si>
    <t>OPC
Semen Portland Jenis V</t>
  </si>
  <si>
    <t>Extra Durable</t>
  </si>
  <si>
    <t>DuPro+ HSR</t>
  </si>
  <si>
    <t>OWC Class G HSR
Semen Pemboran (Oil Well Cement)</t>
  </si>
  <si>
    <t>Special Type: Oil &amp; Gas</t>
  </si>
  <si>
    <t>Bag/Jumbo/Bulk</t>
  </si>
  <si>
    <t>Drill Well Plus</t>
  </si>
  <si>
    <t>SuperTermo</t>
  </si>
  <si>
    <t>SuperWell Thermo</t>
  </si>
  <si>
    <t>PPC (Type IP-U)
Semen Portland Pozzolan</t>
  </si>
  <si>
    <t>Green Cement</t>
  </si>
  <si>
    <t>Semen Masonry</t>
  </si>
  <si>
    <t>Wall Max</t>
  </si>
  <si>
    <t>UNTUK MENGUPDATE, DRAG FORMULA BULAN SEBELUMNYA</t>
  </si>
  <si>
    <t>Clinker Factor Production</t>
  </si>
  <si>
    <t>OPC SBI &amp; OPC SI (untuk splitting nya paling kanann geser teross)</t>
  </si>
  <si>
    <t>NAR1 - GU/Dynamix/EzPro/PCC</t>
  </si>
  <si>
    <t>OPC (Type 1 General)/UltraPro (OPC SBI + OPC SI)</t>
  </si>
  <si>
    <t>RFP (Type 1 SNI)/SprintPro</t>
  </si>
  <si>
    <t>OWC/SuperTermo</t>
  </si>
  <si>
    <t>Type 5/DuPro+ HSR</t>
  </si>
  <si>
    <t>Power Max/PowerPro</t>
  </si>
  <si>
    <t>Consolidation NAR1</t>
  </si>
  <si>
    <t>Non OPC (selain UltraPro, SprintPro &amp; DuPro)</t>
  </si>
  <si>
    <t>Porsi (%) Cement Non OPC</t>
  </si>
  <si>
    <t>Month</t>
  </si>
  <si>
    <t>% Clinker Factor</t>
  </si>
  <si>
    <t>Check Clinker to Cement</t>
  </si>
  <si>
    <t>Check Cement Prod</t>
  </si>
  <si>
    <t>MTD</t>
  </si>
  <si>
    <t>YTD</t>
  </si>
  <si>
    <t>NAR2 - GU/Dynamix/EzPro/PCC</t>
  </si>
  <si>
    <t>NAR2 - SprintPro</t>
  </si>
  <si>
    <t>Consolidation GU/Dynamix/EzPro/PCC NAR</t>
  </si>
  <si>
    <t>Consolidation NAR</t>
  </si>
  <si>
    <t>Consolidation NAR2</t>
  </si>
  <si>
    <t>NAR2 - PwrPro</t>
  </si>
  <si>
    <t>CIL - GU/Dynamix/EzPro/PCC</t>
  </si>
  <si>
    <t>TQ1 - GU/Dynamix/EzPro/PCC</t>
  </si>
  <si>
    <t>OPC (Type 1 General)/UltraPro</t>
  </si>
  <si>
    <t>OPC (Type V) - export TCC</t>
  </si>
  <si>
    <t>Consolidation TQ1</t>
  </si>
  <si>
    <t>Non OPC (selain UltraPro, SprintPro, Type V)</t>
  </si>
  <si>
    <t>Non PCC (selain EzPro/Dynamix)</t>
  </si>
  <si>
    <t>PCC Transisi</t>
  </si>
  <si>
    <t>OPC (Type V - Domestic/Smelter Gresik)/Type II</t>
  </si>
  <si>
    <t>Consolidation TQ2</t>
  </si>
  <si>
    <t>Consolidation TQ</t>
  </si>
  <si>
    <t>Check Gap</t>
  </si>
  <si>
    <t>Check total CF PCC TQ2</t>
  </si>
  <si>
    <t>PCC Total TQ2</t>
  </si>
  <si>
    <t>Cli cons</t>
  </si>
  <si>
    <t>Cmt Prod</t>
  </si>
  <si>
    <t>Cli Cons</t>
  </si>
  <si>
    <t>Consolidation LHO</t>
  </si>
  <si>
    <t>Consolidation SBI</t>
  </si>
  <si>
    <t>PCC SBI (EzPro/Dynamix/Andalas) without PCC Transisi NAR1, TQ1/2</t>
  </si>
  <si>
    <t>Non PCC SBI</t>
  </si>
  <si>
    <t>PCC SBI (EzPro/Dynamix, GU/Andalas)</t>
  </si>
  <si>
    <t>CHECK</t>
  </si>
  <si>
    <t>Check non OPC/Blended Cmt</t>
  </si>
  <si>
    <t>Notes:</t>
  </si>
  <si>
    <t>OPC SBI (UP, SP, DP, TV TQ) exc LHO &gt;&gt; for ASI</t>
  </si>
  <si>
    <t>Non OPC SBI exc LHO &gt;&gt; for ASI</t>
  </si>
  <si>
    <t>- OPC adalah UltraPro/OPC Type I, SprintPro/RFP &amp; DuPro/OPC Type V</t>
  </si>
  <si>
    <t>- PCC adalah EzPro/Dynamix &amp; GU/Andalas tanpa PCC NAR1 &amp; PCC TQ1</t>
  </si>
  <si>
    <t>check</t>
  </si>
  <si>
    <t>Plant</t>
  </si>
  <si>
    <t>NAR1</t>
  </si>
  <si>
    <t>NAR2</t>
  </si>
  <si>
    <t>CIL</t>
  </si>
  <si>
    <t>TQ1</t>
  </si>
  <si>
    <t>TQ2</t>
  </si>
  <si>
    <t>LHO</t>
  </si>
  <si>
    <t>SBI</t>
  </si>
  <si>
    <t>Non PCC (selain EzPro/Dynamix &amp; PowerPro)</t>
  </si>
  <si>
    <t>OPC (Type 1 General) SBI</t>
  </si>
  <si>
    <t>OPC (Type 1 General) SI</t>
  </si>
  <si>
    <t>OPC (Type V (Trial)) - export TCC</t>
  </si>
  <si>
    <t>TQ2 (murni) - GU/Dynamix/EzPro/PCC</t>
  </si>
  <si>
    <t>PCC Murni + Transisi</t>
  </si>
  <si>
    <t>LHO - GU/Andalas</t>
  </si>
  <si>
    <t>OPC SBI (UltraPro, SprintPro, DuPro, Type V TQ)</t>
  </si>
  <si>
    <t>Non OPC SBI</t>
  </si>
  <si>
    <t>PCC SBI (EzPro/Dynamix, PowerPro &amp; GU/Andalas) without PCC NAR1 &amp; TQ1</t>
  </si>
  <si>
    <t>PCC SBI (EzPro/Dynamix, PowerPro &amp; GU/Andalas)</t>
  </si>
  <si>
    <t>Porsi (%) Cement OPC</t>
  </si>
  <si>
    <t>Porsi (%) Cement Non PCC</t>
  </si>
  <si>
    <t>Porsi (%) Cement PCC*</t>
  </si>
  <si>
    <r>
      <rPr>
        <b/>
        <sz val="11"/>
        <color rgb="FF000000"/>
        <rFont val="Calibri"/>
        <family val="2"/>
      </rPr>
      <t xml:space="preserve">SBI GU/Dynamix/EzPro/PCC Consolidated </t>
    </r>
    <r>
      <rPr>
        <b/>
        <sz val="11"/>
        <color rgb="FFFF0000"/>
        <rFont val="Calibri"/>
        <family val="2"/>
      </rPr>
      <t>w/o LHO</t>
    </r>
  </si>
  <si>
    <r>
      <rPr>
        <b/>
        <sz val="11"/>
        <color rgb="FF000000"/>
        <rFont val="Calibri"/>
        <family val="2"/>
      </rPr>
      <t xml:space="preserve">SBI Consolidated </t>
    </r>
    <r>
      <rPr>
        <b/>
        <sz val="11"/>
        <color rgb="FFFF0000"/>
        <rFont val="Calibri"/>
        <family val="2"/>
      </rPr>
      <t>w/o LHO</t>
    </r>
  </si>
  <si>
    <r>
      <rPr>
        <b/>
        <sz val="11"/>
        <color rgb="FF000000"/>
        <rFont val="Calibri"/>
        <family val="2"/>
      </rPr>
      <t xml:space="preserve">SBI GU/Dynamix/EzPro/PCC Consolidated </t>
    </r>
    <r>
      <rPr>
        <b/>
        <sz val="11"/>
        <color rgb="FFFF0000"/>
        <rFont val="Calibri"/>
        <family val="2"/>
      </rPr>
      <t>w/o LHO</t>
    </r>
  </si>
  <si>
    <r>
      <rPr>
        <b/>
        <sz val="11"/>
        <color rgb="FF000000"/>
        <rFont val="Calibri"/>
        <family val="2"/>
      </rPr>
      <t xml:space="preserve">SBI Consolidated </t>
    </r>
    <r>
      <rPr>
        <b/>
        <sz val="11"/>
        <color rgb="FFFF0000"/>
        <rFont val="Calibri"/>
        <family val="2"/>
      </rPr>
      <t>w/o LHO</t>
    </r>
  </si>
  <si>
    <t>TQ2 GU/Dynamix/EzPro/PCC (Murni) &gt;&gt; termasuk Transisi (untuk forecast, data tidak tersplit)</t>
  </si>
  <si>
    <t>LHO - GU/PCC Andalas &gt;&gt; for ASI</t>
  </si>
  <si>
    <t>OPC (Type 1 General)/UltraPro &gt;&gt; for ASI</t>
  </si>
  <si>
    <t>Non OPC or Blended Cement (EzPro/Dynamix/Andalas &amp; PwrPro) &gt;&gt; for ASI</t>
  </si>
  <si>
    <t>after Goal Seek</t>
  </si>
  <si>
    <t>RKAP FY 2025</t>
  </si>
  <si>
    <t>gap CF to RKAP</t>
  </si>
  <si>
    <t>Clinker Cons</t>
  </si>
  <si>
    <t>Cement Prod</t>
  </si>
  <si>
    <t>gap Cli Cons to RKAP</t>
  </si>
  <si>
    <t>GOAL SEEK</t>
  </si>
  <si>
    <t>to be Changed (Cli Cons)</t>
  </si>
  <si>
    <t>Cli Cons to be</t>
  </si>
  <si>
    <t>CF</t>
  </si>
  <si>
    <t>+: inc / (-): dec</t>
  </si>
  <si>
    <t>bisa di click button incr/decr shg mengubah cli cons</t>
  </si>
  <si>
    <t>Cement</t>
  </si>
  <si>
    <t>GS Porsi Cmt</t>
  </si>
  <si>
    <t>bisa di click button to incr/decr cement volume dgn CF tetap</t>
  </si>
  <si>
    <t>Dynamix/EzPro/PCC (Transisi)</t>
  </si>
  <si>
    <t>OPC (Type 1 General)/UltraPro (DLH, DJabes &amp; non-DJabes)</t>
  </si>
  <si>
    <t>Yes</t>
  </si>
  <si>
    <t>OPC (Type 1 General)/UltraPro - SG</t>
  </si>
  <si>
    <t>Dynamix/EzPro/PCC</t>
  </si>
  <si>
    <t>CIL Dynamix/EzPro/PCC</t>
  </si>
  <si>
    <t>Dynamix/EzPro/PCC (Murni)</t>
  </si>
  <si>
    <t>SBI Consolidation</t>
  </si>
  <si>
    <t>Target CF SLL</t>
  </si>
  <si>
    <t>TARGET SLL</t>
  </si>
  <si>
    <t>&lt;&lt; By Changing Cell &gt;&gt;</t>
  </si>
  <si>
    <t>&lt;&lt; ref: To Value &gt;&gt;</t>
  </si>
  <si>
    <t>&lt;&lt; Set Cell &gt;&gt;</t>
  </si>
  <si>
    <t>No</t>
  </si>
  <si>
    <t>Semen PCC transisi max 5%</t>
  </si>
  <si>
    <t>non PCC meet RKAP</t>
  </si>
  <si>
    <t>PCC</t>
  </si>
  <si>
    <t>Porsi masing2 tipe semen terhadap total semen</t>
  </si>
  <si>
    <t>CO2 emission/kg cmt equivalent</t>
  </si>
  <si>
    <t>Target Holcim Global 477</t>
  </si>
  <si>
    <t>STEC
(MJ/t clinker)</t>
  </si>
  <si>
    <t>TSR
(%)</t>
  </si>
  <si>
    <t>CO₂ (kg CO₂/ton cli) - TRADITIONAL</t>
  </si>
  <si>
    <t>Fuel Emission Factor (kg CO₂/MJ):</t>
  </si>
  <si>
    <t>STEC FORECAST</t>
  </si>
  <si>
    <t>TSR FORECAST</t>
  </si>
  <si>
    <t>Check</t>
  </si>
  <si>
    <t>Clinker Emission Factor (kg CO₂/kg clinker):</t>
  </si>
  <si>
    <t>Average calcination factor ASI data</t>
  </si>
  <si>
    <t>CO2 from Clinker (kg CO₂/ton cement) - PROCESS</t>
  </si>
  <si>
    <t>CO2 from Fuel Combustion (kg CO₂/ton clinker) - TRADITIONAL</t>
  </si>
  <si>
    <t>CO2 from Fuel Combustion (kg CO₂/ton cement) - TRADITIONAL</t>
  </si>
  <si>
    <r>
      <rPr>
        <b/>
        <sz val="14"/>
        <color theme="1"/>
        <rFont val="Arial"/>
        <family val="2"/>
      </rPr>
      <t>ESTIMATE</t>
    </r>
    <r>
      <rPr>
        <sz val="10"/>
        <color theme="1"/>
        <rFont val="Arial"/>
        <family val="2"/>
      </rPr>
      <t xml:space="preserve"> Total CO2 Emissions (kg CO₂/ton cement)</t>
    </r>
  </si>
  <si>
    <r>
      <rPr>
        <b/>
        <sz val="14"/>
        <color theme="1"/>
        <rFont val="Arial"/>
        <family val="2"/>
      </rPr>
      <t>ESTIMATE</t>
    </r>
    <r>
      <rPr>
        <sz val="10"/>
        <color theme="1"/>
        <rFont val="Arial"/>
        <family val="2"/>
      </rPr>
      <t xml:space="preserve"> Total CO2 Emissions (kg CO₂/ton cement)</t>
    </r>
  </si>
  <si>
    <t>SD Report version (NAR1)</t>
  </si>
  <si>
    <t>SD Report version (NAR2)</t>
  </si>
  <si>
    <t>SD Report version (CIL)</t>
  </si>
  <si>
    <t>SD Report version (TQ1)</t>
  </si>
  <si>
    <t>SD Report version (TQ2)</t>
  </si>
  <si>
    <t>SD Report version (LHO)</t>
  </si>
  <si>
    <t>SD Report version (SBI)</t>
  </si>
  <si>
    <t>gap NAR1</t>
  </si>
  <si>
    <t>gap NAR2</t>
  </si>
  <si>
    <t>gap CIL</t>
  </si>
  <si>
    <t>gap TQ1</t>
  </si>
  <si>
    <t>gap TQ2</t>
  </si>
  <si>
    <t>gap LHO</t>
  </si>
  <si>
    <t>gap SBI</t>
  </si>
  <si>
    <t>factor NAR1</t>
  </si>
  <si>
    <t>factor NAR2</t>
  </si>
  <si>
    <t>factor CIL</t>
  </si>
  <si>
    <t>factor TQ1</t>
  </si>
  <si>
    <t>factor TQ2</t>
  </si>
  <si>
    <t>factor LHO</t>
  </si>
  <si>
    <t>factor SBI</t>
  </si>
  <si>
    <t>Periode</t>
  </si>
  <si>
    <t>NAR1 PCC (Transisi)</t>
  </si>
  <si>
    <t>NAR1 OPC</t>
  </si>
  <si>
    <t>NAR1 OPC - SG</t>
  </si>
  <si>
    <t>NAR1 RFP</t>
  </si>
  <si>
    <t>NAR1 OWC</t>
  </si>
  <si>
    <t>NAR1 Type V</t>
  </si>
  <si>
    <t>NAR1 PwrPro</t>
  </si>
  <si>
    <t>NAR2 PCC Regular</t>
  </si>
  <si>
    <t>NAR2 RFP</t>
  </si>
  <si>
    <t>NAR2 PwrPro</t>
  </si>
  <si>
    <t>TQ1 PCC (Transisi)</t>
  </si>
  <si>
    <t>TQ1 OPC - SG</t>
  </si>
  <si>
    <t>TQ1 RFP</t>
  </si>
  <si>
    <t>TQ1 Type V</t>
  </si>
  <si>
    <t>TQ2 PCC Regular</t>
  </si>
  <si>
    <t>TQ2 Type V</t>
  </si>
  <si>
    <t>TQ2 RFP</t>
  </si>
  <si>
    <t>TQ2 OPC</t>
  </si>
  <si>
    <t>TQ2 PCC (Transisi)</t>
  </si>
  <si>
    <t>LHO PCC Regular</t>
  </si>
  <si>
    <t>LHO OPC</t>
  </si>
  <si>
    <t>% Pengurangan Cement NAR1 PCC (Transisi)</t>
  </si>
  <si>
    <t>% Pengurangan Cement TQ1 PCC (Transisi)</t>
  </si>
  <si>
    <t>% Pengurangan Cement TQ2 PCC (Transisi)</t>
  </si>
  <si>
    <t>Actual/Forecast</t>
  </si>
  <si>
    <t>Actual/Forecast (Estimated)</t>
  </si>
  <si>
    <t>After Goal Seek</t>
  </si>
  <si>
    <t>STEC</t>
  </si>
  <si>
    <t>TSR</t>
  </si>
  <si>
    <t>Total CO2</t>
  </si>
  <si>
    <t>Total CO2 (kg CO₂/ton cement)</t>
  </si>
  <si>
    <t>Goal Seek</t>
  </si>
  <si>
    <t>CIL PCC</t>
  </si>
  <si>
    <t>Actual Clinker Consumption</t>
  </si>
  <si>
    <t>Actual Cement Production</t>
  </si>
  <si>
    <t>Actual CF</t>
  </si>
  <si>
    <t>Budget Clinker Consumption</t>
  </si>
  <si>
    <t>Budget Cement Production</t>
  </si>
  <si>
    <t>Budget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</si>
</sst>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"/>
    <numFmt numFmtId="165" formatCode="_-* #,##0.00_-;\-* #,##0.00_-;_-* &quot;-&quot;_-;_-@"/>
    <numFmt numFmtId="166" formatCode="#,##0.00_ ;\-#,##0.00\ "/>
    <numFmt numFmtId="167" formatCode="_-* #,##0.00_-;\-* #,##0.00_-;_-* &quot;-&quot;??_-;_-@"/>
    <numFmt numFmtId="168" formatCode="mmm&quot; &quot;yyyy"/>
    <numFmt numFmtId="169" formatCode="mmm\-d"/>
    <numFmt numFmtId="170" formatCode="mmmm\-d"/>
    <numFmt numFmtId="171" formatCode="0.0%"/>
    <numFmt numFmtId="172" formatCode="_(#,##0.0_);\(#,##0.0\)"/>
    <numFmt numFmtId="173" formatCode="0.0000"/>
  </numFmts>
  <fonts count="25" x14ac:knownFonts="1">
    <font>
      <sz val="10"/>
      <color rgb="FF000000"/>
      <name val="Arial"/>
      <scheme val="minor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sz val="10"/>
      <color rgb="FFFF0000"/>
      <name val="Arial"/>
      <family val="2"/>
      <scheme val="minor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B45F06"/>
      <name val="Arial"/>
      <family val="2"/>
      <scheme val="minor"/>
    </font>
    <font>
      <sz val="10"/>
      <color rgb="FF0000FF"/>
      <name val="Arial"/>
      <family val="2"/>
      <scheme val="minor"/>
    </font>
    <font>
      <b/>
      <sz val="10"/>
      <color rgb="FF0000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2DCDB"/>
        <bgColor rgb="FFF2DCDB"/>
      </patternFill>
    </fill>
    <fill>
      <patternFill patternType="solid">
        <fgColor rgb="FF92CDDC"/>
        <bgColor rgb="FF92CDDC"/>
      </patternFill>
    </fill>
    <fill>
      <patternFill patternType="solid">
        <fgColor rgb="FF92D050"/>
        <bgColor rgb="FF92D050"/>
      </patternFill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5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>
      <alignment horizontal="right"/>
    </xf>
    <xf numFmtId="0" fontId="4" fillId="4" borderId="0" xfId="0" applyFont="1" applyFill="1" applyAlignment="1"/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/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7" borderId="20" xfId="0" applyFont="1" applyFill="1" applyBorder="1" applyAlignment="1">
      <alignment horizontal="center"/>
    </xf>
    <xf numFmtId="0" fontId="5" fillId="7" borderId="20" xfId="0" quotePrefix="1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7" borderId="4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8" borderId="3" xfId="0" applyFont="1" applyFill="1" applyBorder="1" applyAlignment="1">
      <alignment horizontal="center"/>
    </xf>
    <xf numFmtId="0" fontId="5" fillId="8" borderId="4" xfId="0" quotePrefix="1" applyFont="1" applyFill="1" applyBorder="1" applyAlignment="1">
      <alignment horizontal="center"/>
    </xf>
    <xf numFmtId="0" fontId="6" fillId="0" borderId="26" xfId="0" applyFont="1" applyBorder="1"/>
    <xf numFmtId="0" fontId="6" fillId="0" borderId="26" xfId="0" applyFont="1" applyBorder="1" applyAlignment="1">
      <alignment horizontal="center"/>
    </xf>
    <xf numFmtId="0" fontId="2" fillId="0" borderId="0" xfId="0" applyFont="1"/>
    <xf numFmtId="0" fontId="9" fillId="0" borderId="0" xfId="0" applyFont="1"/>
    <xf numFmtId="0" fontId="8" fillId="0" borderId="0" xfId="0" applyFont="1" applyAlignment="1"/>
    <xf numFmtId="37" fontId="5" fillId="0" borderId="12" xfId="0" applyNumberFormat="1" applyFont="1" applyBorder="1"/>
    <xf numFmtId="2" fontId="5" fillId="0" borderId="0" xfId="0" applyNumberFormat="1" applyFont="1"/>
    <xf numFmtId="164" fontId="5" fillId="0" borderId="0" xfId="0" applyNumberFormat="1" applyFont="1"/>
    <xf numFmtId="37" fontId="5" fillId="0" borderId="12" xfId="0" applyNumberFormat="1" applyFont="1" applyBorder="1" applyAlignment="1"/>
    <xf numFmtId="165" fontId="5" fillId="0" borderId="0" xfId="0" applyNumberFormat="1" applyFont="1"/>
    <xf numFmtId="37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7" fontId="5" fillId="0" borderId="0" xfId="0" applyNumberFormat="1" applyFont="1" applyAlignment="1"/>
    <xf numFmtId="3" fontId="5" fillId="0" borderId="0" xfId="0" applyNumberFormat="1" applyFont="1"/>
    <xf numFmtId="4" fontId="5" fillId="0" borderId="0" xfId="0" applyNumberFormat="1" applyFont="1"/>
    <xf numFmtId="166" fontId="5" fillId="0" borderId="0" xfId="0" applyNumberFormat="1" applyFont="1"/>
    <xf numFmtId="0" fontId="6" fillId="0" borderId="0" xfId="0" applyFont="1" applyAlignment="1"/>
    <xf numFmtId="0" fontId="6" fillId="0" borderId="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35" xfId="0" applyFont="1" applyBorder="1" applyAlignment="1"/>
    <xf numFmtId="37" fontId="5" fillId="9" borderId="12" xfId="0" applyNumberFormat="1" applyFont="1" applyFill="1" applyBorder="1" applyAlignment="1"/>
    <xf numFmtId="37" fontId="5" fillId="10" borderId="12" xfId="0" applyNumberFormat="1" applyFont="1" applyFill="1" applyBorder="1" applyAlignment="1"/>
    <xf numFmtId="39" fontId="5" fillId="0" borderId="12" xfId="0" applyNumberFormat="1" applyFont="1" applyBorder="1" applyAlignment="1"/>
    <xf numFmtId="39" fontId="5" fillId="0" borderId="13" xfId="0" applyNumberFormat="1" applyFont="1" applyBorder="1" applyAlignment="1"/>
    <xf numFmtId="37" fontId="5" fillId="9" borderId="35" xfId="0" applyNumberFormat="1" applyFont="1" applyFill="1" applyBorder="1" applyAlignment="1"/>
    <xf numFmtId="37" fontId="5" fillId="0" borderId="35" xfId="0" applyNumberFormat="1" applyFont="1" applyBorder="1"/>
    <xf numFmtId="37" fontId="5" fillId="0" borderId="13" xfId="0" applyNumberFormat="1" applyFont="1" applyBorder="1" applyAlignment="1"/>
    <xf numFmtId="2" fontId="5" fillId="0" borderId="0" xfId="0" applyNumberFormat="1" applyFont="1" applyAlignment="1"/>
    <xf numFmtId="164" fontId="5" fillId="0" borderId="0" xfId="0" applyNumberFormat="1" applyFont="1" applyAlignment="1"/>
    <xf numFmtId="37" fontId="5" fillId="9" borderId="17" xfId="0" applyNumberFormat="1" applyFont="1" applyFill="1" applyBorder="1" applyAlignment="1"/>
    <xf numFmtId="37" fontId="5" fillId="0" borderId="17" xfId="0" applyNumberFormat="1" applyFont="1" applyBorder="1" applyAlignment="1"/>
    <xf numFmtId="37" fontId="5" fillId="10" borderId="17" xfId="0" applyNumberFormat="1" applyFont="1" applyFill="1" applyBorder="1" applyAlignment="1"/>
    <xf numFmtId="39" fontId="5" fillId="0" borderId="17" xfId="0" applyNumberFormat="1" applyFont="1" applyBorder="1" applyAlignment="1"/>
    <xf numFmtId="39" fontId="5" fillId="0" borderId="18" xfId="0" applyNumberFormat="1" applyFont="1" applyBorder="1" applyAlignment="1"/>
    <xf numFmtId="37" fontId="5" fillId="9" borderId="36" xfId="0" applyNumberFormat="1" applyFont="1" applyFill="1" applyBorder="1" applyAlignment="1"/>
    <xf numFmtId="37" fontId="5" fillId="0" borderId="36" xfId="0" applyNumberFormat="1" applyFont="1" applyBorder="1"/>
    <xf numFmtId="37" fontId="5" fillId="0" borderId="17" xfId="0" applyNumberFormat="1" applyFont="1" applyBorder="1"/>
    <xf numFmtId="37" fontId="5" fillId="0" borderId="18" xfId="0" applyNumberFormat="1" applyFont="1" applyBorder="1" applyAlignment="1"/>
    <xf numFmtId="0" fontId="6" fillId="0" borderId="37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165" fontId="5" fillId="0" borderId="0" xfId="0" applyNumberFormat="1" applyFont="1" applyAlignment="1"/>
    <xf numFmtId="167" fontId="5" fillId="0" borderId="0" xfId="0" applyNumberFormat="1" applyFont="1"/>
    <xf numFmtId="167" fontId="5" fillId="0" borderId="0" xfId="0" applyNumberFormat="1" applyFont="1" applyAlignment="1"/>
    <xf numFmtId="2" fontId="10" fillId="0" borderId="0" xfId="0" applyNumberFormat="1" applyFont="1" applyAlignment="1"/>
    <xf numFmtId="0" fontId="6" fillId="2" borderId="29" xfId="0" applyFont="1" applyFill="1" applyBorder="1" applyAlignment="1"/>
    <xf numFmtId="37" fontId="11" fillId="9" borderId="35" xfId="0" applyNumberFormat="1" applyFont="1" applyFill="1" applyBorder="1" applyAlignment="1"/>
    <xf numFmtId="37" fontId="11" fillId="9" borderId="36" xfId="0" applyNumberFormat="1" applyFont="1" applyFill="1" applyBorder="1" applyAlignment="1"/>
    <xf numFmtId="0" fontId="6" fillId="11" borderId="29" xfId="0" applyFont="1" applyFill="1" applyBorder="1" applyAlignment="1"/>
    <xf numFmtId="0" fontId="6" fillId="0" borderId="37" xfId="0" applyFont="1" applyBorder="1" applyAlignment="1">
      <alignment horizontal="center"/>
    </xf>
    <xf numFmtId="0" fontId="6" fillId="0" borderId="33" xfId="0" applyFont="1" applyBorder="1" applyAlignment="1"/>
    <xf numFmtId="0" fontId="6" fillId="0" borderId="31" xfId="0" applyFont="1" applyBorder="1"/>
    <xf numFmtId="0" fontId="6" fillId="0" borderId="30" xfId="0" applyFont="1" applyBorder="1" applyAlignment="1"/>
    <xf numFmtId="0" fontId="6" fillId="0" borderId="32" xfId="0" applyFont="1" applyBorder="1"/>
    <xf numFmtId="37" fontId="5" fillId="9" borderId="35" xfId="0" applyNumberFormat="1" applyFont="1" applyFill="1" applyBorder="1"/>
    <xf numFmtId="37" fontId="5" fillId="10" borderId="12" xfId="0" applyNumberFormat="1" applyFont="1" applyFill="1" applyBorder="1"/>
    <xf numFmtId="37" fontId="5" fillId="9" borderId="36" xfId="0" applyNumberFormat="1" applyFont="1" applyFill="1" applyBorder="1"/>
    <xf numFmtId="37" fontId="5" fillId="10" borderId="17" xfId="0" applyNumberFormat="1" applyFont="1" applyFill="1" applyBorder="1"/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1" fontId="5" fillId="0" borderId="12" xfId="0" applyNumberFormat="1" applyFont="1" applyBorder="1" applyAlignment="1"/>
    <xf numFmtId="168" fontId="4" fillId="0" borderId="0" xfId="0" applyNumberFormat="1" applyFont="1" applyAlignment="1">
      <alignment horizontal="center"/>
    </xf>
    <xf numFmtId="4" fontId="2" fillId="0" borderId="0" xfId="0" applyNumberFormat="1" applyFont="1"/>
    <xf numFmtId="0" fontId="12" fillId="0" borderId="0" xfId="0" applyFont="1"/>
    <xf numFmtId="3" fontId="2" fillId="0" borderId="0" xfId="0" applyNumberFormat="1" applyFont="1" applyAlignment="1"/>
    <xf numFmtId="9" fontId="2" fillId="0" borderId="0" xfId="0" applyNumberFormat="1" applyFont="1" applyAlignment="1"/>
    <xf numFmtId="169" fontId="2" fillId="0" borderId="0" xfId="0" applyNumberFormat="1" applyFont="1" applyAlignment="1"/>
    <xf numFmtId="170" fontId="2" fillId="0" borderId="0" xfId="0" applyNumberFormat="1" applyFont="1" applyAlignment="1"/>
    <xf numFmtId="0" fontId="13" fillId="1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2" fillId="13" borderId="0" xfId="0" applyFont="1" applyFill="1" applyAlignment="1"/>
    <xf numFmtId="39" fontId="15" fillId="13" borderId="0" xfId="0" applyNumberFormat="1" applyFont="1" applyFill="1"/>
    <xf numFmtId="39" fontId="15" fillId="14" borderId="0" xfId="0" applyNumberFormat="1" applyFont="1" applyFill="1"/>
    <xf numFmtId="1" fontId="2" fillId="0" borderId="0" xfId="0" applyNumberFormat="1" applyFont="1"/>
    <xf numFmtId="0" fontId="2" fillId="13" borderId="0" xfId="0" applyFont="1" applyFill="1"/>
    <xf numFmtId="37" fontId="9" fillId="0" borderId="0" xfId="0" applyNumberFormat="1" applyFont="1"/>
    <xf numFmtId="37" fontId="2" fillId="13" borderId="0" xfId="0" applyNumberFormat="1" applyFont="1" applyFill="1"/>
    <xf numFmtId="39" fontId="2" fillId="0" borderId="0" xfId="0" applyNumberFormat="1" applyFont="1"/>
    <xf numFmtId="37" fontId="2" fillId="0" borderId="0" xfId="0" applyNumberFormat="1" applyFont="1" applyAlignment="1"/>
    <xf numFmtId="0" fontId="12" fillId="0" borderId="0" xfId="0" applyFont="1" applyAlignment="1"/>
    <xf numFmtId="37" fontId="2" fillId="0" borderId="0" xfId="0" applyNumberFormat="1" applyFont="1"/>
    <xf numFmtId="3" fontId="16" fillId="0" borderId="0" xfId="0" applyNumberFormat="1" applyFont="1" applyAlignment="1"/>
    <xf numFmtId="171" fontId="1" fillId="0" borderId="0" xfId="0" applyNumberFormat="1" applyFont="1"/>
    <xf numFmtId="37" fontId="2" fillId="2" borderId="0" xfId="0" applyNumberFormat="1" applyFont="1" applyFill="1"/>
    <xf numFmtId="0" fontId="2" fillId="2" borderId="0" xfId="0" applyFont="1" applyFill="1" applyAlignment="1"/>
    <xf numFmtId="39" fontId="2" fillId="0" borderId="0" xfId="0" applyNumberFormat="1" applyFont="1" applyAlignment="1"/>
    <xf numFmtId="0" fontId="16" fillId="0" borderId="0" xfId="0" applyFont="1" applyAlignment="1"/>
    <xf numFmtId="3" fontId="2" fillId="0" borderId="0" xfId="0" applyNumberFormat="1" applyFont="1"/>
    <xf numFmtId="37" fontId="2" fillId="15" borderId="0" xfId="0" applyNumberFormat="1" applyFont="1" applyFill="1"/>
    <xf numFmtId="39" fontId="2" fillId="15" borderId="0" xfId="0" applyNumberFormat="1" applyFont="1" applyFill="1"/>
    <xf numFmtId="39" fontId="2" fillId="16" borderId="0" xfId="0" applyNumberFormat="1" applyFont="1" applyFill="1" applyAlignment="1"/>
    <xf numFmtId="0" fontId="17" fillId="0" borderId="0" xfId="0" applyFont="1" applyAlignment="1"/>
    <xf numFmtId="3" fontId="17" fillId="0" borderId="0" xfId="0" applyNumberFormat="1" applyFont="1" applyAlignment="1"/>
    <xf numFmtId="37" fontId="2" fillId="17" borderId="0" xfId="0" applyNumberFormat="1" applyFont="1" applyFill="1"/>
    <xf numFmtId="39" fontId="2" fillId="17" borderId="0" xfId="0" applyNumberFormat="1" applyFont="1" applyFill="1"/>
    <xf numFmtId="39" fontId="2" fillId="18" borderId="0" xfId="0" applyNumberFormat="1" applyFont="1" applyFill="1"/>
    <xf numFmtId="0" fontId="18" fillId="13" borderId="0" xfId="0" applyFont="1" applyFill="1" applyAlignment="1"/>
    <xf numFmtId="172" fontId="2" fillId="0" borderId="0" xfId="0" applyNumberFormat="1" applyFont="1"/>
    <xf numFmtId="1" fontId="1" fillId="0" borderId="0" xfId="0" applyNumberFormat="1" applyFont="1"/>
    <xf numFmtId="39" fontId="19" fillId="13" borderId="0" xfId="0" applyNumberFormat="1" applyFont="1" applyFill="1"/>
    <xf numFmtId="2" fontId="2" fillId="13" borderId="0" xfId="0" applyNumberFormat="1" applyFont="1" applyFill="1"/>
    <xf numFmtId="0" fontId="2" fillId="0" borderId="38" xfId="0" applyFont="1" applyBorder="1"/>
    <xf numFmtId="0" fontId="2" fillId="0" borderId="38" xfId="0" applyFont="1" applyBorder="1" applyAlignment="1"/>
    <xf numFmtId="39" fontId="20" fillId="19" borderId="38" xfId="0" applyNumberFormat="1" applyFont="1" applyFill="1" applyBorder="1" applyAlignment="1"/>
    <xf numFmtId="37" fontId="19" fillId="19" borderId="38" xfId="0" applyNumberFormat="1" applyFont="1" applyFill="1" applyBorder="1"/>
    <xf numFmtId="2" fontId="19" fillId="19" borderId="38" xfId="0" applyNumberFormat="1" applyFont="1" applyFill="1" applyBorder="1"/>
    <xf numFmtId="10" fontId="21" fillId="16" borderId="38" xfId="0" applyNumberFormat="1" applyFont="1" applyFill="1" applyBorder="1"/>
    <xf numFmtId="37" fontId="19" fillId="16" borderId="38" xfId="0" applyNumberFormat="1" applyFont="1" applyFill="1" applyBorder="1"/>
    <xf numFmtId="37" fontId="19" fillId="20" borderId="38" xfId="0" applyNumberFormat="1" applyFont="1" applyFill="1" applyBorder="1"/>
    <xf numFmtId="39" fontId="19" fillId="19" borderId="38" xfId="0" applyNumberFormat="1" applyFont="1" applyFill="1" applyBorder="1"/>
    <xf numFmtId="39" fontId="2" fillId="0" borderId="38" xfId="0" applyNumberFormat="1" applyFont="1" applyBorder="1"/>
    <xf numFmtId="39" fontId="12" fillId="13" borderId="0" xfId="0" applyNumberFormat="1" applyFont="1" applyFill="1"/>
    <xf numFmtId="2" fontId="2" fillId="0" borderId="0" xfId="0" applyNumberFormat="1" applyFont="1"/>
    <xf numFmtId="0" fontId="2" fillId="0" borderId="0" xfId="0" applyFont="1"/>
    <xf numFmtId="39" fontId="20" fillId="19" borderId="0" xfId="0" applyNumberFormat="1" applyFont="1" applyFill="1" applyAlignment="1"/>
    <xf numFmtId="37" fontId="19" fillId="19" borderId="0" xfId="0" applyNumberFormat="1" applyFont="1" applyFill="1"/>
    <xf numFmtId="10" fontId="15" fillId="16" borderId="0" xfId="0" applyNumberFormat="1" applyFont="1" applyFill="1"/>
    <xf numFmtId="37" fontId="19" fillId="16" borderId="0" xfId="0" applyNumberFormat="1" applyFont="1" applyFill="1"/>
    <xf numFmtId="37" fontId="19" fillId="20" borderId="0" xfId="0" applyNumberFormat="1" applyFont="1" applyFill="1"/>
    <xf numFmtId="39" fontId="19" fillId="19" borderId="0" xfId="0" applyNumberFormat="1" applyFont="1" applyFill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3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4" fillId="21" borderId="0" xfId="0" applyNumberFormat="1" applyFont="1" applyFill="1"/>
    <xf numFmtId="4" fontId="5" fillId="21" borderId="0" xfId="0" applyNumberFormat="1" applyFont="1" applyFill="1"/>
    <xf numFmtId="0" fontId="22" fillId="0" borderId="0" xfId="0" applyFont="1" applyAlignment="1">
      <alignment wrapText="1"/>
    </xf>
    <xf numFmtId="173" fontId="22" fillId="0" borderId="0" xfId="0" applyNumberFormat="1" applyFont="1" applyAlignment="1">
      <alignment horizontal="right"/>
    </xf>
    <xf numFmtId="3" fontId="22" fillId="0" borderId="0" xfId="0" applyNumberFormat="1" applyFont="1" applyAlignment="1"/>
    <xf numFmtId="0" fontId="22" fillId="0" borderId="0" xfId="0" applyFont="1" applyAlignment="1"/>
    <xf numFmtId="4" fontId="22" fillId="0" borderId="0" xfId="0" applyNumberFormat="1" applyFont="1" applyAlignment="1"/>
    <xf numFmtId="0" fontId="2" fillId="0" borderId="0" xfId="0" applyFont="1" applyAlignment="1">
      <alignment horizontal="left"/>
    </xf>
    <xf numFmtId="39" fontId="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173" fontId="9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3" fillId="12" borderId="0" xfId="0" applyFont="1" applyFill="1" applyAlignment="1">
      <alignment horizontal="left"/>
    </xf>
    <xf numFmtId="0" fontId="13" fillId="1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73" fontId="2" fillId="0" borderId="0" xfId="0" applyNumberFormat="1" applyFont="1"/>
    <xf numFmtId="0" fontId="2" fillId="1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4" fillId="0" borderId="0" xfId="0" applyFont="1" applyAlignment="1"/>
    <xf numFmtId="0" fontId="24" fillId="0" borderId="39" xfId="0" applyFont="1" applyBorder="1" applyAlignment="1">
      <alignment wrapText="1"/>
    </xf>
    <xf numFmtId="3" fontId="24" fillId="0" borderId="39" xfId="0" applyNumberFormat="1" applyFont="1" applyBorder="1" applyAlignment="1">
      <alignment horizontal="right" wrapText="1"/>
    </xf>
    <xf numFmtId="0" fontId="24" fillId="0" borderId="39" xfId="0" applyFont="1" applyBorder="1" applyAlignment="1">
      <alignment horizontal="right" wrapText="1"/>
    </xf>
    <xf numFmtId="0" fontId="5" fillId="7" borderId="22" xfId="0" applyFont="1" applyFill="1" applyBorder="1" applyAlignment="1">
      <alignment horizontal="center" vertical="center"/>
    </xf>
    <xf numFmtId="0" fontId="7" fillId="0" borderId="23" xfId="0" applyFont="1" applyBorder="1"/>
    <xf numFmtId="0" fontId="7" fillId="0" borderId="24" xfId="0" applyFont="1" applyBorder="1"/>
    <xf numFmtId="0" fontId="5" fillId="0" borderId="6" xfId="0" applyFont="1" applyBorder="1" applyAlignment="1">
      <alignment horizontal="center" vertical="center" wrapText="1"/>
    </xf>
    <xf numFmtId="0" fontId="7" fillId="0" borderId="16" xfId="0" applyFont="1" applyBorder="1"/>
    <xf numFmtId="0" fontId="5" fillId="0" borderId="5" xfId="0" applyFont="1" applyBorder="1" applyAlignment="1">
      <alignment horizontal="center" vertical="center" wrapText="1"/>
    </xf>
    <xf numFmtId="0" fontId="7" fillId="0" borderId="9" xfId="0" applyFont="1" applyBorder="1"/>
    <xf numFmtId="0" fontId="7" fillId="0" borderId="15" xfId="0" applyFont="1" applyBorder="1"/>
    <xf numFmtId="0" fontId="5" fillId="7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0" xfId="0" applyFont="1" applyBorder="1"/>
    <xf numFmtId="0" fontId="7" fillId="0" borderId="14" xfId="0" applyFont="1" applyBorder="1"/>
    <xf numFmtId="0" fontId="5" fillId="7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4" fillId="3" borderId="0" xfId="0" applyFont="1" applyFill="1" applyAlignment="1">
      <alignment horizontal="center"/>
    </xf>
    <xf numFmtId="0" fontId="0" fillId="0" borderId="0" xfId="0" applyFont="1" applyAlignment="1"/>
    <xf numFmtId="0" fontId="6" fillId="1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52">
    <dxf>
      <fill>
        <patternFill patternType="solid">
          <fgColor rgb="FFB7E1CD"/>
          <bgColor rgb="FFB7E1CD"/>
        </patternFill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color rgb="FF34A853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PCC Regular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16F-44F9-9753-16C6BD2E8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9645203"/>
        <c:axId val="1073630684"/>
      </c:barChart>
      <c:catAx>
        <c:axId val="1049645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3630684"/>
        <c:crosses val="autoZero"/>
        <c:auto val="1"/>
        <c:lblAlgn val="ctr"/>
        <c:lblOffset val="100"/>
        <c:noMultiLvlLbl val="1"/>
      </c:catAx>
      <c:valAx>
        <c:axId val="1073630684"/>
        <c:scaling>
          <c:orientation val="minMax"/>
          <c:max val="6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9645203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Type V (DuPro)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60E-44D2-8F5E-094E5D8EE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5739564"/>
        <c:axId val="1527649872"/>
      </c:barChart>
      <c:catAx>
        <c:axId val="435739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7649872"/>
        <c:crosses val="autoZero"/>
        <c:auto val="1"/>
        <c:lblAlgn val="ctr"/>
        <c:lblOffset val="100"/>
        <c:noMultiLvlLbl val="1"/>
      </c:catAx>
      <c:valAx>
        <c:axId val="1527649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3573956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RFP (SprintPro)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1DE-4EB5-8443-1176780A4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9875465"/>
        <c:axId val="579401796"/>
      </c:barChart>
      <c:catAx>
        <c:axId val="17398754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9401796"/>
        <c:crosses val="autoZero"/>
        <c:auto val="1"/>
        <c:lblAlgn val="ctr"/>
        <c:lblOffset val="100"/>
        <c:noMultiLvlLbl val="1"/>
      </c:catAx>
      <c:valAx>
        <c:axId val="579401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98754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OPC Type I (UltraPro)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673-44FF-923F-5DD5EECD3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2438948"/>
        <c:axId val="1048926480"/>
      </c:barChart>
      <c:catAx>
        <c:axId val="1702438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8926480"/>
        <c:crosses val="autoZero"/>
        <c:auto val="1"/>
        <c:lblAlgn val="ctr"/>
        <c:lblOffset val="100"/>
        <c:noMultiLvlLbl val="1"/>
      </c:catAx>
      <c:valAx>
        <c:axId val="1048926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243894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1</xdr:row>
      <xdr:rowOff>28575</xdr:rowOff>
    </xdr:from>
    <xdr:ext cx="11449050" cy="3533775"/>
    <xdr:graphicFrame macro=""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323850</xdr:colOff>
      <xdr:row>20</xdr:row>
      <xdr:rowOff>28575</xdr:rowOff>
    </xdr:from>
    <xdr:ext cx="11449050" cy="3533775"/>
    <xdr:graphicFrame macro=""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323850</xdr:colOff>
      <xdr:row>39</xdr:row>
      <xdr:rowOff>28575</xdr:rowOff>
    </xdr:from>
    <xdr:ext cx="11449050" cy="3533775"/>
    <xdr:graphicFrame macro=""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323850</xdr:colOff>
      <xdr:row>58</xdr:row>
      <xdr:rowOff>28575</xdr:rowOff>
    </xdr:from>
    <xdr:ext cx="11449050" cy="3533775"/>
    <xdr:graphicFrame macro=""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0</xdr:row>
      <xdr:rowOff>38100</xdr:rowOff>
    </xdr:from>
    <xdr:ext cx="4838700" cy="4295775"/>
    <xdr:pic>
      <xdr:nvPicPr>
        <xdr:cNvPr id="2" name="image3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4876800" cy="3409950"/>
    <xdr:pic>
      <xdr:nvPicPr>
        <xdr:cNvPr id="3" name="image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F1000"/>
  <sheetViews>
    <sheetView workbookViewId="0"/>
  </sheetViews>
  <sheetFormatPr defaultColWidth="12.6328125" defaultRowHeight="15.75" customHeight="1" x14ac:dyDescent="0.25"/>
  <cols>
    <col min="1" max="1" width="7.6328125" customWidth="1"/>
    <col min="2" max="2" width="29" customWidth="1"/>
    <col min="3" max="3" width="14.7265625" customWidth="1"/>
    <col min="4" max="4" width="15.36328125" customWidth="1"/>
    <col min="5" max="5" width="20" customWidth="1"/>
    <col min="6" max="6" width="18" customWidth="1"/>
    <col min="7" max="26" width="7.6328125" customWidth="1"/>
  </cols>
  <sheetData>
    <row r="1" spans="2:6" ht="14.25" customHeight="1" x14ac:dyDescent="0.25"/>
    <row r="2" spans="2:6" ht="14.25" customHeight="1" x14ac:dyDescent="0.35">
      <c r="B2" s="11" t="s">
        <v>1</v>
      </c>
      <c r="C2" s="12" t="s">
        <v>44</v>
      </c>
      <c r="D2" s="13" t="s">
        <v>45</v>
      </c>
      <c r="E2" s="13" t="s">
        <v>46</v>
      </c>
      <c r="F2" s="14" t="s">
        <v>47</v>
      </c>
    </row>
    <row r="3" spans="2:6" ht="14.25" customHeight="1" x14ac:dyDescent="0.35">
      <c r="B3" s="209" t="s">
        <v>48</v>
      </c>
      <c r="C3" s="213" t="s">
        <v>49</v>
      </c>
      <c r="D3" s="15" t="s">
        <v>50</v>
      </c>
      <c r="E3" s="15" t="s">
        <v>51</v>
      </c>
      <c r="F3" s="16" t="s">
        <v>52</v>
      </c>
    </row>
    <row r="4" spans="2:6" ht="14.25" customHeight="1" x14ac:dyDescent="0.35">
      <c r="B4" s="210"/>
      <c r="C4" s="214"/>
      <c r="D4" s="216" t="s">
        <v>53</v>
      </c>
      <c r="E4" s="17" t="s">
        <v>54</v>
      </c>
      <c r="F4" s="18" t="s">
        <v>55</v>
      </c>
    </row>
    <row r="5" spans="2:6" ht="14.25" customHeight="1" x14ac:dyDescent="0.35">
      <c r="B5" s="210"/>
      <c r="C5" s="214"/>
      <c r="D5" s="214"/>
      <c r="E5" s="17" t="s">
        <v>56</v>
      </c>
      <c r="F5" s="18" t="s">
        <v>56</v>
      </c>
    </row>
    <row r="6" spans="2:6" ht="14.25" customHeight="1" x14ac:dyDescent="0.35">
      <c r="B6" s="210"/>
      <c r="C6" s="214"/>
      <c r="D6" s="214"/>
      <c r="E6" s="17" t="s">
        <v>57</v>
      </c>
      <c r="F6" s="18" t="s">
        <v>57</v>
      </c>
    </row>
    <row r="7" spans="2:6" ht="14.25" customHeight="1" x14ac:dyDescent="0.35">
      <c r="B7" s="210"/>
      <c r="C7" s="214"/>
      <c r="D7" s="214"/>
      <c r="E7" s="17" t="s">
        <v>58</v>
      </c>
      <c r="F7" s="18" t="s">
        <v>58</v>
      </c>
    </row>
    <row r="8" spans="2:6" ht="14.25" customHeight="1" x14ac:dyDescent="0.35">
      <c r="B8" s="210"/>
      <c r="C8" s="215"/>
      <c r="D8" s="215"/>
      <c r="E8" s="17" t="s">
        <v>59</v>
      </c>
      <c r="F8" s="18" t="s">
        <v>59</v>
      </c>
    </row>
    <row r="9" spans="2:6" ht="14.25" customHeight="1" x14ac:dyDescent="0.35">
      <c r="B9" s="210"/>
      <c r="C9" s="217" t="s">
        <v>60</v>
      </c>
      <c r="D9" s="17" t="s">
        <v>53</v>
      </c>
      <c r="E9" s="17" t="s">
        <v>61</v>
      </c>
      <c r="F9" s="18" t="s">
        <v>62</v>
      </c>
    </row>
    <row r="10" spans="2:6" ht="14.25" customHeight="1" x14ac:dyDescent="0.35">
      <c r="B10" s="211"/>
      <c r="C10" s="208"/>
      <c r="D10" s="19" t="s">
        <v>50</v>
      </c>
      <c r="E10" s="19" t="s">
        <v>61</v>
      </c>
      <c r="F10" s="20" t="s">
        <v>63</v>
      </c>
    </row>
    <row r="11" spans="2:6" ht="14.25" customHeight="1" x14ac:dyDescent="0.35">
      <c r="B11" s="21" t="s">
        <v>64</v>
      </c>
      <c r="C11" s="22"/>
      <c r="D11" s="23" t="s">
        <v>50</v>
      </c>
      <c r="E11" s="24" t="s">
        <v>65</v>
      </c>
      <c r="F11" s="25" t="s">
        <v>63</v>
      </c>
    </row>
    <row r="12" spans="2:6" ht="14.25" customHeight="1" x14ac:dyDescent="0.35">
      <c r="B12" s="209" t="s">
        <v>66</v>
      </c>
      <c r="C12" s="213" t="s">
        <v>67</v>
      </c>
      <c r="D12" s="15" t="s">
        <v>50</v>
      </c>
      <c r="E12" s="15" t="s">
        <v>68</v>
      </c>
      <c r="F12" s="204" t="s">
        <v>69</v>
      </c>
    </row>
    <row r="13" spans="2:6" ht="14.25" customHeight="1" x14ac:dyDescent="0.35">
      <c r="B13" s="210"/>
      <c r="C13" s="214"/>
      <c r="D13" s="17" t="s">
        <v>50</v>
      </c>
      <c r="E13" s="17" t="s">
        <v>56</v>
      </c>
      <c r="F13" s="205"/>
    </row>
    <row r="14" spans="2:6" ht="14.25" customHeight="1" x14ac:dyDescent="0.35">
      <c r="B14" s="210"/>
      <c r="C14" s="214"/>
      <c r="D14" s="17" t="s">
        <v>50</v>
      </c>
      <c r="E14" s="17" t="s">
        <v>57</v>
      </c>
      <c r="F14" s="205"/>
    </row>
    <row r="15" spans="2:6" ht="14.25" customHeight="1" x14ac:dyDescent="0.35">
      <c r="B15" s="210"/>
      <c r="C15" s="214"/>
      <c r="D15" s="17" t="s">
        <v>50</v>
      </c>
      <c r="E15" s="17" t="s">
        <v>58</v>
      </c>
      <c r="F15" s="205"/>
    </row>
    <row r="16" spans="2:6" ht="14.25" customHeight="1" x14ac:dyDescent="0.35">
      <c r="B16" s="210"/>
      <c r="C16" s="215"/>
      <c r="D16" s="17" t="s">
        <v>50</v>
      </c>
      <c r="E16" s="17" t="s">
        <v>59</v>
      </c>
      <c r="F16" s="206"/>
    </row>
    <row r="17" spans="2:6" ht="14.25" customHeight="1" x14ac:dyDescent="0.35">
      <c r="B17" s="211"/>
      <c r="C17" s="22" t="s">
        <v>70</v>
      </c>
      <c r="D17" s="19" t="s">
        <v>50</v>
      </c>
      <c r="E17" s="19" t="s">
        <v>71</v>
      </c>
      <c r="F17" s="20" t="s">
        <v>72</v>
      </c>
    </row>
    <row r="18" spans="2:6" ht="14.25" customHeight="1" x14ac:dyDescent="0.25">
      <c r="B18" s="26" t="s">
        <v>73</v>
      </c>
      <c r="C18" s="207" t="s">
        <v>74</v>
      </c>
      <c r="D18" s="27" t="s">
        <v>50</v>
      </c>
      <c r="E18" s="27" t="s">
        <v>75</v>
      </c>
      <c r="F18" s="28" t="s">
        <v>76</v>
      </c>
    </row>
    <row r="19" spans="2:6" ht="14.25" customHeight="1" x14ac:dyDescent="0.25">
      <c r="B19" s="26" t="s">
        <v>77</v>
      </c>
      <c r="C19" s="208"/>
      <c r="D19" s="29" t="s">
        <v>50</v>
      </c>
      <c r="E19" s="29" t="s">
        <v>78</v>
      </c>
      <c r="F19" s="28" t="s">
        <v>79</v>
      </c>
    </row>
    <row r="20" spans="2:6" ht="29.25" customHeight="1" x14ac:dyDescent="0.25">
      <c r="B20" s="209" t="s">
        <v>80</v>
      </c>
      <c r="C20" s="207" t="s">
        <v>81</v>
      </c>
      <c r="D20" s="212" t="s">
        <v>82</v>
      </c>
      <c r="E20" s="30" t="s">
        <v>83</v>
      </c>
      <c r="F20" s="31" t="s">
        <v>84</v>
      </c>
    </row>
    <row r="21" spans="2:6" ht="14.25" customHeight="1" x14ac:dyDescent="0.25">
      <c r="B21" s="211"/>
      <c r="C21" s="208"/>
      <c r="D21" s="208"/>
      <c r="E21" s="27" t="s">
        <v>85</v>
      </c>
      <c r="F21" s="32" t="s">
        <v>84</v>
      </c>
    </row>
    <row r="22" spans="2:6" ht="14.25" hidden="1" customHeight="1" x14ac:dyDescent="0.25">
      <c r="B22" s="26" t="s">
        <v>86</v>
      </c>
      <c r="C22" s="33"/>
      <c r="D22" s="29" t="s">
        <v>50</v>
      </c>
      <c r="E22" s="29" t="s">
        <v>87</v>
      </c>
      <c r="F22" s="34" t="s">
        <v>65</v>
      </c>
    </row>
    <row r="23" spans="2:6" ht="14.25" hidden="1" customHeight="1" x14ac:dyDescent="0.35">
      <c r="B23" s="35" t="s">
        <v>88</v>
      </c>
      <c r="C23" s="36"/>
      <c r="D23" s="37" t="s">
        <v>53</v>
      </c>
      <c r="E23" s="37" t="s">
        <v>89</v>
      </c>
      <c r="F23" s="38" t="s">
        <v>65</v>
      </c>
    </row>
    <row r="24" spans="2:6" ht="14.25" customHeight="1" x14ac:dyDescent="0.35">
      <c r="D24" s="39"/>
      <c r="E24" s="39"/>
      <c r="F24" s="40"/>
    </row>
    <row r="25" spans="2:6" ht="14.25" customHeight="1" x14ac:dyDescent="0.25"/>
    <row r="26" spans="2:6" ht="14.25" customHeight="1" x14ac:dyDescent="0.25"/>
    <row r="27" spans="2:6" ht="14.25" customHeight="1" x14ac:dyDescent="0.25"/>
    <row r="28" spans="2:6" ht="14.25" customHeight="1" x14ac:dyDescent="0.25"/>
    <row r="29" spans="2:6" ht="14.25" customHeight="1" x14ac:dyDescent="0.25"/>
    <row r="30" spans="2:6" ht="14.25" customHeight="1" x14ac:dyDescent="0.25"/>
    <row r="31" spans="2:6" ht="14.25" customHeight="1" x14ac:dyDescent="0.25"/>
    <row r="32" spans="2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1">
    <mergeCell ref="B3:B10"/>
    <mergeCell ref="C3:C8"/>
    <mergeCell ref="D4:D8"/>
    <mergeCell ref="C9:C10"/>
    <mergeCell ref="C12:C16"/>
    <mergeCell ref="F12:F16"/>
    <mergeCell ref="C18:C19"/>
    <mergeCell ref="B12:B17"/>
    <mergeCell ref="B20:B21"/>
    <mergeCell ref="C20:C21"/>
    <mergeCell ref="D20:D2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M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328125" defaultRowHeight="15.75" customHeight="1" x14ac:dyDescent="0.25"/>
  <cols>
    <col min="1" max="1" width="7.6328125" customWidth="1"/>
    <col min="2" max="91" width="11.08984375" customWidth="1"/>
  </cols>
  <sheetData>
    <row r="1" spans="1:91" ht="14.25" customHeight="1" x14ac:dyDescent="0.35">
      <c r="A1" s="10">
        <v>1</v>
      </c>
      <c r="B1" s="10">
        <v>2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10">
        <v>14</v>
      </c>
      <c r="O1" s="10">
        <v>15</v>
      </c>
      <c r="P1" s="10">
        <v>16</v>
      </c>
      <c r="Q1" s="10">
        <v>17</v>
      </c>
      <c r="R1" s="10">
        <v>18</v>
      </c>
      <c r="S1" s="10">
        <v>19</v>
      </c>
      <c r="T1" s="10">
        <v>20</v>
      </c>
      <c r="U1" s="10">
        <v>21</v>
      </c>
      <c r="V1" s="10">
        <v>22</v>
      </c>
      <c r="W1" s="10">
        <v>23</v>
      </c>
      <c r="X1" s="10">
        <v>24</v>
      </c>
      <c r="Y1" s="10">
        <v>25</v>
      </c>
      <c r="Z1" s="10">
        <v>26</v>
      </c>
      <c r="AA1" s="10">
        <v>27</v>
      </c>
      <c r="AB1" s="10">
        <v>28</v>
      </c>
      <c r="AC1" s="10">
        <v>29</v>
      </c>
      <c r="AD1" s="10">
        <v>30</v>
      </c>
      <c r="AE1" s="10">
        <v>31</v>
      </c>
      <c r="AF1" s="10">
        <v>32</v>
      </c>
      <c r="AG1" s="10">
        <v>33</v>
      </c>
      <c r="AH1" s="10">
        <v>34</v>
      </c>
      <c r="AI1" s="10">
        <v>35</v>
      </c>
      <c r="AJ1" s="10">
        <v>36</v>
      </c>
      <c r="AK1" s="10">
        <v>37</v>
      </c>
      <c r="AL1" s="10">
        <v>38</v>
      </c>
      <c r="AM1" s="10">
        <v>39</v>
      </c>
      <c r="AN1" s="10">
        <v>40</v>
      </c>
      <c r="AO1" s="10">
        <v>41</v>
      </c>
      <c r="AP1" s="10">
        <v>42</v>
      </c>
      <c r="AQ1" s="10">
        <v>43</v>
      </c>
      <c r="AR1" s="10">
        <v>44</v>
      </c>
      <c r="AS1" s="10">
        <v>45</v>
      </c>
      <c r="AT1" s="10">
        <v>46</v>
      </c>
      <c r="AU1" s="10">
        <v>47</v>
      </c>
      <c r="AV1" s="10">
        <v>48</v>
      </c>
      <c r="AW1" s="10">
        <v>49</v>
      </c>
      <c r="AX1" s="10">
        <v>50</v>
      </c>
      <c r="AY1" s="10">
        <v>51</v>
      </c>
      <c r="AZ1" s="10">
        <v>52</v>
      </c>
      <c r="BA1" s="10">
        <v>53</v>
      </c>
      <c r="BB1" s="10">
        <v>54</v>
      </c>
      <c r="BC1" s="10">
        <v>55</v>
      </c>
      <c r="BD1" s="10">
        <v>56</v>
      </c>
      <c r="BE1" s="10">
        <v>57</v>
      </c>
      <c r="BF1" s="10">
        <v>58</v>
      </c>
      <c r="BG1" s="10">
        <v>59</v>
      </c>
      <c r="BH1" s="10">
        <v>60</v>
      </c>
      <c r="BI1" s="10">
        <v>61</v>
      </c>
      <c r="BJ1" s="10">
        <v>62</v>
      </c>
      <c r="BK1" s="10">
        <v>63</v>
      </c>
      <c r="BL1" s="10">
        <v>64</v>
      </c>
      <c r="BM1" s="10">
        <v>65</v>
      </c>
      <c r="BN1" s="10">
        <v>66</v>
      </c>
      <c r="BO1" s="10">
        <v>67</v>
      </c>
      <c r="BP1" s="10">
        <v>68</v>
      </c>
      <c r="BQ1" s="10">
        <v>69</v>
      </c>
      <c r="BR1" s="10">
        <v>70</v>
      </c>
      <c r="BS1" s="10">
        <v>71</v>
      </c>
      <c r="BT1" s="10">
        <v>72</v>
      </c>
      <c r="BU1" s="10">
        <v>73</v>
      </c>
      <c r="BV1" s="10">
        <v>74</v>
      </c>
      <c r="BW1" s="10">
        <v>75</v>
      </c>
      <c r="BX1" s="10">
        <v>76</v>
      </c>
      <c r="BY1" s="10">
        <v>77</v>
      </c>
      <c r="BZ1" s="10">
        <v>78</v>
      </c>
      <c r="CA1" s="10">
        <v>79</v>
      </c>
      <c r="CB1" s="10">
        <v>80</v>
      </c>
      <c r="CC1" s="10">
        <v>81</v>
      </c>
      <c r="CD1" s="10">
        <v>82</v>
      </c>
      <c r="CE1" s="10">
        <v>83</v>
      </c>
      <c r="CF1" s="10">
        <v>84</v>
      </c>
      <c r="CG1" s="50"/>
      <c r="CH1" s="50"/>
      <c r="CI1" s="50"/>
      <c r="CJ1" s="50"/>
      <c r="CK1" s="50"/>
      <c r="CL1" s="50"/>
      <c r="CM1" s="50"/>
    </row>
    <row r="2" spans="1:91" ht="14.25" customHeight="1" x14ac:dyDescent="0.35">
      <c r="A2" s="56" t="s">
        <v>91</v>
      </c>
      <c r="B2" s="50"/>
      <c r="C2" s="50"/>
      <c r="D2" s="50"/>
      <c r="E2" s="50"/>
      <c r="F2" s="50"/>
      <c r="G2" s="50"/>
      <c r="H2" s="10" t="s">
        <v>92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</row>
    <row r="3" spans="1:91" ht="14.25" customHeight="1" x14ac:dyDescent="0.35">
      <c r="A3" s="56" t="s">
        <v>93</v>
      </c>
      <c r="B3" s="50"/>
      <c r="C3" s="50"/>
      <c r="D3" s="50"/>
      <c r="E3" s="50"/>
      <c r="F3" s="50"/>
      <c r="G3" s="50"/>
      <c r="H3" s="56" t="s">
        <v>116</v>
      </c>
      <c r="I3" s="50"/>
      <c r="J3" s="50"/>
      <c r="K3" s="50"/>
      <c r="L3" s="50"/>
      <c r="M3" s="50"/>
      <c r="N3" s="56" t="s">
        <v>95</v>
      </c>
      <c r="O3" s="50"/>
      <c r="P3" s="50"/>
      <c r="Q3" s="50"/>
      <c r="R3" s="50"/>
      <c r="S3" s="50"/>
      <c r="T3" s="56" t="s">
        <v>96</v>
      </c>
      <c r="U3" s="50"/>
      <c r="V3" s="50"/>
      <c r="W3" s="50"/>
      <c r="X3" s="50"/>
      <c r="Y3" s="50"/>
      <c r="Z3" s="56" t="s">
        <v>97</v>
      </c>
      <c r="AA3" s="50"/>
      <c r="AB3" s="50"/>
      <c r="AC3" s="50"/>
      <c r="AD3" s="50"/>
      <c r="AE3" s="50"/>
      <c r="AF3" s="56" t="s">
        <v>98</v>
      </c>
      <c r="AG3" s="50"/>
      <c r="AH3" s="50"/>
      <c r="AI3" s="50"/>
      <c r="AJ3" s="50"/>
      <c r="AK3" s="50"/>
      <c r="AL3" s="56" t="s">
        <v>89</v>
      </c>
      <c r="AM3" s="50"/>
      <c r="AN3" s="50"/>
      <c r="AO3" s="50"/>
      <c r="AP3" s="50"/>
      <c r="AQ3" s="50"/>
      <c r="AR3" s="56" t="s">
        <v>87</v>
      </c>
      <c r="AS3" s="50"/>
      <c r="AT3" s="50"/>
      <c r="AU3" s="50"/>
      <c r="AV3" s="50"/>
      <c r="AW3" s="50"/>
      <c r="AX3" s="56" t="s">
        <v>99</v>
      </c>
      <c r="AY3" s="50"/>
      <c r="AZ3" s="50"/>
      <c r="BA3" s="50"/>
      <c r="BB3" s="50"/>
      <c r="BC3" s="50"/>
      <c r="BD3" s="56" t="s">
        <v>100</v>
      </c>
      <c r="BE3" s="50"/>
      <c r="BF3" s="50"/>
      <c r="BG3" s="50"/>
      <c r="BH3" s="50"/>
      <c r="BI3" s="50"/>
      <c r="BJ3" s="56" t="s">
        <v>152</v>
      </c>
      <c r="BK3" s="50"/>
      <c r="BL3" s="50"/>
      <c r="BM3" s="50"/>
      <c r="BN3" s="50"/>
      <c r="BO3" s="50"/>
      <c r="BP3" s="50"/>
      <c r="BQ3" s="10" t="s">
        <v>101</v>
      </c>
      <c r="BR3" s="50"/>
      <c r="BS3" s="50"/>
      <c r="BT3" s="50"/>
      <c r="BU3" s="56" t="s">
        <v>153</v>
      </c>
      <c r="BV3" s="50"/>
      <c r="BW3" s="50"/>
      <c r="BX3" s="50"/>
      <c r="BY3" s="50"/>
      <c r="BZ3" s="50"/>
      <c r="CA3" s="56" t="s">
        <v>154</v>
      </c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</row>
    <row r="4" spans="1:91" ht="14.25" customHeight="1" x14ac:dyDescent="0.35">
      <c r="A4" s="57" t="s">
        <v>102</v>
      </c>
      <c r="B4" s="58" t="s">
        <v>2</v>
      </c>
      <c r="C4" s="59"/>
      <c r="D4" s="58" t="s">
        <v>3</v>
      </c>
      <c r="E4" s="59"/>
      <c r="F4" s="58" t="s">
        <v>103</v>
      </c>
      <c r="G4" s="60"/>
      <c r="H4" s="61" t="s">
        <v>2</v>
      </c>
      <c r="I4" s="59"/>
      <c r="J4" s="58" t="s">
        <v>3</v>
      </c>
      <c r="K4" s="59"/>
      <c r="L4" s="58" t="s">
        <v>103</v>
      </c>
      <c r="M4" s="60"/>
      <c r="N4" s="61" t="s">
        <v>2</v>
      </c>
      <c r="O4" s="59"/>
      <c r="P4" s="58" t="s">
        <v>3</v>
      </c>
      <c r="Q4" s="59"/>
      <c r="R4" s="58" t="s">
        <v>103</v>
      </c>
      <c r="S4" s="60"/>
      <c r="T4" s="61" t="s">
        <v>2</v>
      </c>
      <c r="U4" s="59"/>
      <c r="V4" s="58" t="s">
        <v>3</v>
      </c>
      <c r="W4" s="59"/>
      <c r="X4" s="58" t="s">
        <v>103</v>
      </c>
      <c r="Y4" s="60"/>
      <c r="Z4" s="61" t="s">
        <v>2</v>
      </c>
      <c r="AA4" s="59"/>
      <c r="AB4" s="58" t="s">
        <v>3</v>
      </c>
      <c r="AC4" s="59"/>
      <c r="AD4" s="58" t="s">
        <v>103</v>
      </c>
      <c r="AE4" s="60"/>
      <c r="AF4" s="61" t="s">
        <v>2</v>
      </c>
      <c r="AG4" s="59"/>
      <c r="AH4" s="58" t="s">
        <v>3</v>
      </c>
      <c r="AI4" s="59"/>
      <c r="AJ4" s="58" t="s">
        <v>103</v>
      </c>
      <c r="AK4" s="60"/>
      <c r="AL4" s="61" t="s">
        <v>2</v>
      </c>
      <c r="AM4" s="59"/>
      <c r="AN4" s="58" t="s">
        <v>3</v>
      </c>
      <c r="AO4" s="59"/>
      <c r="AP4" s="58" t="s">
        <v>103</v>
      </c>
      <c r="AQ4" s="60"/>
      <c r="AR4" s="61" t="s">
        <v>2</v>
      </c>
      <c r="AS4" s="59"/>
      <c r="AT4" s="58" t="s">
        <v>3</v>
      </c>
      <c r="AU4" s="59"/>
      <c r="AV4" s="58" t="s">
        <v>103</v>
      </c>
      <c r="AW4" s="60"/>
      <c r="AX4" s="61" t="s">
        <v>2</v>
      </c>
      <c r="AY4" s="59"/>
      <c r="AZ4" s="58" t="s">
        <v>3</v>
      </c>
      <c r="BA4" s="59"/>
      <c r="BB4" s="58" t="s">
        <v>103</v>
      </c>
      <c r="BC4" s="60"/>
      <c r="BD4" s="61" t="s">
        <v>2</v>
      </c>
      <c r="BE4" s="59"/>
      <c r="BF4" s="58" t="s">
        <v>3</v>
      </c>
      <c r="BG4" s="59"/>
      <c r="BH4" s="58" t="s">
        <v>103</v>
      </c>
      <c r="BI4" s="60"/>
      <c r="BJ4" s="61" t="s">
        <v>2</v>
      </c>
      <c r="BK4" s="59"/>
      <c r="BL4" s="58" t="s">
        <v>3</v>
      </c>
      <c r="BM4" s="59"/>
      <c r="BN4" s="58" t="s">
        <v>103</v>
      </c>
      <c r="BO4" s="60"/>
      <c r="BP4" s="50"/>
      <c r="BQ4" s="50"/>
      <c r="BR4" s="50"/>
      <c r="BS4" s="50"/>
      <c r="BT4" s="50"/>
      <c r="BU4" s="61" t="s">
        <v>2</v>
      </c>
      <c r="BV4" s="59"/>
      <c r="BW4" s="58" t="s">
        <v>3</v>
      </c>
      <c r="BX4" s="59"/>
      <c r="BY4" s="58" t="s">
        <v>103</v>
      </c>
      <c r="BZ4" s="60"/>
      <c r="CA4" s="61" t="s">
        <v>2</v>
      </c>
      <c r="CB4" s="59"/>
      <c r="CC4" s="58" t="s">
        <v>3</v>
      </c>
      <c r="CD4" s="59"/>
      <c r="CE4" s="58" t="s">
        <v>103</v>
      </c>
      <c r="CF4" s="60"/>
      <c r="CG4" s="50"/>
      <c r="CH4" s="50"/>
      <c r="CI4" s="10" t="s">
        <v>104</v>
      </c>
      <c r="CJ4" s="50"/>
      <c r="CK4" s="50"/>
      <c r="CL4" s="10" t="s">
        <v>105</v>
      </c>
      <c r="CM4" s="50"/>
    </row>
    <row r="5" spans="1:91" ht="14.25" customHeight="1" x14ac:dyDescent="0.35">
      <c r="A5" s="62"/>
      <c r="B5" s="63" t="s">
        <v>106</v>
      </c>
      <c r="C5" s="63" t="s">
        <v>107</v>
      </c>
      <c r="D5" s="63" t="s">
        <v>106</v>
      </c>
      <c r="E5" s="63" t="s">
        <v>107</v>
      </c>
      <c r="F5" s="63" t="s">
        <v>106</v>
      </c>
      <c r="G5" s="64" t="s">
        <v>107</v>
      </c>
      <c r="H5" s="65" t="s">
        <v>106</v>
      </c>
      <c r="I5" s="63" t="s">
        <v>107</v>
      </c>
      <c r="J5" s="63" t="s">
        <v>106</v>
      </c>
      <c r="K5" s="63" t="s">
        <v>107</v>
      </c>
      <c r="L5" s="63" t="s">
        <v>106</v>
      </c>
      <c r="M5" s="64" t="s">
        <v>107</v>
      </c>
      <c r="N5" s="65" t="s">
        <v>106</v>
      </c>
      <c r="O5" s="63" t="s">
        <v>107</v>
      </c>
      <c r="P5" s="63" t="s">
        <v>106</v>
      </c>
      <c r="Q5" s="63" t="s">
        <v>107</v>
      </c>
      <c r="R5" s="63" t="s">
        <v>106</v>
      </c>
      <c r="S5" s="64" t="s">
        <v>107</v>
      </c>
      <c r="T5" s="65" t="s">
        <v>106</v>
      </c>
      <c r="U5" s="63" t="s">
        <v>107</v>
      </c>
      <c r="V5" s="63" t="s">
        <v>106</v>
      </c>
      <c r="W5" s="63" t="s">
        <v>107</v>
      </c>
      <c r="X5" s="63" t="s">
        <v>106</v>
      </c>
      <c r="Y5" s="64" t="s">
        <v>107</v>
      </c>
      <c r="Z5" s="65" t="s">
        <v>106</v>
      </c>
      <c r="AA5" s="63" t="s">
        <v>107</v>
      </c>
      <c r="AB5" s="63" t="s">
        <v>106</v>
      </c>
      <c r="AC5" s="63" t="s">
        <v>107</v>
      </c>
      <c r="AD5" s="63" t="s">
        <v>106</v>
      </c>
      <c r="AE5" s="64" t="s">
        <v>107</v>
      </c>
      <c r="AF5" s="65" t="s">
        <v>106</v>
      </c>
      <c r="AG5" s="63" t="s">
        <v>107</v>
      </c>
      <c r="AH5" s="63" t="s">
        <v>106</v>
      </c>
      <c r="AI5" s="63" t="s">
        <v>107</v>
      </c>
      <c r="AJ5" s="63" t="s">
        <v>106</v>
      </c>
      <c r="AK5" s="64" t="s">
        <v>107</v>
      </c>
      <c r="AL5" s="65" t="s">
        <v>106</v>
      </c>
      <c r="AM5" s="63" t="s">
        <v>107</v>
      </c>
      <c r="AN5" s="63" t="s">
        <v>106</v>
      </c>
      <c r="AO5" s="63" t="s">
        <v>107</v>
      </c>
      <c r="AP5" s="63" t="s">
        <v>106</v>
      </c>
      <c r="AQ5" s="64" t="s">
        <v>107</v>
      </c>
      <c r="AR5" s="65" t="s">
        <v>106</v>
      </c>
      <c r="AS5" s="63" t="s">
        <v>107</v>
      </c>
      <c r="AT5" s="63" t="s">
        <v>106</v>
      </c>
      <c r="AU5" s="63" t="s">
        <v>107</v>
      </c>
      <c r="AV5" s="63" t="s">
        <v>106</v>
      </c>
      <c r="AW5" s="64" t="s">
        <v>107</v>
      </c>
      <c r="AX5" s="65" t="s">
        <v>106</v>
      </c>
      <c r="AY5" s="63" t="s">
        <v>107</v>
      </c>
      <c r="AZ5" s="63" t="s">
        <v>106</v>
      </c>
      <c r="BA5" s="63" t="s">
        <v>107</v>
      </c>
      <c r="BB5" s="63" t="s">
        <v>106</v>
      </c>
      <c r="BC5" s="64" t="s">
        <v>107</v>
      </c>
      <c r="BD5" s="65" t="s">
        <v>106</v>
      </c>
      <c r="BE5" s="63" t="s">
        <v>107</v>
      </c>
      <c r="BF5" s="63" t="s">
        <v>106</v>
      </c>
      <c r="BG5" s="63" t="s">
        <v>107</v>
      </c>
      <c r="BH5" s="63" t="s">
        <v>106</v>
      </c>
      <c r="BI5" s="64" t="s">
        <v>107</v>
      </c>
      <c r="BJ5" s="65" t="s">
        <v>106</v>
      </c>
      <c r="BK5" s="63" t="s">
        <v>107</v>
      </c>
      <c r="BL5" s="63" t="s">
        <v>106</v>
      </c>
      <c r="BM5" s="63" t="s">
        <v>107</v>
      </c>
      <c r="BN5" s="63" t="s">
        <v>106</v>
      </c>
      <c r="BO5" s="64" t="s">
        <v>107</v>
      </c>
      <c r="BP5" s="50"/>
      <c r="BQ5" s="66" t="s">
        <v>106</v>
      </c>
      <c r="BR5" s="66" t="s">
        <v>107</v>
      </c>
      <c r="BS5" s="50"/>
      <c r="BT5" s="50"/>
      <c r="BU5" s="65" t="s">
        <v>106</v>
      </c>
      <c r="BV5" s="63" t="s">
        <v>107</v>
      </c>
      <c r="BW5" s="63" t="s">
        <v>106</v>
      </c>
      <c r="BX5" s="63" t="s">
        <v>107</v>
      </c>
      <c r="BY5" s="63" t="s">
        <v>106</v>
      </c>
      <c r="BZ5" s="64" t="s">
        <v>107</v>
      </c>
      <c r="CA5" s="65" t="s">
        <v>106</v>
      </c>
      <c r="CB5" s="63" t="s">
        <v>107</v>
      </c>
      <c r="CC5" s="63" t="s">
        <v>106</v>
      </c>
      <c r="CD5" s="63" t="s">
        <v>107</v>
      </c>
      <c r="CE5" s="63" t="s">
        <v>106</v>
      </c>
      <c r="CF5" s="64" t="s">
        <v>107</v>
      </c>
      <c r="CG5" s="50"/>
      <c r="CH5" s="50"/>
      <c r="CI5" s="50"/>
      <c r="CJ5" s="50"/>
      <c r="CK5" s="50"/>
      <c r="CL5" s="50"/>
      <c r="CM5" s="50"/>
    </row>
    <row r="6" spans="1:91" ht="14.25" customHeight="1" x14ac:dyDescent="0.35">
      <c r="A6" s="67" t="s">
        <v>4</v>
      </c>
      <c r="B6" s="68">
        <v>5606</v>
      </c>
      <c r="C6" s="47">
        <v>5606</v>
      </c>
      <c r="D6" s="69">
        <v>6595</v>
      </c>
      <c r="E6" s="47">
        <v>6595</v>
      </c>
      <c r="F6" s="70">
        <v>85</v>
      </c>
      <c r="G6" s="71">
        <v>85</v>
      </c>
      <c r="H6" s="72">
        <v>57206</v>
      </c>
      <c r="I6" s="47">
        <v>57206</v>
      </c>
      <c r="J6" s="69">
        <v>63534</v>
      </c>
      <c r="K6" s="47">
        <v>63534</v>
      </c>
      <c r="L6" s="70">
        <v>90.04</v>
      </c>
      <c r="M6" s="71">
        <v>90.04</v>
      </c>
      <c r="N6" s="72">
        <v>74574</v>
      </c>
      <c r="O6" s="47">
        <v>74574</v>
      </c>
      <c r="P6" s="69">
        <v>84550</v>
      </c>
      <c r="Q6" s="47">
        <v>84550</v>
      </c>
      <c r="R6" s="70">
        <v>88.2</v>
      </c>
      <c r="S6" s="71">
        <v>88.2</v>
      </c>
      <c r="T6" s="72">
        <v>1771</v>
      </c>
      <c r="U6" s="47">
        <v>1771</v>
      </c>
      <c r="V6" s="69">
        <v>1837</v>
      </c>
      <c r="W6" s="47">
        <v>1837</v>
      </c>
      <c r="X6" s="70">
        <v>96.4</v>
      </c>
      <c r="Y6" s="71">
        <v>96.4</v>
      </c>
      <c r="Z6" s="72">
        <v>2129</v>
      </c>
      <c r="AA6" s="47">
        <v>2129</v>
      </c>
      <c r="AB6" s="69">
        <v>2270</v>
      </c>
      <c r="AC6" s="47">
        <v>2270</v>
      </c>
      <c r="AD6" s="70">
        <v>93.8</v>
      </c>
      <c r="AE6" s="71">
        <v>93.8</v>
      </c>
      <c r="AF6" s="72">
        <v>8883</v>
      </c>
      <c r="AG6" s="47">
        <v>8883</v>
      </c>
      <c r="AH6" s="69">
        <v>12689</v>
      </c>
      <c r="AI6" s="47">
        <v>12689</v>
      </c>
      <c r="AJ6" s="70">
        <v>70</v>
      </c>
      <c r="AK6" s="71">
        <v>70</v>
      </c>
      <c r="AL6" s="73"/>
      <c r="AM6" s="47">
        <v>0</v>
      </c>
      <c r="AN6" s="44"/>
      <c r="AO6" s="47">
        <v>0</v>
      </c>
      <c r="AP6" s="47">
        <v>0</v>
      </c>
      <c r="AQ6" s="74">
        <v>0</v>
      </c>
      <c r="AR6" s="73"/>
      <c r="AS6" s="47">
        <v>0</v>
      </c>
      <c r="AT6" s="44"/>
      <c r="AU6" s="47">
        <v>0</v>
      </c>
      <c r="AV6" s="47">
        <v>0</v>
      </c>
      <c r="AW6" s="74">
        <v>0</v>
      </c>
      <c r="AX6" s="72">
        <v>150169</v>
      </c>
      <c r="AY6" s="47">
        <v>150169</v>
      </c>
      <c r="AZ6" s="69">
        <v>171476</v>
      </c>
      <c r="BA6" s="47">
        <v>171476</v>
      </c>
      <c r="BB6" s="70">
        <v>87.57</v>
      </c>
      <c r="BC6" s="71">
        <v>87.57</v>
      </c>
      <c r="BD6" s="72">
        <v>16260</v>
      </c>
      <c r="BE6" s="47">
        <v>16260</v>
      </c>
      <c r="BF6" s="69">
        <v>21122</v>
      </c>
      <c r="BG6" s="47">
        <v>21122</v>
      </c>
      <c r="BH6" s="70">
        <v>76.98</v>
      </c>
      <c r="BI6" s="71">
        <v>76.98</v>
      </c>
      <c r="BJ6" s="72">
        <v>144563</v>
      </c>
      <c r="BK6" s="47">
        <v>144563</v>
      </c>
      <c r="BL6" s="69">
        <v>164881</v>
      </c>
      <c r="BM6" s="47">
        <v>164881</v>
      </c>
      <c r="BN6" s="70">
        <v>87.68</v>
      </c>
      <c r="BO6" s="71">
        <v>87.68</v>
      </c>
      <c r="BP6" s="50"/>
      <c r="BQ6" s="75">
        <v>12.32</v>
      </c>
      <c r="BR6" s="75">
        <v>12.32</v>
      </c>
      <c r="BS6" s="50"/>
      <c r="BT6" s="50"/>
      <c r="BU6" s="72">
        <v>14025</v>
      </c>
      <c r="BV6" s="47">
        <v>14025</v>
      </c>
      <c r="BW6" s="69">
        <v>14685</v>
      </c>
      <c r="BX6" s="47">
        <v>14685</v>
      </c>
      <c r="BY6" s="70">
        <v>95.5</v>
      </c>
      <c r="BZ6" s="71">
        <v>95.5</v>
      </c>
      <c r="CA6" s="72">
        <v>43182</v>
      </c>
      <c r="CB6" s="47">
        <v>43182</v>
      </c>
      <c r="CC6" s="69">
        <v>48848</v>
      </c>
      <c r="CD6" s="47">
        <v>48848</v>
      </c>
      <c r="CE6" s="70">
        <v>88.4</v>
      </c>
      <c r="CF6" s="71">
        <v>88.4</v>
      </c>
      <c r="CG6" s="50"/>
      <c r="CH6" s="50"/>
      <c r="CI6" s="76">
        <v>150169</v>
      </c>
      <c r="CJ6" s="76" t="s">
        <v>65</v>
      </c>
      <c r="CK6" s="50"/>
      <c r="CL6" s="76">
        <v>171476</v>
      </c>
      <c r="CM6" s="76" t="s">
        <v>65</v>
      </c>
    </row>
    <row r="7" spans="1:91" ht="14.25" customHeight="1" x14ac:dyDescent="0.35">
      <c r="A7" s="67" t="s">
        <v>5</v>
      </c>
      <c r="B7" s="68">
        <v>5872</v>
      </c>
      <c r="C7" s="47">
        <v>11478</v>
      </c>
      <c r="D7" s="69">
        <v>6909</v>
      </c>
      <c r="E7" s="47">
        <v>13504</v>
      </c>
      <c r="F7" s="70">
        <v>85</v>
      </c>
      <c r="G7" s="71">
        <v>85</v>
      </c>
      <c r="H7" s="72">
        <v>59972</v>
      </c>
      <c r="I7" s="47">
        <v>117179</v>
      </c>
      <c r="J7" s="69">
        <v>66605</v>
      </c>
      <c r="K7" s="47">
        <v>130139</v>
      </c>
      <c r="L7" s="70">
        <v>90.04</v>
      </c>
      <c r="M7" s="71">
        <v>90.04</v>
      </c>
      <c r="N7" s="72">
        <v>78179</v>
      </c>
      <c r="O7" s="47">
        <v>152752</v>
      </c>
      <c r="P7" s="69">
        <v>88638</v>
      </c>
      <c r="Q7" s="47">
        <v>173189</v>
      </c>
      <c r="R7" s="70">
        <v>88.2</v>
      </c>
      <c r="S7" s="71">
        <v>88.2</v>
      </c>
      <c r="T7" s="72">
        <v>1857</v>
      </c>
      <c r="U7" s="47">
        <v>3628</v>
      </c>
      <c r="V7" s="69">
        <v>1926</v>
      </c>
      <c r="W7" s="47">
        <v>3764</v>
      </c>
      <c r="X7" s="70">
        <v>96.4</v>
      </c>
      <c r="Y7" s="71">
        <v>96.4</v>
      </c>
      <c r="Z7" s="72">
        <v>2232</v>
      </c>
      <c r="AA7" s="47">
        <v>4362</v>
      </c>
      <c r="AB7" s="69">
        <v>2380</v>
      </c>
      <c r="AC7" s="47">
        <v>4650</v>
      </c>
      <c r="AD7" s="70">
        <v>93.8</v>
      </c>
      <c r="AE7" s="71">
        <v>93.8</v>
      </c>
      <c r="AF7" s="72">
        <v>9219</v>
      </c>
      <c r="AG7" s="47">
        <v>18101</v>
      </c>
      <c r="AH7" s="69">
        <v>13170</v>
      </c>
      <c r="AI7" s="47">
        <v>25859</v>
      </c>
      <c r="AJ7" s="70">
        <v>70</v>
      </c>
      <c r="AK7" s="71">
        <v>70</v>
      </c>
      <c r="AL7" s="73"/>
      <c r="AM7" s="47">
        <v>0</v>
      </c>
      <c r="AN7" s="44"/>
      <c r="AO7" s="47">
        <v>0</v>
      </c>
      <c r="AP7" s="47">
        <v>0</v>
      </c>
      <c r="AQ7" s="74">
        <v>0</v>
      </c>
      <c r="AR7" s="73"/>
      <c r="AS7" s="47">
        <v>0</v>
      </c>
      <c r="AT7" s="44"/>
      <c r="AU7" s="47">
        <v>0</v>
      </c>
      <c r="AV7" s="47">
        <v>0</v>
      </c>
      <c r="AW7" s="74">
        <v>0</v>
      </c>
      <c r="AX7" s="72">
        <v>157332</v>
      </c>
      <c r="AY7" s="47">
        <v>307501</v>
      </c>
      <c r="AZ7" s="69">
        <v>179628</v>
      </c>
      <c r="BA7" s="47">
        <v>351105</v>
      </c>
      <c r="BB7" s="70">
        <v>87.59</v>
      </c>
      <c r="BC7" s="71">
        <v>87.58</v>
      </c>
      <c r="BD7" s="72">
        <v>16948</v>
      </c>
      <c r="BE7" s="47">
        <v>33208</v>
      </c>
      <c r="BF7" s="69">
        <v>22005</v>
      </c>
      <c r="BG7" s="47">
        <v>43127</v>
      </c>
      <c r="BH7" s="70">
        <v>77.02</v>
      </c>
      <c r="BI7" s="71">
        <v>77</v>
      </c>
      <c r="BJ7" s="72">
        <v>151459</v>
      </c>
      <c r="BK7" s="47">
        <v>296022</v>
      </c>
      <c r="BL7" s="69">
        <v>172720</v>
      </c>
      <c r="BM7" s="47">
        <v>337601</v>
      </c>
      <c r="BN7" s="70">
        <v>87.69</v>
      </c>
      <c r="BO7" s="71">
        <v>87.68</v>
      </c>
      <c r="BP7" s="50"/>
      <c r="BQ7" s="75">
        <v>12.25</v>
      </c>
      <c r="BR7" s="75">
        <v>12.28</v>
      </c>
      <c r="BS7" s="50"/>
      <c r="BT7" s="50"/>
      <c r="BU7" s="72">
        <v>14703</v>
      </c>
      <c r="BV7" s="47">
        <v>28727</v>
      </c>
      <c r="BW7" s="69">
        <v>15395</v>
      </c>
      <c r="BX7" s="47">
        <v>30081</v>
      </c>
      <c r="BY7" s="70">
        <v>95.5</v>
      </c>
      <c r="BZ7" s="71">
        <v>95.5</v>
      </c>
      <c r="CA7" s="72">
        <v>45270</v>
      </c>
      <c r="CB7" s="47">
        <v>88452</v>
      </c>
      <c r="CC7" s="69">
        <v>51210</v>
      </c>
      <c r="CD7" s="47">
        <v>100058</v>
      </c>
      <c r="CE7" s="70">
        <v>88.4</v>
      </c>
      <c r="CF7" s="71">
        <v>88.4</v>
      </c>
      <c r="CG7" s="50"/>
      <c r="CH7" s="50"/>
      <c r="CI7" s="76">
        <v>157332</v>
      </c>
      <c r="CJ7" s="76" t="s">
        <v>65</v>
      </c>
      <c r="CK7" s="50"/>
      <c r="CL7" s="76">
        <v>179628</v>
      </c>
      <c r="CM7" s="76" t="s">
        <v>65</v>
      </c>
    </row>
    <row r="8" spans="1:91" ht="14.25" customHeight="1" x14ac:dyDescent="0.35">
      <c r="A8" s="67" t="s">
        <v>6</v>
      </c>
      <c r="B8" s="68">
        <v>3447</v>
      </c>
      <c r="C8" s="47">
        <v>14926</v>
      </c>
      <c r="D8" s="69">
        <v>4055</v>
      </c>
      <c r="E8" s="47">
        <v>17559</v>
      </c>
      <c r="F8" s="70">
        <v>85</v>
      </c>
      <c r="G8" s="71">
        <v>85</v>
      </c>
      <c r="H8" s="72">
        <v>35124</v>
      </c>
      <c r="I8" s="47">
        <v>152302</v>
      </c>
      <c r="J8" s="69">
        <v>39009</v>
      </c>
      <c r="K8" s="47">
        <v>169148</v>
      </c>
      <c r="L8" s="70">
        <v>90.04</v>
      </c>
      <c r="M8" s="71">
        <v>90.04</v>
      </c>
      <c r="N8" s="72">
        <v>45787</v>
      </c>
      <c r="O8" s="47">
        <v>198539</v>
      </c>
      <c r="P8" s="69">
        <v>51913</v>
      </c>
      <c r="Q8" s="47">
        <v>225101</v>
      </c>
      <c r="R8" s="70">
        <v>88.2</v>
      </c>
      <c r="S8" s="71">
        <v>88.2</v>
      </c>
      <c r="T8" s="72">
        <v>1088</v>
      </c>
      <c r="U8" s="47">
        <v>4716</v>
      </c>
      <c r="V8" s="69">
        <v>1128</v>
      </c>
      <c r="W8" s="47">
        <v>4892</v>
      </c>
      <c r="X8" s="70">
        <v>96.4</v>
      </c>
      <c r="Y8" s="71">
        <v>96.4</v>
      </c>
      <c r="Z8" s="72">
        <v>1307</v>
      </c>
      <c r="AA8" s="47">
        <v>5669</v>
      </c>
      <c r="AB8" s="69">
        <v>1394</v>
      </c>
      <c r="AC8" s="47">
        <v>6044</v>
      </c>
      <c r="AD8" s="70">
        <v>93.8</v>
      </c>
      <c r="AE8" s="71">
        <v>93.8</v>
      </c>
      <c r="AF8" s="72">
        <v>5560</v>
      </c>
      <c r="AG8" s="47">
        <v>23661</v>
      </c>
      <c r="AH8" s="69">
        <v>7943</v>
      </c>
      <c r="AI8" s="47">
        <v>33802</v>
      </c>
      <c r="AJ8" s="70">
        <v>70</v>
      </c>
      <c r="AK8" s="71">
        <v>70</v>
      </c>
      <c r="AL8" s="73"/>
      <c r="AM8" s="47">
        <v>0</v>
      </c>
      <c r="AN8" s="44"/>
      <c r="AO8" s="47">
        <v>0</v>
      </c>
      <c r="AP8" s="47">
        <v>0</v>
      </c>
      <c r="AQ8" s="74">
        <v>0</v>
      </c>
      <c r="AR8" s="73"/>
      <c r="AS8" s="47">
        <v>0</v>
      </c>
      <c r="AT8" s="44"/>
      <c r="AU8" s="47">
        <v>0</v>
      </c>
      <c r="AV8" s="47">
        <v>0</v>
      </c>
      <c r="AW8" s="74">
        <v>0</v>
      </c>
      <c r="AX8" s="72">
        <v>92313</v>
      </c>
      <c r="AY8" s="47">
        <v>399813</v>
      </c>
      <c r="AZ8" s="69">
        <v>105441</v>
      </c>
      <c r="BA8" s="47">
        <v>456546</v>
      </c>
      <c r="BB8" s="70">
        <v>87.55</v>
      </c>
      <c r="BC8" s="71">
        <v>87.57</v>
      </c>
      <c r="BD8" s="72">
        <v>10095</v>
      </c>
      <c r="BE8" s="47">
        <v>43303</v>
      </c>
      <c r="BF8" s="69">
        <v>13126</v>
      </c>
      <c r="BG8" s="47">
        <v>56253</v>
      </c>
      <c r="BH8" s="70">
        <v>76.900000000000006</v>
      </c>
      <c r="BI8" s="71">
        <v>76.98</v>
      </c>
      <c r="BJ8" s="72">
        <v>88865</v>
      </c>
      <c r="BK8" s="47">
        <v>384888</v>
      </c>
      <c r="BL8" s="69">
        <v>101386</v>
      </c>
      <c r="BM8" s="47">
        <v>438987</v>
      </c>
      <c r="BN8" s="70">
        <v>87.65</v>
      </c>
      <c r="BO8" s="71">
        <v>87.68</v>
      </c>
      <c r="BP8" s="50"/>
      <c r="BQ8" s="75">
        <v>12.45</v>
      </c>
      <c r="BR8" s="75">
        <v>12.32</v>
      </c>
      <c r="BS8" s="50"/>
      <c r="BT8" s="50"/>
      <c r="BU8" s="72">
        <v>8611</v>
      </c>
      <c r="BV8" s="47">
        <v>37338</v>
      </c>
      <c r="BW8" s="69">
        <v>9017</v>
      </c>
      <c r="BX8" s="47">
        <v>39097</v>
      </c>
      <c r="BY8" s="70">
        <v>95.5</v>
      </c>
      <c r="BZ8" s="71">
        <v>95.5</v>
      </c>
      <c r="CA8" s="72">
        <v>26513</v>
      </c>
      <c r="CB8" s="47">
        <v>114965</v>
      </c>
      <c r="CC8" s="69">
        <v>29992</v>
      </c>
      <c r="CD8" s="47">
        <v>130050</v>
      </c>
      <c r="CE8" s="70">
        <v>88.4</v>
      </c>
      <c r="CF8" s="71">
        <v>88.4</v>
      </c>
      <c r="CG8" s="50"/>
      <c r="CH8" s="50"/>
      <c r="CI8" s="76">
        <v>92313</v>
      </c>
      <c r="CJ8" s="76" t="s">
        <v>65</v>
      </c>
      <c r="CK8" s="50"/>
      <c r="CL8" s="76">
        <v>105441</v>
      </c>
      <c r="CM8" s="76" t="s">
        <v>65</v>
      </c>
    </row>
    <row r="9" spans="1:91" ht="14.25" customHeight="1" x14ac:dyDescent="0.35">
      <c r="A9" s="67" t="s">
        <v>7</v>
      </c>
      <c r="B9" s="68">
        <v>5597</v>
      </c>
      <c r="C9" s="47">
        <v>20523</v>
      </c>
      <c r="D9" s="69">
        <v>6585</v>
      </c>
      <c r="E9" s="47">
        <v>24144</v>
      </c>
      <c r="F9" s="70">
        <v>85</v>
      </c>
      <c r="G9" s="71">
        <v>85</v>
      </c>
      <c r="H9" s="72">
        <v>57113</v>
      </c>
      <c r="I9" s="47">
        <v>209416</v>
      </c>
      <c r="J9" s="69">
        <v>63430</v>
      </c>
      <c r="K9" s="47">
        <v>232578</v>
      </c>
      <c r="L9" s="70">
        <v>90.04</v>
      </c>
      <c r="M9" s="71">
        <v>90.04</v>
      </c>
      <c r="N9" s="72">
        <v>74452</v>
      </c>
      <c r="O9" s="47">
        <v>272991</v>
      </c>
      <c r="P9" s="69">
        <v>84413</v>
      </c>
      <c r="Q9" s="47">
        <v>309514</v>
      </c>
      <c r="R9" s="70">
        <v>88.2</v>
      </c>
      <c r="S9" s="71">
        <v>88.2</v>
      </c>
      <c r="T9" s="72">
        <v>1768</v>
      </c>
      <c r="U9" s="47">
        <v>6484</v>
      </c>
      <c r="V9" s="69">
        <v>1834</v>
      </c>
      <c r="W9" s="47">
        <v>6726</v>
      </c>
      <c r="X9" s="70">
        <v>96.4</v>
      </c>
      <c r="Y9" s="71">
        <v>96.4</v>
      </c>
      <c r="Z9" s="72">
        <v>2126</v>
      </c>
      <c r="AA9" s="47">
        <v>7795</v>
      </c>
      <c r="AB9" s="69">
        <v>2266</v>
      </c>
      <c r="AC9" s="47">
        <v>8310</v>
      </c>
      <c r="AD9" s="70">
        <v>93.8</v>
      </c>
      <c r="AE9" s="71">
        <v>93.8</v>
      </c>
      <c r="AF9" s="72">
        <v>8873</v>
      </c>
      <c r="AG9" s="47">
        <v>32534</v>
      </c>
      <c r="AH9" s="69">
        <v>12675</v>
      </c>
      <c r="AI9" s="47">
        <v>46477</v>
      </c>
      <c r="AJ9" s="70">
        <v>70</v>
      </c>
      <c r="AK9" s="71">
        <v>70</v>
      </c>
      <c r="AL9" s="73"/>
      <c r="AM9" s="47">
        <v>0</v>
      </c>
      <c r="AN9" s="44"/>
      <c r="AO9" s="47">
        <v>0</v>
      </c>
      <c r="AP9" s="47">
        <v>0</v>
      </c>
      <c r="AQ9" s="74">
        <v>0</v>
      </c>
      <c r="AR9" s="73"/>
      <c r="AS9" s="47">
        <v>0</v>
      </c>
      <c r="AT9" s="44"/>
      <c r="AU9" s="47">
        <v>0</v>
      </c>
      <c r="AV9" s="47">
        <v>0</v>
      </c>
      <c r="AW9" s="74">
        <v>0</v>
      </c>
      <c r="AX9" s="72">
        <v>149929</v>
      </c>
      <c r="AY9" s="47">
        <v>549743</v>
      </c>
      <c r="AZ9" s="69">
        <v>171204</v>
      </c>
      <c r="BA9" s="47">
        <v>627750</v>
      </c>
      <c r="BB9" s="70">
        <v>87.57</v>
      </c>
      <c r="BC9" s="71">
        <v>87.57</v>
      </c>
      <c r="BD9" s="72">
        <v>16238</v>
      </c>
      <c r="BE9" s="47">
        <v>59541</v>
      </c>
      <c r="BF9" s="69">
        <v>21094</v>
      </c>
      <c r="BG9" s="47">
        <v>77348</v>
      </c>
      <c r="BH9" s="70">
        <v>76.98</v>
      </c>
      <c r="BI9" s="71">
        <v>76.98</v>
      </c>
      <c r="BJ9" s="72">
        <v>144332</v>
      </c>
      <c r="BK9" s="47">
        <v>529220</v>
      </c>
      <c r="BL9" s="69">
        <v>164619</v>
      </c>
      <c r="BM9" s="47">
        <v>603605</v>
      </c>
      <c r="BN9" s="70">
        <v>87.68</v>
      </c>
      <c r="BO9" s="71">
        <v>87.68</v>
      </c>
      <c r="BP9" s="50"/>
      <c r="BQ9" s="75">
        <v>12.32</v>
      </c>
      <c r="BR9" s="75">
        <v>12.32</v>
      </c>
      <c r="BS9" s="50"/>
      <c r="BT9" s="50"/>
      <c r="BU9" s="72">
        <v>14002</v>
      </c>
      <c r="BV9" s="47">
        <v>51339</v>
      </c>
      <c r="BW9" s="69">
        <v>14661</v>
      </c>
      <c r="BX9" s="47">
        <v>53759</v>
      </c>
      <c r="BY9" s="70">
        <v>95.5</v>
      </c>
      <c r="BZ9" s="71">
        <v>95.5</v>
      </c>
      <c r="CA9" s="72">
        <v>43112</v>
      </c>
      <c r="CB9" s="47">
        <v>158076</v>
      </c>
      <c r="CC9" s="69">
        <v>48769</v>
      </c>
      <c r="CD9" s="47">
        <v>178819</v>
      </c>
      <c r="CE9" s="70">
        <v>88.4</v>
      </c>
      <c r="CF9" s="71">
        <v>88.4</v>
      </c>
      <c r="CG9" s="50"/>
      <c r="CH9" s="50"/>
      <c r="CI9" s="76">
        <v>149929</v>
      </c>
      <c r="CJ9" s="76" t="s">
        <v>65</v>
      </c>
      <c r="CK9" s="50"/>
      <c r="CL9" s="76">
        <v>171204</v>
      </c>
      <c r="CM9" s="76" t="s">
        <v>65</v>
      </c>
    </row>
    <row r="10" spans="1:91" ht="14.25" customHeight="1" x14ac:dyDescent="0.35">
      <c r="A10" s="67" t="s">
        <v>8</v>
      </c>
      <c r="B10" s="68">
        <v>7389</v>
      </c>
      <c r="C10" s="47">
        <v>27912</v>
      </c>
      <c r="D10" s="69">
        <v>8693</v>
      </c>
      <c r="E10" s="47">
        <v>32838</v>
      </c>
      <c r="F10" s="70">
        <v>85</v>
      </c>
      <c r="G10" s="71">
        <v>85</v>
      </c>
      <c r="H10" s="72">
        <v>70584</v>
      </c>
      <c r="I10" s="47">
        <v>279999</v>
      </c>
      <c r="J10" s="69">
        <v>78098</v>
      </c>
      <c r="K10" s="47">
        <v>310676</v>
      </c>
      <c r="L10" s="70">
        <v>90.38</v>
      </c>
      <c r="M10" s="71">
        <v>90.13</v>
      </c>
      <c r="N10" s="72">
        <v>104047</v>
      </c>
      <c r="O10" s="47">
        <v>377038</v>
      </c>
      <c r="P10" s="69">
        <v>117967</v>
      </c>
      <c r="Q10" s="47">
        <v>427481</v>
      </c>
      <c r="R10" s="70">
        <v>88.2</v>
      </c>
      <c r="S10" s="71">
        <v>88.2</v>
      </c>
      <c r="T10" s="72">
        <v>2625</v>
      </c>
      <c r="U10" s="47">
        <v>9109</v>
      </c>
      <c r="V10" s="69">
        <v>2723</v>
      </c>
      <c r="W10" s="47">
        <v>9449</v>
      </c>
      <c r="X10" s="70">
        <v>96.4</v>
      </c>
      <c r="Y10" s="71">
        <v>96.4</v>
      </c>
      <c r="Z10" s="72">
        <v>2497</v>
      </c>
      <c r="AA10" s="47">
        <v>10292</v>
      </c>
      <c r="AB10" s="69">
        <v>2662</v>
      </c>
      <c r="AC10" s="47">
        <v>10972</v>
      </c>
      <c r="AD10" s="70">
        <v>93.8</v>
      </c>
      <c r="AE10" s="71">
        <v>93.8</v>
      </c>
      <c r="AF10" s="72">
        <v>11121</v>
      </c>
      <c r="AG10" s="47">
        <v>43655</v>
      </c>
      <c r="AH10" s="69">
        <v>15886</v>
      </c>
      <c r="AI10" s="47">
        <v>62364</v>
      </c>
      <c r="AJ10" s="70">
        <v>70</v>
      </c>
      <c r="AK10" s="71">
        <v>70</v>
      </c>
      <c r="AL10" s="73"/>
      <c r="AM10" s="47">
        <v>0</v>
      </c>
      <c r="AN10" s="44"/>
      <c r="AO10" s="47">
        <v>0</v>
      </c>
      <c r="AP10" s="47">
        <v>0</v>
      </c>
      <c r="AQ10" s="74">
        <v>0</v>
      </c>
      <c r="AR10" s="73"/>
      <c r="AS10" s="47">
        <v>0</v>
      </c>
      <c r="AT10" s="44"/>
      <c r="AU10" s="47">
        <v>0</v>
      </c>
      <c r="AV10" s="47">
        <v>0</v>
      </c>
      <c r="AW10" s="74">
        <v>0</v>
      </c>
      <c r="AX10" s="72">
        <v>198262</v>
      </c>
      <c r="AY10" s="47">
        <v>748005</v>
      </c>
      <c r="AZ10" s="69">
        <v>226030</v>
      </c>
      <c r="BA10" s="47">
        <v>853779</v>
      </c>
      <c r="BB10" s="70">
        <v>87.72</v>
      </c>
      <c r="BC10" s="71">
        <v>87.61</v>
      </c>
      <c r="BD10" s="72">
        <v>21135</v>
      </c>
      <c r="BE10" s="47">
        <v>80676</v>
      </c>
      <c r="BF10" s="69">
        <v>27303</v>
      </c>
      <c r="BG10" s="47">
        <v>104651</v>
      </c>
      <c r="BH10" s="70">
        <v>77.41</v>
      </c>
      <c r="BI10" s="71">
        <v>77.09</v>
      </c>
      <c r="BJ10" s="72">
        <v>190873</v>
      </c>
      <c r="BK10" s="47">
        <v>720093</v>
      </c>
      <c r="BL10" s="69">
        <v>217336</v>
      </c>
      <c r="BM10" s="47">
        <v>820941</v>
      </c>
      <c r="BN10" s="70">
        <v>87.82</v>
      </c>
      <c r="BO10" s="71">
        <v>87.72</v>
      </c>
      <c r="BP10" s="50"/>
      <c r="BQ10" s="75">
        <v>12.08</v>
      </c>
      <c r="BR10" s="75">
        <v>12.26</v>
      </c>
      <c r="BS10" s="50"/>
      <c r="BT10" s="50"/>
      <c r="BU10" s="72">
        <v>20783</v>
      </c>
      <c r="BV10" s="47">
        <v>72122</v>
      </c>
      <c r="BW10" s="69">
        <v>21762</v>
      </c>
      <c r="BX10" s="47">
        <v>75521</v>
      </c>
      <c r="BY10" s="70">
        <v>95.5</v>
      </c>
      <c r="BZ10" s="71">
        <v>95.5</v>
      </c>
      <c r="CA10" s="72">
        <v>49801</v>
      </c>
      <c r="CB10" s="47">
        <v>207877</v>
      </c>
      <c r="CC10" s="69">
        <v>56336</v>
      </c>
      <c r="CD10" s="47">
        <v>235155</v>
      </c>
      <c r="CE10" s="70">
        <v>88.4</v>
      </c>
      <c r="CF10" s="71">
        <v>88.4</v>
      </c>
      <c r="CG10" s="50"/>
      <c r="CH10" s="50"/>
      <c r="CI10" s="76">
        <v>198262</v>
      </c>
      <c r="CJ10" s="76" t="s">
        <v>65</v>
      </c>
      <c r="CK10" s="50"/>
      <c r="CL10" s="76">
        <v>226030</v>
      </c>
      <c r="CM10" s="76" t="s">
        <v>65</v>
      </c>
    </row>
    <row r="11" spans="1:91" ht="14.25" customHeight="1" x14ac:dyDescent="0.35">
      <c r="A11" s="67" t="s">
        <v>9</v>
      </c>
      <c r="B11" s="68">
        <v>7166</v>
      </c>
      <c r="C11" s="47">
        <v>35078</v>
      </c>
      <c r="D11" s="69">
        <v>8431</v>
      </c>
      <c r="E11" s="47">
        <v>41268</v>
      </c>
      <c r="F11" s="70">
        <v>85</v>
      </c>
      <c r="G11" s="71">
        <v>85</v>
      </c>
      <c r="H11" s="72">
        <v>67508</v>
      </c>
      <c r="I11" s="47">
        <v>347508</v>
      </c>
      <c r="J11" s="69">
        <v>74695</v>
      </c>
      <c r="K11" s="47">
        <v>385371</v>
      </c>
      <c r="L11" s="70">
        <v>90.38</v>
      </c>
      <c r="M11" s="71">
        <v>90.17</v>
      </c>
      <c r="N11" s="72">
        <v>102082</v>
      </c>
      <c r="O11" s="47">
        <v>479121</v>
      </c>
      <c r="P11" s="69">
        <v>115740</v>
      </c>
      <c r="Q11" s="47">
        <v>543221</v>
      </c>
      <c r="R11" s="70">
        <v>88.2</v>
      </c>
      <c r="S11" s="71">
        <v>88.2</v>
      </c>
      <c r="T11" s="72">
        <v>2510</v>
      </c>
      <c r="U11" s="47">
        <v>11620</v>
      </c>
      <c r="V11" s="69">
        <v>2604</v>
      </c>
      <c r="W11" s="47">
        <v>12053</v>
      </c>
      <c r="X11" s="70">
        <v>96.4</v>
      </c>
      <c r="Y11" s="71">
        <v>96.4</v>
      </c>
      <c r="Z11" s="72">
        <v>2388</v>
      </c>
      <c r="AA11" s="47">
        <v>12679</v>
      </c>
      <c r="AB11" s="69">
        <v>2546</v>
      </c>
      <c r="AC11" s="47">
        <v>13518</v>
      </c>
      <c r="AD11" s="70">
        <v>93.8</v>
      </c>
      <c r="AE11" s="71">
        <v>93.8</v>
      </c>
      <c r="AF11" s="72">
        <v>10630</v>
      </c>
      <c r="AG11" s="47">
        <v>54285</v>
      </c>
      <c r="AH11" s="69">
        <v>15186</v>
      </c>
      <c r="AI11" s="47">
        <v>77550</v>
      </c>
      <c r="AJ11" s="70">
        <v>70</v>
      </c>
      <c r="AK11" s="71">
        <v>70</v>
      </c>
      <c r="AL11" s="73"/>
      <c r="AM11" s="47">
        <v>0</v>
      </c>
      <c r="AN11" s="44"/>
      <c r="AO11" s="47">
        <v>0</v>
      </c>
      <c r="AP11" s="47">
        <v>0</v>
      </c>
      <c r="AQ11" s="74">
        <v>0</v>
      </c>
      <c r="AR11" s="73"/>
      <c r="AS11" s="47">
        <v>0</v>
      </c>
      <c r="AT11" s="44"/>
      <c r="AU11" s="47">
        <v>0</v>
      </c>
      <c r="AV11" s="47">
        <v>0</v>
      </c>
      <c r="AW11" s="74">
        <v>0</v>
      </c>
      <c r="AX11" s="72">
        <v>192285</v>
      </c>
      <c r="AY11" s="47">
        <v>940290</v>
      </c>
      <c r="AZ11" s="69">
        <v>219202</v>
      </c>
      <c r="BA11" s="47">
        <v>1072981</v>
      </c>
      <c r="BB11" s="70">
        <v>87.72</v>
      </c>
      <c r="BC11" s="71">
        <v>87.63</v>
      </c>
      <c r="BD11" s="72">
        <v>20307</v>
      </c>
      <c r="BE11" s="47">
        <v>100983</v>
      </c>
      <c r="BF11" s="69">
        <v>26221</v>
      </c>
      <c r="BG11" s="47">
        <v>130872</v>
      </c>
      <c r="BH11" s="70">
        <v>77.44</v>
      </c>
      <c r="BI11" s="71">
        <v>77.16</v>
      </c>
      <c r="BJ11" s="72">
        <v>185119</v>
      </c>
      <c r="BK11" s="47">
        <v>905212</v>
      </c>
      <c r="BL11" s="69">
        <v>210771</v>
      </c>
      <c r="BM11" s="47">
        <v>1031712</v>
      </c>
      <c r="BN11" s="70">
        <v>87.83</v>
      </c>
      <c r="BO11" s="71">
        <v>87.74</v>
      </c>
      <c r="BP11" s="50"/>
      <c r="BQ11" s="75">
        <v>11.96</v>
      </c>
      <c r="BR11" s="75">
        <v>12.2</v>
      </c>
      <c r="BS11" s="50"/>
      <c r="BT11" s="50"/>
      <c r="BU11" s="72">
        <v>19877</v>
      </c>
      <c r="BV11" s="47">
        <v>91999</v>
      </c>
      <c r="BW11" s="69">
        <v>20814</v>
      </c>
      <c r="BX11" s="47">
        <v>96334</v>
      </c>
      <c r="BY11" s="70">
        <v>95.5</v>
      </c>
      <c r="BZ11" s="71">
        <v>95.5</v>
      </c>
      <c r="CA11" s="72">
        <v>47631</v>
      </c>
      <c r="CB11" s="47">
        <v>255508</v>
      </c>
      <c r="CC11" s="69">
        <v>53881</v>
      </c>
      <c r="CD11" s="47">
        <v>289037</v>
      </c>
      <c r="CE11" s="70">
        <v>88.4</v>
      </c>
      <c r="CF11" s="71">
        <v>88.4</v>
      </c>
      <c r="CG11" s="50"/>
      <c r="CH11" s="50"/>
      <c r="CI11" s="76">
        <v>192285</v>
      </c>
      <c r="CJ11" s="76" t="s">
        <v>65</v>
      </c>
      <c r="CK11" s="50"/>
      <c r="CL11" s="76">
        <v>219202</v>
      </c>
      <c r="CM11" s="76" t="s">
        <v>65</v>
      </c>
    </row>
    <row r="12" spans="1:91" ht="14.25" customHeight="1" x14ac:dyDescent="0.35">
      <c r="A12" s="67" t="s">
        <v>10</v>
      </c>
      <c r="B12" s="68">
        <v>7376</v>
      </c>
      <c r="C12" s="47">
        <v>42454</v>
      </c>
      <c r="D12" s="69">
        <v>8678</v>
      </c>
      <c r="E12" s="47">
        <v>49946</v>
      </c>
      <c r="F12" s="70">
        <v>85</v>
      </c>
      <c r="G12" s="71">
        <v>85</v>
      </c>
      <c r="H12" s="72">
        <v>72946</v>
      </c>
      <c r="I12" s="47">
        <v>420453</v>
      </c>
      <c r="J12" s="69">
        <v>80712</v>
      </c>
      <c r="K12" s="47">
        <v>466082</v>
      </c>
      <c r="L12" s="70">
        <v>90.38</v>
      </c>
      <c r="M12" s="71">
        <v>90.21</v>
      </c>
      <c r="N12" s="72">
        <v>101978</v>
      </c>
      <c r="O12" s="47">
        <v>581098</v>
      </c>
      <c r="P12" s="69">
        <v>115621</v>
      </c>
      <c r="Q12" s="47">
        <v>658842</v>
      </c>
      <c r="R12" s="70">
        <v>88.2</v>
      </c>
      <c r="S12" s="71">
        <v>88.2</v>
      </c>
      <c r="T12" s="72">
        <v>2713</v>
      </c>
      <c r="U12" s="47">
        <v>14332</v>
      </c>
      <c r="V12" s="69">
        <v>2814</v>
      </c>
      <c r="W12" s="47">
        <v>14867</v>
      </c>
      <c r="X12" s="70">
        <v>96.4</v>
      </c>
      <c r="Y12" s="71">
        <v>96.4</v>
      </c>
      <c r="Z12" s="72">
        <v>1343</v>
      </c>
      <c r="AA12" s="47">
        <v>14023</v>
      </c>
      <c r="AB12" s="69">
        <v>1432</v>
      </c>
      <c r="AC12" s="47">
        <v>14950</v>
      </c>
      <c r="AD12" s="70">
        <v>93.8</v>
      </c>
      <c r="AE12" s="71">
        <v>93.8</v>
      </c>
      <c r="AF12" s="72">
        <v>11454</v>
      </c>
      <c r="AG12" s="47">
        <v>65739</v>
      </c>
      <c r="AH12" s="69">
        <v>16363</v>
      </c>
      <c r="AI12" s="47">
        <v>93912</v>
      </c>
      <c r="AJ12" s="70">
        <v>70</v>
      </c>
      <c r="AK12" s="71">
        <v>70</v>
      </c>
      <c r="AL12" s="73"/>
      <c r="AM12" s="47">
        <v>0</v>
      </c>
      <c r="AN12" s="44"/>
      <c r="AO12" s="47">
        <v>0</v>
      </c>
      <c r="AP12" s="47">
        <v>0</v>
      </c>
      <c r="AQ12" s="74">
        <v>0</v>
      </c>
      <c r="AR12" s="73"/>
      <c r="AS12" s="47">
        <v>0</v>
      </c>
      <c r="AT12" s="44"/>
      <c r="AU12" s="47">
        <v>0</v>
      </c>
      <c r="AV12" s="47">
        <v>0</v>
      </c>
      <c r="AW12" s="74">
        <v>0</v>
      </c>
      <c r="AX12" s="72">
        <v>197810</v>
      </c>
      <c r="AY12" s="47">
        <v>1138100</v>
      </c>
      <c r="AZ12" s="69">
        <v>225619</v>
      </c>
      <c r="BA12" s="47">
        <v>1298600</v>
      </c>
      <c r="BB12" s="70">
        <v>87.67</v>
      </c>
      <c r="BC12" s="71">
        <v>87.64</v>
      </c>
      <c r="BD12" s="72">
        <v>21543</v>
      </c>
      <c r="BE12" s="47">
        <v>122525</v>
      </c>
      <c r="BF12" s="69">
        <v>27854</v>
      </c>
      <c r="BG12" s="47">
        <v>158726</v>
      </c>
      <c r="BH12" s="70">
        <v>77.34</v>
      </c>
      <c r="BI12" s="71">
        <v>77.19</v>
      </c>
      <c r="BJ12" s="72">
        <v>190434</v>
      </c>
      <c r="BK12" s="47">
        <v>1095646</v>
      </c>
      <c r="BL12" s="69">
        <v>216941</v>
      </c>
      <c r="BM12" s="47">
        <v>1248654</v>
      </c>
      <c r="BN12" s="70">
        <v>87.78</v>
      </c>
      <c r="BO12" s="71">
        <v>87.75</v>
      </c>
      <c r="BP12" s="50"/>
      <c r="BQ12" s="75">
        <v>12.35</v>
      </c>
      <c r="BR12" s="75">
        <v>12.22</v>
      </c>
      <c r="BS12" s="50"/>
      <c r="BT12" s="50"/>
      <c r="BU12" s="72">
        <v>21478</v>
      </c>
      <c r="BV12" s="47">
        <v>113477</v>
      </c>
      <c r="BW12" s="69">
        <v>22490</v>
      </c>
      <c r="BX12" s="47">
        <v>118824</v>
      </c>
      <c r="BY12" s="70">
        <v>95.5</v>
      </c>
      <c r="BZ12" s="71">
        <v>95.5</v>
      </c>
      <c r="CA12" s="72">
        <v>51468</v>
      </c>
      <c r="CB12" s="47">
        <v>306976</v>
      </c>
      <c r="CC12" s="69">
        <v>58221</v>
      </c>
      <c r="CD12" s="47">
        <v>347258</v>
      </c>
      <c r="CE12" s="70">
        <v>88.4</v>
      </c>
      <c r="CF12" s="71">
        <v>88.4</v>
      </c>
      <c r="CG12" s="50"/>
      <c r="CH12" s="50"/>
      <c r="CI12" s="76">
        <v>197810</v>
      </c>
      <c r="CJ12" s="76" t="s">
        <v>65</v>
      </c>
      <c r="CK12" s="50"/>
      <c r="CL12" s="76">
        <v>225619</v>
      </c>
      <c r="CM12" s="76" t="s">
        <v>65</v>
      </c>
    </row>
    <row r="13" spans="1:91" ht="14.25" customHeight="1" x14ac:dyDescent="0.35">
      <c r="A13" s="67" t="s">
        <v>11</v>
      </c>
      <c r="B13" s="68">
        <v>7390</v>
      </c>
      <c r="C13" s="47">
        <v>49844</v>
      </c>
      <c r="D13" s="69">
        <v>8694</v>
      </c>
      <c r="E13" s="47">
        <v>58640</v>
      </c>
      <c r="F13" s="70">
        <v>85</v>
      </c>
      <c r="G13" s="71">
        <v>85</v>
      </c>
      <c r="H13" s="72">
        <v>70570</v>
      </c>
      <c r="I13" s="47">
        <v>491024</v>
      </c>
      <c r="J13" s="69">
        <v>78083</v>
      </c>
      <c r="K13" s="47">
        <v>544166</v>
      </c>
      <c r="L13" s="70">
        <v>90.38</v>
      </c>
      <c r="M13" s="71">
        <v>90.23</v>
      </c>
      <c r="N13" s="72">
        <v>104067</v>
      </c>
      <c r="O13" s="47">
        <v>685165</v>
      </c>
      <c r="P13" s="69">
        <v>117990</v>
      </c>
      <c r="Q13" s="47">
        <v>776831</v>
      </c>
      <c r="R13" s="70">
        <v>88.2</v>
      </c>
      <c r="S13" s="71">
        <v>88.2</v>
      </c>
      <c r="T13" s="72">
        <v>2624</v>
      </c>
      <c r="U13" s="47">
        <v>16957</v>
      </c>
      <c r="V13" s="69">
        <v>2722</v>
      </c>
      <c r="W13" s="47">
        <v>17590</v>
      </c>
      <c r="X13" s="70">
        <v>96.4</v>
      </c>
      <c r="Y13" s="71">
        <v>96.4</v>
      </c>
      <c r="Z13" s="72">
        <v>2496</v>
      </c>
      <c r="AA13" s="47">
        <v>16519</v>
      </c>
      <c r="AB13" s="69">
        <v>2661</v>
      </c>
      <c r="AC13" s="47">
        <v>17611</v>
      </c>
      <c r="AD13" s="70">
        <v>93.8</v>
      </c>
      <c r="AE13" s="71">
        <v>93.8</v>
      </c>
      <c r="AF13" s="72">
        <v>11118</v>
      </c>
      <c r="AG13" s="47">
        <v>76857</v>
      </c>
      <c r="AH13" s="69">
        <v>15883</v>
      </c>
      <c r="AI13" s="47">
        <v>109796</v>
      </c>
      <c r="AJ13" s="70">
        <v>70</v>
      </c>
      <c r="AK13" s="71">
        <v>70</v>
      </c>
      <c r="AL13" s="73"/>
      <c r="AM13" s="47">
        <v>0</v>
      </c>
      <c r="AN13" s="44"/>
      <c r="AO13" s="47">
        <v>0</v>
      </c>
      <c r="AP13" s="47">
        <v>0</v>
      </c>
      <c r="AQ13" s="74">
        <v>0</v>
      </c>
      <c r="AR13" s="73"/>
      <c r="AS13" s="47">
        <v>0</v>
      </c>
      <c r="AT13" s="44"/>
      <c r="AU13" s="47">
        <v>0</v>
      </c>
      <c r="AV13" s="47">
        <v>0</v>
      </c>
      <c r="AW13" s="74">
        <v>0</v>
      </c>
      <c r="AX13" s="72">
        <v>198266</v>
      </c>
      <c r="AY13" s="47">
        <v>1336365</v>
      </c>
      <c r="AZ13" s="69">
        <v>226033</v>
      </c>
      <c r="BA13" s="47">
        <v>1524633</v>
      </c>
      <c r="BB13" s="70">
        <v>87.72</v>
      </c>
      <c r="BC13" s="71">
        <v>87.65</v>
      </c>
      <c r="BD13" s="72">
        <v>21132</v>
      </c>
      <c r="BE13" s="47">
        <v>143657</v>
      </c>
      <c r="BF13" s="69">
        <v>27299</v>
      </c>
      <c r="BG13" s="47">
        <v>186025</v>
      </c>
      <c r="BH13" s="70">
        <v>77.41</v>
      </c>
      <c r="BI13" s="71">
        <v>77.22</v>
      </c>
      <c r="BJ13" s="72">
        <v>190876</v>
      </c>
      <c r="BK13" s="47">
        <v>1286522</v>
      </c>
      <c r="BL13" s="69">
        <v>217340</v>
      </c>
      <c r="BM13" s="47">
        <v>1465993</v>
      </c>
      <c r="BN13" s="70">
        <v>87.82</v>
      </c>
      <c r="BO13" s="71">
        <v>87.76</v>
      </c>
      <c r="BP13" s="50"/>
      <c r="BQ13" s="75">
        <v>12.08</v>
      </c>
      <c r="BR13" s="75">
        <v>12.2</v>
      </c>
      <c r="BS13" s="50"/>
      <c r="BT13" s="50"/>
      <c r="BU13" s="72">
        <v>20779</v>
      </c>
      <c r="BV13" s="47">
        <v>134256</v>
      </c>
      <c r="BW13" s="69">
        <v>21758</v>
      </c>
      <c r="BX13" s="47">
        <v>140582</v>
      </c>
      <c r="BY13" s="70">
        <v>95.5</v>
      </c>
      <c r="BZ13" s="71">
        <v>95.5</v>
      </c>
      <c r="CA13" s="72">
        <v>49792</v>
      </c>
      <c r="CB13" s="47">
        <v>356768</v>
      </c>
      <c r="CC13" s="69">
        <v>56325</v>
      </c>
      <c r="CD13" s="47">
        <v>403583</v>
      </c>
      <c r="CE13" s="70">
        <v>88.4</v>
      </c>
      <c r="CF13" s="71">
        <v>88.4</v>
      </c>
      <c r="CG13" s="50"/>
      <c r="CH13" s="50"/>
      <c r="CI13" s="76">
        <v>198266</v>
      </c>
      <c r="CJ13" s="76" t="s">
        <v>65</v>
      </c>
      <c r="CK13" s="50"/>
      <c r="CL13" s="76">
        <v>226033</v>
      </c>
      <c r="CM13" s="76" t="s">
        <v>65</v>
      </c>
    </row>
    <row r="14" spans="1:91" ht="14.25" customHeight="1" x14ac:dyDescent="0.35">
      <c r="A14" s="67" t="s">
        <v>12</v>
      </c>
      <c r="B14" s="68">
        <v>7152</v>
      </c>
      <c r="C14" s="47">
        <v>56996</v>
      </c>
      <c r="D14" s="69">
        <v>8414</v>
      </c>
      <c r="E14" s="47">
        <v>67054</v>
      </c>
      <c r="F14" s="70">
        <v>85</v>
      </c>
      <c r="G14" s="71">
        <v>85</v>
      </c>
      <c r="H14" s="72">
        <v>70581</v>
      </c>
      <c r="I14" s="47">
        <v>561605</v>
      </c>
      <c r="J14" s="69">
        <v>78095</v>
      </c>
      <c r="K14" s="47">
        <v>622261</v>
      </c>
      <c r="L14" s="70">
        <v>90.38</v>
      </c>
      <c r="M14" s="71">
        <v>90.25</v>
      </c>
      <c r="N14" s="72">
        <v>99001</v>
      </c>
      <c r="O14" s="47">
        <v>784167</v>
      </c>
      <c r="P14" s="69">
        <v>112246</v>
      </c>
      <c r="Q14" s="47">
        <v>889078</v>
      </c>
      <c r="R14" s="70">
        <v>88.2</v>
      </c>
      <c r="S14" s="71">
        <v>88.2</v>
      </c>
      <c r="T14" s="72">
        <v>2625</v>
      </c>
      <c r="U14" s="47">
        <v>19581</v>
      </c>
      <c r="V14" s="69">
        <v>2723</v>
      </c>
      <c r="W14" s="47">
        <v>20313</v>
      </c>
      <c r="X14" s="70">
        <v>96.4</v>
      </c>
      <c r="Y14" s="71">
        <v>96.4</v>
      </c>
      <c r="Z14" s="72">
        <v>1300</v>
      </c>
      <c r="AA14" s="47">
        <v>17819</v>
      </c>
      <c r="AB14" s="69">
        <v>1386</v>
      </c>
      <c r="AC14" s="47">
        <v>18997</v>
      </c>
      <c r="AD14" s="70">
        <v>93.8</v>
      </c>
      <c r="AE14" s="71">
        <v>93.8</v>
      </c>
      <c r="AF14" s="72">
        <v>11131</v>
      </c>
      <c r="AG14" s="47">
        <v>87988</v>
      </c>
      <c r="AH14" s="69">
        <v>15902</v>
      </c>
      <c r="AI14" s="47">
        <v>125697</v>
      </c>
      <c r="AJ14" s="70">
        <v>70</v>
      </c>
      <c r="AK14" s="71">
        <v>70</v>
      </c>
      <c r="AL14" s="73"/>
      <c r="AM14" s="47">
        <v>0</v>
      </c>
      <c r="AN14" s="44"/>
      <c r="AO14" s="47">
        <v>0</v>
      </c>
      <c r="AP14" s="47">
        <v>0</v>
      </c>
      <c r="AQ14" s="74">
        <v>0</v>
      </c>
      <c r="AR14" s="73"/>
      <c r="AS14" s="47">
        <v>0</v>
      </c>
      <c r="AT14" s="44"/>
      <c r="AU14" s="47">
        <v>0</v>
      </c>
      <c r="AV14" s="47">
        <v>0</v>
      </c>
      <c r="AW14" s="74">
        <v>0</v>
      </c>
      <c r="AX14" s="72">
        <v>191790</v>
      </c>
      <c r="AY14" s="47">
        <v>1528156</v>
      </c>
      <c r="AZ14" s="69">
        <v>218766</v>
      </c>
      <c r="BA14" s="47">
        <v>1743399</v>
      </c>
      <c r="BB14" s="70">
        <v>87.67</v>
      </c>
      <c r="BC14" s="71">
        <v>87.65</v>
      </c>
      <c r="BD14" s="72">
        <v>20908</v>
      </c>
      <c r="BE14" s="47">
        <v>164565</v>
      </c>
      <c r="BF14" s="69">
        <v>27038</v>
      </c>
      <c r="BG14" s="47">
        <v>213064</v>
      </c>
      <c r="BH14" s="70">
        <v>77.33</v>
      </c>
      <c r="BI14" s="71">
        <v>77.239999999999995</v>
      </c>
      <c r="BJ14" s="72">
        <v>184638</v>
      </c>
      <c r="BK14" s="47">
        <v>1471160</v>
      </c>
      <c r="BL14" s="69">
        <v>210352</v>
      </c>
      <c r="BM14" s="47">
        <v>1676345</v>
      </c>
      <c r="BN14" s="70">
        <v>87.78</v>
      </c>
      <c r="BO14" s="71">
        <v>87.76</v>
      </c>
      <c r="BP14" s="50"/>
      <c r="BQ14" s="75">
        <v>12.36</v>
      </c>
      <c r="BR14" s="75">
        <v>12.22</v>
      </c>
      <c r="BS14" s="50"/>
      <c r="BT14" s="50"/>
      <c r="BU14" s="72">
        <v>20782</v>
      </c>
      <c r="BV14" s="47">
        <v>155038</v>
      </c>
      <c r="BW14" s="69">
        <v>21761</v>
      </c>
      <c r="BX14" s="47">
        <v>162343</v>
      </c>
      <c r="BY14" s="70">
        <v>95.5</v>
      </c>
      <c r="BZ14" s="71">
        <v>95.5</v>
      </c>
      <c r="CA14" s="72">
        <v>49799</v>
      </c>
      <c r="CB14" s="47">
        <v>406567</v>
      </c>
      <c r="CC14" s="69">
        <v>56334</v>
      </c>
      <c r="CD14" s="47">
        <v>459918</v>
      </c>
      <c r="CE14" s="70">
        <v>88.4</v>
      </c>
      <c r="CF14" s="71">
        <v>88.4</v>
      </c>
      <c r="CG14" s="50"/>
      <c r="CH14" s="50"/>
      <c r="CI14" s="76">
        <v>191790</v>
      </c>
      <c r="CJ14" s="76" t="s">
        <v>65</v>
      </c>
      <c r="CK14" s="50"/>
      <c r="CL14" s="76">
        <v>218766</v>
      </c>
      <c r="CM14" s="76" t="s">
        <v>65</v>
      </c>
    </row>
    <row r="15" spans="1:91" ht="14.25" customHeight="1" x14ac:dyDescent="0.35">
      <c r="A15" s="67" t="s">
        <v>13</v>
      </c>
      <c r="B15" s="68">
        <v>7879</v>
      </c>
      <c r="C15" s="47">
        <v>64874</v>
      </c>
      <c r="D15" s="69">
        <v>9269</v>
      </c>
      <c r="E15" s="47">
        <v>76323</v>
      </c>
      <c r="F15" s="70">
        <v>85</v>
      </c>
      <c r="G15" s="71">
        <v>85</v>
      </c>
      <c r="H15" s="72">
        <v>77756</v>
      </c>
      <c r="I15" s="47">
        <v>639361</v>
      </c>
      <c r="J15" s="69">
        <v>86034</v>
      </c>
      <c r="K15" s="47">
        <v>708295</v>
      </c>
      <c r="L15" s="70">
        <v>90.38</v>
      </c>
      <c r="M15" s="71">
        <v>90.27</v>
      </c>
      <c r="N15" s="72">
        <v>89079</v>
      </c>
      <c r="O15" s="47">
        <v>873246</v>
      </c>
      <c r="P15" s="69">
        <v>100997</v>
      </c>
      <c r="Q15" s="47">
        <v>990075</v>
      </c>
      <c r="R15" s="70">
        <v>88.2</v>
      </c>
      <c r="S15" s="71">
        <v>88.2</v>
      </c>
      <c r="T15" s="72">
        <v>2892</v>
      </c>
      <c r="U15" s="47">
        <v>22473</v>
      </c>
      <c r="V15" s="69">
        <v>3000</v>
      </c>
      <c r="W15" s="47">
        <v>23312</v>
      </c>
      <c r="X15" s="70">
        <v>96.4</v>
      </c>
      <c r="Y15" s="71">
        <v>96.4</v>
      </c>
      <c r="Z15" s="72">
        <v>1249</v>
      </c>
      <c r="AA15" s="47">
        <v>19068</v>
      </c>
      <c r="AB15" s="69">
        <v>1332</v>
      </c>
      <c r="AC15" s="47">
        <v>20328</v>
      </c>
      <c r="AD15" s="70">
        <v>93.8</v>
      </c>
      <c r="AE15" s="71">
        <v>93.8</v>
      </c>
      <c r="AF15" s="72">
        <v>13925</v>
      </c>
      <c r="AG15" s="47">
        <v>101913</v>
      </c>
      <c r="AH15" s="69">
        <v>19892</v>
      </c>
      <c r="AI15" s="47">
        <v>145589</v>
      </c>
      <c r="AJ15" s="70">
        <v>70</v>
      </c>
      <c r="AK15" s="71">
        <v>70</v>
      </c>
      <c r="AL15" s="73"/>
      <c r="AM15" s="47">
        <v>0</v>
      </c>
      <c r="AN15" s="44"/>
      <c r="AO15" s="47">
        <v>0</v>
      </c>
      <c r="AP15" s="47">
        <v>0</v>
      </c>
      <c r="AQ15" s="74">
        <v>0</v>
      </c>
      <c r="AR15" s="73"/>
      <c r="AS15" s="47">
        <v>0</v>
      </c>
      <c r="AT15" s="44"/>
      <c r="AU15" s="47">
        <v>0</v>
      </c>
      <c r="AV15" s="47">
        <v>0</v>
      </c>
      <c r="AW15" s="74">
        <v>0</v>
      </c>
      <c r="AX15" s="72">
        <v>192779</v>
      </c>
      <c r="AY15" s="47">
        <v>1720935</v>
      </c>
      <c r="AZ15" s="69">
        <v>220523</v>
      </c>
      <c r="BA15" s="47">
        <v>1963922</v>
      </c>
      <c r="BB15" s="70">
        <v>87.42</v>
      </c>
      <c r="BC15" s="71">
        <v>87.63</v>
      </c>
      <c r="BD15" s="72">
        <v>24695</v>
      </c>
      <c r="BE15" s="47">
        <v>189260</v>
      </c>
      <c r="BF15" s="69">
        <v>32161</v>
      </c>
      <c r="BG15" s="47">
        <v>245225</v>
      </c>
      <c r="BH15" s="70">
        <v>76.790000000000006</v>
      </c>
      <c r="BI15" s="71">
        <v>77.180000000000007</v>
      </c>
      <c r="BJ15" s="72">
        <v>184900</v>
      </c>
      <c r="BK15" s="47">
        <v>1656060</v>
      </c>
      <c r="BL15" s="69">
        <v>211254</v>
      </c>
      <c r="BM15" s="47">
        <v>1887599</v>
      </c>
      <c r="BN15" s="70">
        <v>87.53</v>
      </c>
      <c r="BO15" s="71">
        <v>87.73</v>
      </c>
      <c r="BP15" s="50"/>
      <c r="BQ15" s="75">
        <v>14.58</v>
      </c>
      <c r="BR15" s="75">
        <v>12.49</v>
      </c>
      <c r="BS15" s="50"/>
      <c r="BT15" s="50"/>
      <c r="BU15" s="72">
        <v>22894</v>
      </c>
      <c r="BV15" s="47">
        <v>177932</v>
      </c>
      <c r="BW15" s="69">
        <v>23973</v>
      </c>
      <c r="BX15" s="47">
        <v>186317</v>
      </c>
      <c r="BY15" s="70">
        <v>95.5</v>
      </c>
      <c r="BZ15" s="71">
        <v>95.5</v>
      </c>
      <c r="CA15" s="72">
        <v>54862</v>
      </c>
      <c r="CB15" s="47">
        <v>461429</v>
      </c>
      <c r="CC15" s="69">
        <v>62061</v>
      </c>
      <c r="CD15" s="47">
        <v>521978</v>
      </c>
      <c r="CE15" s="70">
        <v>88.4</v>
      </c>
      <c r="CF15" s="71">
        <v>88.4</v>
      </c>
      <c r="CG15" s="50"/>
      <c r="CH15" s="50"/>
      <c r="CI15" s="76">
        <v>192779</v>
      </c>
      <c r="CJ15" s="76" t="s">
        <v>65</v>
      </c>
      <c r="CK15" s="50"/>
      <c r="CL15" s="76">
        <v>220523</v>
      </c>
      <c r="CM15" s="76" t="s">
        <v>65</v>
      </c>
    </row>
    <row r="16" spans="1:91" ht="14.25" customHeight="1" x14ac:dyDescent="0.35">
      <c r="A16" s="67" t="s">
        <v>14</v>
      </c>
      <c r="B16" s="68">
        <v>7537</v>
      </c>
      <c r="C16" s="47">
        <v>72411</v>
      </c>
      <c r="D16" s="69">
        <v>8867</v>
      </c>
      <c r="E16" s="47">
        <v>85190</v>
      </c>
      <c r="F16" s="70">
        <v>85</v>
      </c>
      <c r="G16" s="71">
        <v>85</v>
      </c>
      <c r="H16" s="72">
        <v>72917</v>
      </c>
      <c r="I16" s="47">
        <v>712278</v>
      </c>
      <c r="J16" s="69">
        <v>80577</v>
      </c>
      <c r="K16" s="47">
        <v>788871</v>
      </c>
      <c r="L16" s="70">
        <v>90.49</v>
      </c>
      <c r="M16" s="71">
        <v>90.29</v>
      </c>
      <c r="N16" s="72">
        <v>88299</v>
      </c>
      <c r="O16" s="47">
        <v>961545</v>
      </c>
      <c r="P16" s="69">
        <v>100112</v>
      </c>
      <c r="Q16" s="47">
        <v>1090187</v>
      </c>
      <c r="R16" s="70">
        <v>88.2</v>
      </c>
      <c r="S16" s="71">
        <v>88.2</v>
      </c>
      <c r="T16" s="72">
        <v>2867</v>
      </c>
      <c r="U16" s="47">
        <v>25340</v>
      </c>
      <c r="V16" s="69">
        <v>2974</v>
      </c>
      <c r="W16" s="47">
        <v>26286</v>
      </c>
      <c r="X16" s="70">
        <v>96.4</v>
      </c>
      <c r="Y16" s="71">
        <v>96.4</v>
      </c>
      <c r="Z16" s="72">
        <v>1238</v>
      </c>
      <c r="AA16" s="47">
        <v>20306</v>
      </c>
      <c r="AB16" s="69">
        <v>1320</v>
      </c>
      <c r="AC16" s="47">
        <v>21648</v>
      </c>
      <c r="AD16" s="70">
        <v>93.8</v>
      </c>
      <c r="AE16" s="71">
        <v>93.8</v>
      </c>
      <c r="AF16" s="72">
        <v>13784</v>
      </c>
      <c r="AG16" s="47">
        <v>115696</v>
      </c>
      <c r="AH16" s="69">
        <v>19691</v>
      </c>
      <c r="AI16" s="47">
        <v>165280</v>
      </c>
      <c r="AJ16" s="70">
        <v>70</v>
      </c>
      <c r="AK16" s="71">
        <v>70</v>
      </c>
      <c r="AL16" s="73"/>
      <c r="AM16" s="47">
        <v>0</v>
      </c>
      <c r="AN16" s="44"/>
      <c r="AO16" s="47">
        <v>0</v>
      </c>
      <c r="AP16" s="47">
        <v>0</v>
      </c>
      <c r="AQ16" s="74">
        <v>0</v>
      </c>
      <c r="AR16" s="73"/>
      <c r="AS16" s="47">
        <v>0</v>
      </c>
      <c r="AT16" s="44"/>
      <c r="AU16" s="47">
        <v>0</v>
      </c>
      <c r="AV16" s="47">
        <v>0</v>
      </c>
      <c r="AW16" s="74">
        <v>0</v>
      </c>
      <c r="AX16" s="72">
        <v>186641</v>
      </c>
      <c r="AY16" s="47">
        <v>1907576</v>
      </c>
      <c r="AZ16" s="69">
        <v>213540</v>
      </c>
      <c r="BA16" s="47">
        <v>2177462</v>
      </c>
      <c r="BB16" s="70">
        <v>87.4</v>
      </c>
      <c r="BC16" s="71">
        <v>87.61</v>
      </c>
      <c r="BD16" s="72">
        <v>24187</v>
      </c>
      <c r="BE16" s="47">
        <v>213447</v>
      </c>
      <c r="BF16" s="69">
        <v>31531</v>
      </c>
      <c r="BG16" s="47">
        <v>276756</v>
      </c>
      <c r="BH16" s="70">
        <v>76.709999999999994</v>
      </c>
      <c r="BI16" s="71">
        <v>77.12</v>
      </c>
      <c r="BJ16" s="72">
        <v>179105</v>
      </c>
      <c r="BK16" s="47">
        <v>1835165</v>
      </c>
      <c r="BL16" s="69">
        <v>204673</v>
      </c>
      <c r="BM16" s="47">
        <v>2092273</v>
      </c>
      <c r="BN16" s="70">
        <v>87.51</v>
      </c>
      <c r="BO16" s="71">
        <v>87.71</v>
      </c>
      <c r="BP16" s="50"/>
      <c r="BQ16" s="75">
        <v>14.77</v>
      </c>
      <c r="BR16" s="75">
        <v>12.71</v>
      </c>
      <c r="BS16" s="50"/>
      <c r="BT16" s="50"/>
      <c r="BU16" s="72">
        <v>22698</v>
      </c>
      <c r="BV16" s="47">
        <v>200630</v>
      </c>
      <c r="BW16" s="69">
        <v>23767</v>
      </c>
      <c r="BX16" s="47">
        <v>210084</v>
      </c>
      <c r="BY16" s="70">
        <v>95.5</v>
      </c>
      <c r="BZ16" s="71">
        <v>95.5</v>
      </c>
      <c r="CA16" s="72">
        <v>50219</v>
      </c>
      <c r="CB16" s="47">
        <v>511648</v>
      </c>
      <c r="CC16" s="69">
        <v>56809</v>
      </c>
      <c r="CD16" s="47">
        <v>578787</v>
      </c>
      <c r="CE16" s="70">
        <v>88.4</v>
      </c>
      <c r="CF16" s="71">
        <v>88.4</v>
      </c>
      <c r="CG16" s="50"/>
      <c r="CH16" s="50"/>
      <c r="CI16" s="76">
        <v>186641</v>
      </c>
      <c r="CJ16" s="76" t="s">
        <v>65</v>
      </c>
      <c r="CK16" s="50"/>
      <c r="CL16" s="76">
        <v>213540</v>
      </c>
      <c r="CM16" s="76" t="s">
        <v>65</v>
      </c>
    </row>
    <row r="17" spans="1:91" ht="14.25" customHeight="1" x14ac:dyDescent="0.35">
      <c r="A17" s="67" t="s">
        <v>15</v>
      </c>
      <c r="B17" s="77">
        <v>7976</v>
      </c>
      <c r="C17" s="78">
        <v>80387</v>
      </c>
      <c r="D17" s="79">
        <v>9384</v>
      </c>
      <c r="E17" s="78">
        <v>94573</v>
      </c>
      <c r="F17" s="80">
        <v>85</v>
      </c>
      <c r="G17" s="81">
        <v>85</v>
      </c>
      <c r="H17" s="82">
        <v>75632</v>
      </c>
      <c r="I17" s="78">
        <v>787910</v>
      </c>
      <c r="J17" s="79">
        <v>83746</v>
      </c>
      <c r="K17" s="78">
        <v>872617</v>
      </c>
      <c r="L17" s="80">
        <v>90.31</v>
      </c>
      <c r="M17" s="81">
        <v>90.29</v>
      </c>
      <c r="N17" s="82">
        <v>97492</v>
      </c>
      <c r="O17" s="78">
        <v>1059037</v>
      </c>
      <c r="P17" s="79">
        <v>110536</v>
      </c>
      <c r="Q17" s="78">
        <v>1200722</v>
      </c>
      <c r="R17" s="80">
        <v>88.2</v>
      </c>
      <c r="S17" s="81">
        <v>88.2</v>
      </c>
      <c r="T17" s="82">
        <v>2719</v>
      </c>
      <c r="U17" s="78">
        <v>28059</v>
      </c>
      <c r="V17" s="79">
        <v>2820</v>
      </c>
      <c r="W17" s="78">
        <v>29106</v>
      </c>
      <c r="X17" s="80">
        <v>96.4</v>
      </c>
      <c r="Y17" s="81">
        <v>96.4</v>
      </c>
      <c r="Z17" s="82">
        <v>2586</v>
      </c>
      <c r="AA17" s="78">
        <v>22892</v>
      </c>
      <c r="AB17" s="79">
        <v>2757</v>
      </c>
      <c r="AC17" s="78">
        <v>24406</v>
      </c>
      <c r="AD17" s="80">
        <v>93.8</v>
      </c>
      <c r="AE17" s="81">
        <v>93.8</v>
      </c>
      <c r="AF17" s="82">
        <v>13088</v>
      </c>
      <c r="AG17" s="78">
        <v>128784</v>
      </c>
      <c r="AH17" s="79">
        <v>18697</v>
      </c>
      <c r="AI17" s="78">
        <v>183977</v>
      </c>
      <c r="AJ17" s="80">
        <v>70</v>
      </c>
      <c r="AK17" s="81">
        <v>70</v>
      </c>
      <c r="AL17" s="83"/>
      <c r="AM17" s="78">
        <v>0</v>
      </c>
      <c r="AN17" s="84"/>
      <c r="AO17" s="78">
        <v>0</v>
      </c>
      <c r="AP17" s="78">
        <v>0</v>
      </c>
      <c r="AQ17" s="85">
        <v>0</v>
      </c>
      <c r="AR17" s="83"/>
      <c r="AS17" s="78">
        <v>0</v>
      </c>
      <c r="AT17" s="84"/>
      <c r="AU17" s="78">
        <v>0</v>
      </c>
      <c r="AV17" s="78">
        <v>0</v>
      </c>
      <c r="AW17" s="85">
        <v>0</v>
      </c>
      <c r="AX17" s="82">
        <v>199493</v>
      </c>
      <c r="AY17" s="78">
        <v>2107069</v>
      </c>
      <c r="AZ17" s="79">
        <v>227940</v>
      </c>
      <c r="BA17" s="78">
        <v>2405402</v>
      </c>
      <c r="BB17" s="80">
        <v>87.52</v>
      </c>
      <c r="BC17" s="81">
        <v>87.6</v>
      </c>
      <c r="BD17" s="82">
        <v>23783</v>
      </c>
      <c r="BE17" s="78">
        <v>237230</v>
      </c>
      <c r="BF17" s="79">
        <v>30901</v>
      </c>
      <c r="BG17" s="78">
        <v>307657</v>
      </c>
      <c r="BH17" s="80">
        <v>76.959999999999994</v>
      </c>
      <c r="BI17" s="81">
        <v>77.11</v>
      </c>
      <c r="BJ17" s="82">
        <v>191517</v>
      </c>
      <c r="BK17" s="78">
        <v>2026682</v>
      </c>
      <c r="BL17" s="79">
        <v>218556</v>
      </c>
      <c r="BM17" s="78">
        <v>2310829</v>
      </c>
      <c r="BN17" s="80">
        <v>87.63</v>
      </c>
      <c r="BO17" s="81">
        <v>87.7</v>
      </c>
      <c r="BP17" s="50"/>
      <c r="BQ17" s="75">
        <v>13.56</v>
      </c>
      <c r="BR17" s="75">
        <v>12.79</v>
      </c>
      <c r="BS17" s="50"/>
      <c r="BT17" s="50"/>
      <c r="BU17" s="82">
        <v>21527</v>
      </c>
      <c r="BV17" s="78">
        <v>222158</v>
      </c>
      <c r="BW17" s="79">
        <v>22542</v>
      </c>
      <c r="BX17" s="78">
        <v>232626</v>
      </c>
      <c r="BY17" s="80">
        <v>95.5</v>
      </c>
      <c r="BZ17" s="81">
        <v>95.5</v>
      </c>
      <c r="CA17" s="82">
        <v>54104</v>
      </c>
      <c r="CB17" s="78">
        <v>565752</v>
      </c>
      <c r="CC17" s="79">
        <v>61204</v>
      </c>
      <c r="CD17" s="78">
        <v>639991</v>
      </c>
      <c r="CE17" s="80">
        <v>88.4</v>
      </c>
      <c r="CF17" s="81">
        <v>88.4</v>
      </c>
      <c r="CG17" s="50"/>
      <c r="CH17" s="50"/>
      <c r="CI17" s="76">
        <v>199493</v>
      </c>
      <c r="CJ17" s="76" t="s">
        <v>65</v>
      </c>
      <c r="CK17" s="50"/>
      <c r="CL17" s="76">
        <v>227940</v>
      </c>
      <c r="CM17" s="76" t="s">
        <v>65</v>
      </c>
    </row>
    <row r="18" spans="1:91" ht="14.25" customHeight="1" x14ac:dyDescent="0.3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10">
        <v>0</v>
      </c>
      <c r="BC18" s="10">
        <v>0</v>
      </c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</row>
    <row r="19" spans="1:91" ht="14.25" customHeight="1" x14ac:dyDescent="0.35">
      <c r="A19" s="50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  <c r="BC19" s="48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50"/>
      <c r="CH19" s="50"/>
      <c r="CI19" s="50"/>
      <c r="CJ19" s="50"/>
      <c r="CK19" s="50"/>
      <c r="CL19" s="50"/>
      <c r="CM19" s="50"/>
    </row>
    <row r="20" spans="1:91" ht="14.25" customHeight="1" x14ac:dyDescent="0.35">
      <c r="A20" s="56" t="s">
        <v>108</v>
      </c>
      <c r="B20" s="50"/>
      <c r="C20" s="50"/>
      <c r="D20" s="50"/>
      <c r="E20" s="50"/>
      <c r="F20" s="50"/>
      <c r="G20" s="50"/>
      <c r="H20" s="56" t="s">
        <v>109</v>
      </c>
      <c r="I20" s="50"/>
      <c r="J20" s="50"/>
      <c r="K20" s="50"/>
      <c r="L20" s="50"/>
      <c r="M20" s="50"/>
      <c r="N20" s="56" t="s">
        <v>110</v>
      </c>
      <c r="O20" s="50"/>
      <c r="P20" s="50"/>
      <c r="Q20" s="50"/>
      <c r="R20" s="50"/>
      <c r="S20" s="50"/>
      <c r="T20" s="56" t="s">
        <v>111</v>
      </c>
      <c r="U20" s="50"/>
      <c r="V20" s="50"/>
      <c r="W20" s="50"/>
      <c r="X20" s="50"/>
      <c r="Y20" s="50"/>
      <c r="Z20" s="56" t="s">
        <v>112</v>
      </c>
      <c r="AA20" s="50"/>
      <c r="AB20" s="50"/>
      <c r="AC20" s="50"/>
      <c r="AD20" s="50"/>
      <c r="AE20" s="50"/>
      <c r="AF20" s="43" t="s">
        <v>113</v>
      </c>
      <c r="AG20" s="42"/>
      <c r="AH20" s="42"/>
      <c r="AI20" s="42"/>
      <c r="AJ20" s="42"/>
      <c r="AK20" s="42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</row>
    <row r="21" spans="1:91" ht="14.25" customHeight="1" x14ac:dyDescent="0.35">
      <c r="A21" s="57" t="s">
        <v>102</v>
      </c>
      <c r="B21" s="58" t="s">
        <v>2</v>
      </c>
      <c r="C21" s="59"/>
      <c r="D21" s="58" t="s">
        <v>3</v>
      </c>
      <c r="E21" s="59"/>
      <c r="F21" s="58" t="s">
        <v>103</v>
      </c>
      <c r="G21" s="60"/>
      <c r="H21" s="61" t="s">
        <v>2</v>
      </c>
      <c r="I21" s="59"/>
      <c r="J21" s="58" t="s">
        <v>3</v>
      </c>
      <c r="K21" s="59"/>
      <c r="L21" s="58" t="s">
        <v>103</v>
      </c>
      <c r="M21" s="60"/>
      <c r="N21" s="61" t="s">
        <v>2</v>
      </c>
      <c r="O21" s="59"/>
      <c r="P21" s="58" t="s">
        <v>3</v>
      </c>
      <c r="Q21" s="59"/>
      <c r="R21" s="58" t="s">
        <v>103</v>
      </c>
      <c r="S21" s="60"/>
      <c r="T21" s="61" t="s">
        <v>2</v>
      </c>
      <c r="U21" s="59"/>
      <c r="V21" s="58" t="s">
        <v>3</v>
      </c>
      <c r="W21" s="59"/>
      <c r="X21" s="58" t="s">
        <v>103</v>
      </c>
      <c r="Y21" s="60"/>
      <c r="Z21" s="61" t="s">
        <v>2</v>
      </c>
      <c r="AA21" s="59"/>
      <c r="AB21" s="58" t="s">
        <v>3</v>
      </c>
      <c r="AC21" s="59"/>
      <c r="AD21" s="58" t="s">
        <v>103</v>
      </c>
      <c r="AE21" s="86"/>
      <c r="AF21" s="61" t="s">
        <v>2</v>
      </c>
      <c r="AG21" s="59"/>
      <c r="AH21" s="58" t="s">
        <v>3</v>
      </c>
      <c r="AI21" s="59"/>
      <c r="AJ21" s="58" t="s">
        <v>103</v>
      </c>
      <c r="AK21" s="86"/>
      <c r="AL21" s="50"/>
      <c r="AM21" s="1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</row>
    <row r="22" spans="1:91" ht="14.25" customHeight="1" x14ac:dyDescent="0.35">
      <c r="A22" s="87" t="s">
        <v>102</v>
      </c>
      <c r="B22" s="63" t="s">
        <v>106</v>
      </c>
      <c r="C22" s="63" t="s">
        <v>107</v>
      </c>
      <c r="D22" s="63" t="s">
        <v>106</v>
      </c>
      <c r="E22" s="63" t="s">
        <v>107</v>
      </c>
      <c r="F22" s="63" t="s">
        <v>106</v>
      </c>
      <c r="G22" s="64" t="s">
        <v>107</v>
      </c>
      <c r="H22" s="65" t="s">
        <v>106</v>
      </c>
      <c r="I22" s="63" t="s">
        <v>107</v>
      </c>
      <c r="J22" s="63" t="s">
        <v>106</v>
      </c>
      <c r="K22" s="63" t="s">
        <v>107</v>
      </c>
      <c r="L22" s="63" t="s">
        <v>106</v>
      </c>
      <c r="M22" s="64" t="s">
        <v>107</v>
      </c>
      <c r="N22" s="65" t="s">
        <v>106</v>
      </c>
      <c r="O22" s="63" t="s">
        <v>107</v>
      </c>
      <c r="P22" s="63" t="s">
        <v>106</v>
      </c>
      <c r="Q22" s="63" t="s">
        <v>107</v>
      </c>
      <c r="R22" s="63" t="s">
        <v>106</v>
      </c>
      <c r="S22" s="64" t="s">
        <v>107</v>
      </c>
      <c r="T22" s="65" t="s">
        <v>106</v>
      </c>
      <c r="U22" s="63" t="s">
        <v>107</v>
      </c>
      <c r="V22" s="63" t="s">
        <v>106</v>
      </c>
      <c r="W22" s="63" t="s">
        <v>107</v>
      </c>
      <c r="X22" s="63" t="s">
        <v>106</v>
      </c>
      <c r="Y22" s="64" t="s">
        <v>107</v>
      </c>
      <c r="Z22" s="65" t="s">
        <v>106</v>
      </c>
      <c r="AA22" s="63" t="s">
        <v>107</v>
      </c>
      <c r="AB22" s="63" t="s">
        <v>106</v>
      </c>
      <c r="AC22" s="63" t="s">
        <v>107</v>
      </c>
      <c r="AD22" s="63" t="s">
        <v>106</v>
      </c>
      <c r="AE22" s="64" t="s">
        <v>107</v>
      </c>
      <c r="AF22" s="65" t="s">
        <v>106</v>
      </c>
      <c r="AG22" s="63" t="s">
        <v>107</v>
      </c>
      <c r="AH22" s="63" t="s">
        <v>106</v>
      </c>
      <c r="AI22" s="63" t="s">
        <v>107</v>
      </c>
      <c r="AJ22" s="63" t="s">
        <v>106</v>
      </c>
      <c r="AK22" s="64" t="s">
        <v>107</v>
      </c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</row>
    <row r="23" spans="1:91" ht="14.25" customHeight="1" x14ac:dyDescent="0.35">
      <c r="A23" s="67" t="s">
        <v>4</v>
      </c>
      <c r="B23" s="68">
        <v>131214</v>
      </c>
      <c r="C23" s="47">
        <v>131214</v>
      </c>
      <c r="D23" s="69">
        <v>226231</v>
      </c>
      <c r="E23" s="47">
        <v>226231</v>
      </c>
      <c r="F23" s="70">
        <v>58</v>
      </c>
      <c r="G23" s="71">
        <v>58</v>
      </c>
      <c r="H23" s="72">
        <v>0</v>
      </c>
      <c r="I23" s="47">
        <v>0</v>
      </c>
      <c r="J23" s="69">
        <v>0</v>
      </c>
      <c r="K23" s="47">
        <v>0</v>
      </c>
      <c r="L23" s="70">
        <v>0</v>
      </c>
      <c r="M23" s="71">
        <v>0</v>
      </c>
      <c r="N23" s="72">
        <v>145703</v>
      </c>
      <c r="O23" s="47">
        <v>145703</v>
      </c>
      <c r="P23" s="47">
        <v>245516</v>
      </c>
      <c r="Q23" s="47">
        <v>245516</v>
      </c>
      <c r="R23" s="70">
        <v>59.35</v>
      </c>
      <c r="S23" s="71">
        <v>59.35</v>
      </c>
      <c r="T23" s="72">
        <v>281383</v>
      </c>
      <c r="U23" s="47">
        <v>281383</v>
      </c>
      <c r="V23" s="47">
        <v>397707</v>
      </c>
      <c r="W23" s="47">
        <v>397707</v>
      </c>
      <c r="X23" s="70">
        <v>70.75</v>
      </c>
      <c r="Y23" s="71">
        <v>70.75</v>
      </c>
      <c r="Z23" s="72">
        <v>131214</v>
      </c>
      <c r="AA23" s="47">
        <v>131214</v>
      </c>
      <c r="AB23" s="47">
        <v>226231</v>
      </c>
      <c r="AC23" s="47">
        <v>226231</v>
      </c>
      <c r="AD23" s="70">
        <v>58</v>
      </c>
      <c r="AE23" s="71">
        <v>58</v>
      </c>
      <c r="AF23" s="72" t="e">
        <f>HLOOKUP($A23,#REF!,33,)</f>
        <v>#REF!</v>
      </c>
      <c r="AG23" s="47" t="e">
        <f>AF23</f>
        <v>#REF!</v>
      </c>
      <c r="AH23" s="47" t="e">
        <f>HLOOKUP($A23,#REF!,33,)</f>
        <v>#REF!</v>
      </c>
      <c r="AI23" s="47" t="e">
        <f>AH23</f>
        <v>#REF!</v>
      </c>
      <c r="AJ23" s="70">
        <f t="shared" ref="AJ23:AK23" si="0">IFERROR(AF23/AH23*100,0)</f>
        <v>0</v>
      </c>
      <c r="AK23" s="71">
        <f t="shared" si="0"/>
        <v>0</v>
      </c>
      <c r="AL23" s="48"/>
      <c r="AM23" s="88"/>
      <c r="AN23" s="10"/>
      <c r="AO23" s="46"/>
      <c r="AP23" s="76" t="s">
        <v>65</v>
      </c>
      <c r="AQ23" s="10" t="s">
        <v>65</v>
      </c>
      <c r="AR23" s="46"/>
      <c r="AS23" s="46"/>
      <c r="AT23" s="50"/>
      <c r="AU23" s="89"/>
      <c r="AV23" s="89"/>
      <c r="AW23" s="50"/>
      <c r="AX23" s="50"/>
      <c r="AY23" s="50"/>
      <c r="AZ23" s="50"/>
      <c r="BA23" s="50"/>
      <c r="BB23" s="88">
        <v>87.13</v>
      </c>
      <c r="BC23" s="88">
        <v>87.13</v>
      </c>
      <c r="BD23" s="90">
        <v>0.44</v>
      </c>
      <c r="BE23" s="90">
        <v>0.44</v>
      </c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</row>
    <row r="24" spans="1:91" ht="14.25" customHeight="1" x14ac:dyDescent="0.35">
      <c r="A24" s="67" t="s">
        <v>5</v>
      </c>
      <c r="B24" s="68">
        <v>110973</v>
      </c>
      <c r="C24" s="47">
        <v>242187</v>
      </c>
      <c r="D24" s="69">
        <v>191332</v>
      </c>
      <c r="E24" s="47">
        <v>417563</v>
      </c>
      <c r="F24" s="70">
        <v>58</v>
      </c>
      <c r="G24" s="71">
        <v>58</v>
      </c>
      <c r="H24" s="72">
        <v>0</v>
      </c>
      <c r="I24" s="47">
        <v>0</v>
      </c>
      <c r="J24" s="69">
        <v>0</v>
      </c>
      <c r="K24" s="47">
        <v>0</v>
      </c>
      <c r="L24" s="70">
        <v>0</v>
      </c>
      <c r="M24" s="71">
        <v>0</v>
      </c>
      <c r="N24" s="72">
        <v>126064</v>
      </c>
      <c r="O24" s="47">
        <v>271766</v>
      </c>
      <c r="P24" s="47">
        <v>211411</v>
      </c>
      <c r="Q24" s="47">
        <v>456926</v>
      </c>
      <c r="R24" s="70">
        <v>59.63</v>
      </c>
      <c r="S24" s="71">
        <v>59.48</v>
      </c>
      <c r="T24" s="72">
        <v>268304</v>
      </c>
      <c r="U24" s="47">
        <v>549687</v>
      </c>
      <c r="V24" s="47">
        <v>370960</v>
      </c>
      <c r="W24" s="47">
        <v>768668</v>
      </c>
      <c r="X24" s="70">
        <v>72.33</v>
      </c>
      <c r="Y24" s="71">
        <v>71.510000000000005</v>
      </c>
      <c r="Z24" s="72">
        <v>110973</v>
      </c>
      <c r="AA24" s="47">
        <v>242187</v>
      </c>
      <c r="AB24" s="47">
        <v>191332</v>
      </c>
      <c r="AC24" s="47">
        <v>417563</v>
      </c>
      <c r="AD24" s="70">
        <v>58</v>
      </c>
      <c r="AE24" s="71">
        <v>58</v>
      </c>
      <c r="AF24" s="72" t="e">
        <f>HLOOKUP($A24,#REF!,33,)</f>
        <v>#REF!</v>
      </c>
      <c r="AG24" s="47" t="e">
        <f t="shared" ref="AG24:AG34" si="1">AF24+AG23</f>
        <v>#REF!</v>
      </c>
      <c r="AH24" s="47" t="e">
        <f>HLOOKUP($A24,#REF!,33,)</f>
        <v>#REF!</v>
      </c>
      <c r="AI24" s="47" t="e">
        <f t="shared" ref="AI24:AI34" si="2">AH24+AI23</f>
        <v>#REF!</v>
      </c>
      <c r="AJ24" s="70">
        <f t="shared" ref="AJ24:AK24" si="3">IFERROR(AF24/AH24*100,0)</f>
        <v>0</v>
      </c>
      <c r="AK24" s="71">
        <f t="shared" si="3"/>
        <v>0</v>
      </c>
      <c r="AL24" s="48"/>
      <c r="AM24" s="88"/>
      <c r="AN24" s="10"/>
      <c r="AO24" s="46"/>
      <c r="AP24" s="76" t="s">
        <v>65</v>
      </c>
      <c r="AQ24" s="10" t="s">
        <v>65</v>
      </c>
      <c r="AR24" s="46"/>
      <c r="AS24" s="46"/>
      <c r="AT24" s="50"/>
      <c r="AU24" s="89"/>
      <c r="AV24" s="89"/>
      <c r="AW24" s="50"/>
      <c r="AX24" s="50"/>
      <c r="AY24" s="50"/>
      <c r="AZ24" s="50"/>
      <c r="BA24" s="50"/>
      <c r="BB24" s="88">
        <v>87.14</v>
      </c>
      <c r="BC24" s="88">
        <v>87.14</v>
      </c>
      <c r="BD24" s="90">
        <v>0.45</v>
      </c>
      <c r="BE24" s="90">
        <v>0.45</v>
      </c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</row>
    <row r="25" spans="1:91" ht="14.25" customHeight="1" x14ac:dyDescent="0.35">
      <c r="A25" s="67" t="s">
        <v>6</v>
      </c>
      <c r="B25" s="68">
        <v>73998</v>
      </c>
      <c r="C25" s="47">
        <v>316185</v>
      </c>
      <c r="D25" s="69">
        <v>127583</v>
      </c>
      <c r="E25" s="47">
        <v>545146</v>
      </c>
      <c r="F25" s="70">
        <v>58</v>
      </c>
      <c r="G25" s="71">
        <v>58</v>
      </c>
      <c r="H25" s="72">
        <v>0</v>
      </c>
      <c r="I25" s="47">
        <v>0</v>
      </c>
      <c r="J25" s="69">
        <v>0</v>
      </c>
      <c r="K25" s="47">
        <v>0</v>
      </c>
      <c r="L25" s="70">
        <v>0</v>
      </c>
      <c r="M25" s="71">
        <v>0</v>
      </c>
      <c r="N25" s="72">
        <v>83005</v>
      </c>
      <c r="O25" s="47">
        <v>354772</v>
      </c>
      <c r="P25" s="47">
        <v>139581</v>
      </c>
      <c r="Q25" s="47">
        <v>596508</v>
      </c>
      <c r="R25" s="70">
        <v>59.47</v>
      </c>
      <c r="S25" s="71">
        <v>59.47</v>
      </c>
      <c r="T25" s="72">
        <v>166311</v>
      </c>
      <c r="U25" s="47">
        <v>715998</v>
      </c>
      <c r="V25" s="47">
        <v>233024</v>
      </c>
      <c r="W25" s="47">
        <v>1001692</v>
      </c>
      <c r="X25" s="70">
        <v>71.37</v>
      </c>
      <c r="Y25" s="71">
        <v>71.48</v>
      </c>
      <c r="Z25" s="72">
        <v>73998</v>
      </c>
      <c r="AA25" s="47">
        <v>316185</v>
      </c>
      <c r="AB25" s="47">
        <v>127583</v>
      </c>
      <c r="AC25" s="47">
        <v>545146</v>
      </c>
      <c r="AD25" s="70">
        <v>58</v>
      </c>
      <c r="AE25" s="71">
        <v>58</v>
      </c>
      <c r="AF25" s="72" t="e">
        <f>HLOOKUP($A25,#REF!,33,)</f>
        <v>#REF!</v>
      </c>
      <c r="AG25" s="47" t="e">
        <f t="shared" si="1"/>
        <v>#REF!</v>
      </c>
      <c r="AH25" s="47" t="e">
        <f>HLOOKUP($A25,#REF!,33,)</f>
        <v>#REF!</v>
      </c>
      <c r="AI25" s="47" t="e">
        <f t="shared" si="2"/>
        <v>#REF!</v>
      </c>
      <c r="AJ25" s="70">
        <f t="shared" ref="AJ25:AK25" si="4">IFERROR(AF25/AH25*100,0)</f>
        <v>0</v>
      </c>
      <c r="AK25" s="71">
        <f t="shared" si="4"/>
        <v>0</v>
      </c>
      <c r="AL25" s="48"/>
      <c r="AM25" s="88"/>
      <c r="AN25" s="10"/>
      <c r="AO25" s="46"/>
      <c r="AP25" s="76" t="s">
        <v>65</v>
      </c>
      <c r="AQ25" s="10" t="s">
        <v>65</v>
      </c>
      <c r="AR25" s="46"/>
      <c r="AS25" s="46"/>
      <c r="AT25" s="50"/>
      <c r="AU25" s="89"/>
      <c r="AV25" s="89"/>
      <c r="AW25" s="50"/>
      <c r="AX25" s="50"/>
      <c r="AY25" s="50"/>
      <c r="AZ25" s="50"/>
      <c r="BA25" s="50"/>
      <c r="BB25" s="88">
        <v>87.12</v>
      </c>
      <c r="BC25" s="88">
        <v>87.13</v>
      </c>
      <c r="BD25" s="90">
        <v>0.43</v>
      </c>
      <c r="BE25" s="90">
        <v>0.44</v>
      </c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</row>
    <row r="26" spans="1:91" ht="14.25" customHeight="1" x14ac:dyDescent="0.35">
      <c r="A26" s="67" t="s">
        <v>7</v>
      </c>
      <c r="B26" s="68">
        <v>107056</v>
      </c>
      <c r="C26" s="47">
        <v>423241</v>
      </c>
      <c r="D26" s="69">
        <v>184580</v>
      </c>
      <c r="E26" s="47">
        <v>729726</v>
      </c>
      <c r="F26" s="70">
        <v>58</v>
      </c>
      <c r="G26" s="71">
        <v>58</v>
      </c>
      <c r="H26" s="72">
        <v>0</v>
      </c>
      <c r="I26" s="47">
        <v>0</v>
      </c>
      <c r="J26" s="69">
        <v>0</v>
      </c>
      <c r="K26" s="47">
        <v>0</v>
      </c>
      <c r="L26" s="70">
        <v>0</v>
      </c>
      <c r="M26" s="71">
        <v>0</v>
      </c>
      <c r="N26" s="72">
        <v>121526</v>
      </c>
      <c r="O26" s="47">
        <v>476298</v>
      </c>
      <c r="P26" s="47">
        <v>203840</v>
      </c>
      <c r="Q26" s="47">
        <v>800347</v>
      </c>
      <c r="R26" s="70">
        <v>59.62</v>
      </c>
      <c r="S26" s="71">
        <v>59.51</v>
      </c>
      <c r="T26" s="72">
        <v>256985</v>
      </c>
      <c r="U26" s="47">
        <v>972983</v>
      </c>
      <c r="V26" s="47">
        <v>355783</v>
      </c>
      <c r="W26" s="47">
        <v>1357475</v>
      </c>
      <c r="X26" s="70">
        <v>72.23</v>
      </c>
      <c r="Y26" s="71">
        <v>71.680000000000007</v>
      </c>
      <c r="Z26" s="72">
        <v>107056</v>
      </c>
      <c r="AA26" s="47">
        <v>423241</v>
      </c>
      <c r="AB26" s="47">
        <v>184580</v>
      </c>
      <c r="AC26" s="47">
        <v>729726</v>
      </c>
      <c r="AD26" s="70">
        <v>58</v>
      </c>
      <c r="AE26" s="71">
        <v>58</v>
      </c>
      <c r="AF26" s="72" t="e">
        <f>HLOOKUP($A26,#REF!,33,)</f>
        <v>#REF!</v>
      </c>
      <c r="AG26" s="47" t="e">
        <f t="shared" si="1"/>
        <v>#REF!</v>
      </c>
      <c r="AH26" s="47" t="e">
        <f>HLOOKUP($A26,#REF!,33,)</f>
        <v>#REF!</v>
      </c>
      <c r="AI26" s="47" t="e">
        <f t="shared" si="2"/>
        <v>#REF!</v>
      </c>
      <c r="AJ26" s="70">
        <f t="shared" ref="AJ26:AK26" si="5">IFERROR(AF26/AH26*100,0)</f>
        <v>0</v>
      </c>
      <c r="AK26" s="71">
        <f t="shared" si="5"/>
        <v>0</v>
      </c>
      <c r="AL26" s="48"/>
      <c r="AM26" s="88"/>
      <c r="AN26" s="10"/>
      <c r="AO26" s="46"/>
      <c r="AP26" s="76" t="s">
        <v>65</v>
      </c>
      <c r="AQ26" s="10" t="s">
        <v>65</v>
      </c>
      <c r="AR26" s="46"/>
      <c r="AS26" s="46"/>
      <c r="AT26" s="50"/>
      <c r="AU26" s="89"/>
      <c r="AV26" s="89"/>
      <c r="AW26" s="50"/>
      <c r="AX26" s="50"/>
      <c r="AY26" s="50"/>
      <c r="AZ26" s="50"/>
      <c r="BA26" s="50"/>
      <c r="BB26" s="88">
        <v>87.13</v>
      </c>
      <c r="BC26" s="88">
        <v>87.13</v>
      </c>
      <c r="BD26" s="90">
        <v>0.45</v>
      </c>
      <c r="BE26" s="90">
        <v>0.44</v>
      </c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</row>
    <row r="27" spans="1:91" ht="14.25" customHeight="1" x14ac:dyDescent="0.35">
      <c r="A27" s="67" t="s">
        <v>8</v>
      </c>
      <c r="B27" s="68">
        <v>130337</v>
      </c>
      <c r="C27" s="47">
        <v>553578</v>
      </c>
      <c r="D27" s="69">
        <v>224719</v>
      </c>
      <c r="E27" s="47">
        <v>954444</v>
      </c>
      <c r="F27" s="70">
        <v>58</v>
      </c>
      <c r="G27" s="71">
        <v>58</v>
      </c>
      <c r="H27" s="72">
        <v>0</v>
      </c>
      <c r="I27" s="47">
        <v>0</v>
      </c>
      <c r="J27" s="69">
        <v>0</v>
      </c>
      <c r="K27" s="47">
        <v>0</v>
      </c>
      <c r="L27" s="70">
        <v>0</v>
      </c>
      <c r="M27" s="71">
        <v>0</v>
      </c>
      <c r="N27" s="72">
        <v>148847</v>
      </c>
      <c r="O27" s="47">
        <v>625144</v>
      </c>
      <c r="P27" s="47">
        <v>249299</v>
      </c>
      <c r="Q27" s="47">
        <v>1049646</v>
      </c>
      <c r="R27" s="70">
        <v>59.71</v>
      </c>
      <c r="S27" s="71">
        <v>59.56</v>
      </c>
      <c r="T27" s="72">
        <v>328599</v>
      </c>
      <c r="U27" s="47">
        <v>1301582</v>
      </c>
      <c r="V27" s="47">
        <v>450748</v>
      </c>
      <c r="W27" s="47">
        <v>1808224</v>
      </c>
      <c r="X27" s="70">
        <v>72.900000000000006</v>
      </c>
      <c r="Y27" s="71">
        <v>71.98</v>
      </c>
      <c r="Z27" s="72">
        <v>130337</v>
      </c>
      <c r="AA27" s="47">
        <v>553578</v>
      </c>
      <c r="AB27" s="47">
        <v>224719</v>
      </c>
      <c r="AC27" s="47">
        <v>954444</v>
      </c>
      <c r="AD27" s="70">
        <v>58</v>
      </c>
      <c r="AE27" s="71">
        <v>58</v>
      </c>
      <c r="AF27" s="72">
        <f>'hanya untuk update angka foreca'!AF27</f>
        <v>0</v>
      </c>
      <c r="AG27" s="47" t="e">
        <f t="shared" si="1"/>
        <v>#REF!</v>
      </c>
      <c r="AH27" s="47">
        <f>'hanya untuk update angka foreca'!AH27</f>
        <v>0</v>
      </c>
      <c r="AI27" s="47" t="e">
        <f t="shared" si="2"/>
        <v>#REF!</v>
      </c>
      <c r="AJ27" s="70">
        <f t="shared" ref="AJ27:AK27" si="6">IFERROR(AF27/AH27*100,0)</f>
        <v>0</v>
      </c>
      <c r="AK27" s="71">
        <f t="shared" si="6"/>
        <v>0</v>
      </c>
      <c r="AL27" s="48"/>
      <c r="AM27" s="88"/>
      <c r="AN27" s="10"/>
      <c r="AO27" s="46"/>
      <c r="AP27" s="76" t="s">
        <v>65</v>
      </c>
      <c r="AQ27" s="10" t="s">
        <v>65</v>
      </c>
      <c r="AR27" s="46"/>
      <c r="AS27" s="46"/>
      <c r="AT27" s="50"/>
      <c r="AU27" s="89"/>
      <c r="AV27" s="89"/>
      <c r="AW27" s="50"/>
      <c r="AX27" s="50"/>
      <c r="AY27" s="50"/>
      <c r="AZ27" s="50"/>
      <c r="BA27" s="50"/>
      <c r="BB27" s="88">
        <v>87.14</v>
      </c>
      <c r="BC27" s="88">
        <v>87.13</v>
      </c>
      <c r="BD27" s="90">
        <v>0.57999999999999996</v>
      </c>
      <c r="BE27" s="90">
        <v>0.48</v>
      </c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</row>
    <row r="28" spans="1:91" ht="14.25" customHeight="1" x14ac:dyDescent="0.35">
      <c r="A28" s="67" t="s">
        <v>9</v>
      </c>
      <c r="B28" s="68">
        <v>143114</v>
      </c>
      <c r="C28" s="47">
        <v>696692</v>
      </c>
      <c r="D28" s="69">
        <v>246748</v>
      </c>
      <c r="E28" s="47">
        <v>1201193</v>
      </c>
      <c r="F28" s="70">
        <v>58</v>
      </c>
      <c r="G28" s="71">
        <v>58</v>
      </c>
      <c r="H28" s="72">
        <v>0</v>
      </c>
      <c r="I28" s="47">
        <v>0</v>
      </c>
      <c r="J28" s="69">
        <v>0</v>
      </c>
      <c r="K28" s="47">
        <v>0</v>
      </c>
      <c r="L28" s="70">
        <v>0</v>
      </c>
      <c r="M28" s="71">
        <v>0</v>
      </c>
      <c r="N28" s="72">
        <v>160910</v>
      </c>
      <c r="O28" s="47">
        <v>786055</v>
      </c>
      <c r="P28" s="47">
        <v>270365</v>
      </c>
      <c r="Q28" s="47">
        <v>1320011</v>
      </c>
      <c r="R28" s="70">
        <v>59.52</v>
      </c>
      <c r="S28" s="71">
        <v>59.55</v>
      </c>
      <c r="T28" s="72">
        <v>335399</v>
      </c>
      <c r="U28" s="47">
        <v>1636982</v>
      </c>
      <c r="V28" s="47">
        <v>465950</v>
      </c>
      <c r="W28" s="47">
        <v>2274173</v>
      </c>
      <c r="X28" s="70">
        <v>71.98</v>
      </c>
      <c r="Y28" s="71">
        <v>71.98</v>
      </c>
      <c r="Z28" s="72">
        <v>143114</v>
      </c>
      <c r="AA28" s="47">
        <v>696692</v>
      </c>
      <c r="AB28" s="47">
        <v>246748</v>
      </c>
      <c r="AC28" s="47">
        <v>1201193</v>
      </c>
      <c r="AD28" s="70">
        <v>58</v>
      </c>
      <c r="AE28" s="71">
        <v>58</v>
      </c>
      <c r="AF28" s="72">
        <f>'hanya untuk update angka foreca'!AF28</f>
        <v>0</v>
      </c>
      <c r="AG28" s="47" t="e">
        <f t="shared" si="1"/>
        <v>#REF!</v>
      </c>
      <c r="AH28" s="47">
        <f>'hanya untuk update angka foreca'!AH28</f>
        <v>0</v>
      </c>
      <c r="AI28" s="47" t="e">
        <f t="shared" si="2"/>
        <v>#REF!</v>
      </c>
      <c r="AJ28" s="70">
        <f t="shared" ref="AJ28:AK28" si="7">IFERROR(AF28/AH28*100,0)</f>
        <v>0</v>
      </c>
      <c r="AK28" s="71">
        <f t="shared" si="7"/>
        <v>0</v>
      </c>
      <c r="AL28" s="48"/>
      <c r="AM28" s="88"/>
      <c r="AN28" s="10"/>
      <c r="AO28" s="46"/>
      <c r="AP28" s="76" t="s">
        <v>65</v>
      </c>
      <c r="AQ28" s="10" t="s">
        <v>65</v>
      </c>
      <c r="AR28" s="46"/>
      <c r="AS28" s="46"/>
      <c r="AT28" s="50"/>
      <c r="AU28" s="89"/>
      <c r="AV28" s="89"/>
      <c r="AW28" s="50"/>
      <c r="AX28" s="50"/>
      <c r="AY28" s="50"/>
      <c r="AZ28" s="50"/>
      <c r="BA28" s="50"/>
      <c r="BB28" s="88">
        <v>87.13</v>
      </c>
      <c r="BC28" s="88">
        <v>87.13</v>
      </c>
      <c r="BD28" s="90">
        <v>0.59</v>
      </c>
      <c r="BE28" s="90">
        <v>0.5</v>
      </c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</row>
    <row r="29" spans="1:91" ht="14.25" customHeight="1" x14ac:dyDescent="0.35">
      <c r="A29" s="67" t="s">
        <v>10</v>
      </c>
      <c r="B29" s="68">
        <v>149333</v>
      </c>
      <c r="C29" s="47">
        <v>846025</v>
      </c>
      <c r="D29" s="69">
        <v>257471</v>
      </c>
      <c r="E29" s="47">
        <v>1458664</v>
      </c>
      <c r="F29" s="70">
        <v>58</v>
      </c>
      <c r="G29" s="71">
        <v>58</v>
      </c>
      <c r="H29" s="72">
        <v>0</v>
      </c>
      <c r="I29" s="47">
        <v>0</v>
      </c>
      <c r="J29" s="69">
        <v>0</v>
      </c>
      <c r="K29" s="47">
        <v>0</v>
      </c>
      <c r="L29" s="70">
        <v>0</v>
      </c>
      <c r="M29" s="71">
        <v>0</v>
      </c>
      <c r="N29" s="72">
        <v>168163</v>
      </c>
      <c r="O29" s="47">
        <v>954218</v>
      </c>
      <c r="P29" s="47">
        <v>282511</v>
      </c>
      <c r="Q29" s="47">
        <v>1602522</v>
      </c>
      <c r="R29" s="70">
        <v>59.52</v>
      </c>
      <c r="S29" s="71">
        <v>59.54</v>
      </c>
      <c r="T29" s="72">
        <v>347143</v>
      </c>
      <c r="U29" s="47">
        <v>1984125</v>
      </c>
      <c r="V29" s="47">
        <v>483090</v>
      </c>
      <c r="W29" s="47">
        <v>2757263</v>
      </c>
      <c r="X29" s="70">
        <v>71.86</v>
      </c>
      <c r="Y29" s="71">
        <v>71.959999999999994</v>
      </c>
      <c r="Z29" s="72">
        <v>149333</v>
      </c>
      <c r="AA29" s="47">
        <v>846025</v>
      </c>
      <c r="AB29" s="47">
        <v>257471</v>
      </c>
      <c r="AC29" s="47">
        <v>1458664</v>
      </c>
      <c r="AD29" s="70">
        <v>58</v>
      </c>
      <c r="AE29" s="71">
        <v>58</v>
      </c>
      <c r="AF29" s="72">
        <f>'hanya untuk update angka foreca'!AF29</f>
        <v>0</v>
      </c>
      <c r="AG29" s="47" t="e">
        <f t="shared" si="1"/>
        <v>#REF!</v>
      </c>
      <c r="AH29" s="47">
        <f>'hanya untuk update angka foreca'!AH29</f>
        <v>0</v>
      </c>
      <c r="AI29" s="47" t="e">
        <f t="shared" si="2"/>
        <v>#REF!</v>
      </c>
      <c r="AJ29" s="70">
        <f t="shared" ref="AJ29:AK29" si="8">IFERROR(AF29/AH29*100,0)</f>
        <v>0</v>
      </c>
      <c r="AK29" s="71">
        <f t="shared" si="8"/>
        <v>0</v>
      </c>
      <c r="AL29" s="48"/>
      <c r="AM29" s="88"/>
      <c r="AN29" s="10"/>
      <c r="AO29" s="46"/>
      <c r="AP29" s="76" t="s">
        <v>65</v>
      </c>
      <c r="AQ29" s="10" t="s">
        <v>65</v>
      </c>
      <c r="AR29" s="46"/>
      <c r="AS29" s="46"/>
      <c r="AT29" s="50"/>
      <c r="AU29" s="89"/>
      <c r="AV29" s="89"/>
      <c r="AW29" s="50"/>
      <c r="AX29" s="50"/>
      <c r="AY29" s="50"/>
      <c r="AZ29" s="50"/>
      <c r="BA29" s="50"/>
      <c r="BB29" s="88">
        <v>87.12</v>
      </c>
      <c r="BC29" s="88">
        <v>87.13</v>
      </c>
      <c r="BD29" s="90">
        <v>0.55000000000000004</v>
      </c>
      <c r="BE29" s="90">
        <v>0.51</v>
      </c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</row>
    <row r="30" spans="1:91" ht="14.25" customHeight="1" x14ac:dyDescent="0.35">
      <c r="A30" s="67" t="s">
        <v>11</v>
      </c>
      <c r="B30" s="68">
        <v>149093</v>
      </c>
      <c r="C30" s="47">
        <v>995118</v>
      </c>
      <c r="D30" s="69">
        <v>257057</v>
      </c>
      <c r="E30" s="47">
        <v>1715720</v>
      </c>
      <c r="F30" s="70">
        <v>58</v>
      </c>
      <c r="G30" s="71">
        <v>58</v>
      </c>
      <c r="H30" s="72">
        <v>0</v>
      </c>
      <c r="I30" s="47">
        <v>0</v>
      </c>
      <c r="J30" s="69">
        <v>0</v>
      </c>
      <c r="K30" s="47">
        <v>0</v>
      </c>
      <c r="L30" s="70">
        <v>0</v>
      </c>
      <c r="M30" s="71">
        <v>0</v>
      </c>
      <c r="N30" s="72">
        <v>167601</v>
      </c>
      <c r="O30" s="47">
        <v>1121818</v>
      </c>
      <c r="P30" s="47">
        <v>281634</v>
      </c>
      <c r="Q30" s="47">
        <v>1884156</v>
      </c>
      <c r="R30" s="70">
        <v>59.51</v>
      </c>
      <c r="S30" s="71">
        <v>59.54</v>
      </c>
      <c r="T30" s="72">
        <v>347359</v>
      </c>
      <c r="U30" s="47">
        <v>2331483</v>
      </c>
      <c r="V30" s="47">
        <v>483090</v>
      </c>
      <c r="W30" s="47">
        <v>3240353</v>
      </c>
      <c r="X30" s="70">
        <v>71.900000000000006</v>
      </c>
      <c r="Y30" s="71">
        <v>71.95</v>
      </c>
      <c r="Z30" s="72">
        <v>149093</v>
      </c>
      <c r="AA30" s="47">
        <v>995118</v>
      </c>
      <c r="AB30" s="47">
        <v>257057</v>
      </c>
      <c r="AC30" s="47">
        <v>1715720</v>
      </c>
      <c r="AD30" s="70">
        <v>58</v>
      </c>
      <c r="AE30" s="71">
        <v>58</v>
      </c>
      <c r="AF30" s="72">
        <f>'hanya untuk update angka foreca'!AF30</f>
        <v>0</v>
      </c>
      <c r="AG30" s="47" t="e">
        <f t="shared" si="1"/>
        <v>#REF!</v>
      </c>
      <c r="AH30" s="47">
        <f>'hanya untuk update angka foreca'!AH30</f>
        <v>0</v>
      </c>
      <c r="AI30" s="47" t="e">
        <f t="shared" si="2"/>
        <v>#REF!</v>
      </c>
      <c r="AJ30" s="70">
        <f t="shared" ref="AJ30:AK30" si="9">IFERROR(AF30/AH30*100,0)</f>
        <v>0</v>
      </c>
      <c r="AK30" s="71">
        <f t="shared" si="9"/>
        <v>0</v>
      </c>
      <c r="AL30" s="48"/>
      <c r="AM30" s="88"/>
      <c r="AN30" s="10"/>
      <c r="AO30" s="46"/>
      <c r="AP30" s="76" t="s">
        <v>65</v>
      </c>
      <c r="AQ30" s="10" t="s">
        <v>65</v>
      </c>
      <c r="AR30" s="46"/>
      <c r="AS30" s="46"/>
      <c r="AT30" s="50"/>
      <c r="AU30" s="89"/>
      <c r="AV30" s="89"/>
      <c r="AW30" s="50"/>
      <c r="AX30" s="50"/>
      <c r="AY30" s="50"/>
      <c r="AZ30" s="50"/>
      <c r="BA30" s="50"/>
      <c r="BB30" s="88">
        <v>87.14</v>
      </c>
      <c r="BC30" s="88">
        <v>87.13</v>
      </c>
      <c r="BD30" s="90">
        <v>0.56999999999999995</v>
      </c>
      <c r="BE30" s="90">
        <v>0.52</v>
      </c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</row>
    <row r="31" spans="1:91" ht="14.25" customHeight="1" x14ac:dyDescent="0.35">
      <c r="A31" s="67" t="s">
        <v>12</v>
      </c>
      <c r="B31" s="68">
        <v>143367</v>
      </c>
      <c r="C31" s="47">
        <v>1138485</v>
      </c>
      <c r="D31" s="69">
        <v>247184</v>
      </c>
      <c r="E31" s="47">
        <v>1962904</v>
      </c>
      <c r="F31" s="70">
        <v>58</v>
      </c>
      <c r="G31" s="71">
        <v>58</v>
      </c>
      <c r="H31" s="72">
        <v>0</v>
      </c>
      <c r="I31" s="47">
        <v>0</v>
      </c>
      <c r="J31" s="69">
        <v>0</v>
      </c>
      <c r="K31" s="47">
        <v>0</v>
      </c>
      <c r="L31" s="70">
        <v>0</v>
      </c>
      <c r="M31" s="71">
        <v>0</v>
      </c>
      <c r="N31" s="72">
        <v>161650</v>
      </c>
      <c r="O31" s="47">
        <v>1283468</v>
      </c>
      <c r="P31" s="47">
        <v>271500</v>
      </c>
      <c r="Q31" s="47">
        <v>2155655</v>
      </c>
      <c r="R31" s="70">
        <v>59.54</v>
      </c>
      <c r="S31" s="71">
        <v>59.54</v>
      </c>
      <c r="T31" s="72">
        <v>335157</v>
      </c>
      <c r="U31" s="47">
        <v>2666640</v>
      </c>
      <c r="V31" s="47">
        <v>465950</v>
      </c>
      <c r="W31" s="47">
        <v>3706303</v>
      </c>
      <c r="X31" s="70">
        <v>71.930000000000007</v>
      </c>
      <c r="Y31" s="71">
        <v>71.95</v>
      </c>
      <c r="Z31" s="72">
        <v>143367</v>
      </c>
      <c r="AA31" s="47">
        <v>1138485</v>
      </c>
      <c r="AB31" s="47">
        <v>247184</v>
      </c>
      <c r="AC31" s="47">
        <v>1962904</v>
      </c>
      <c r="AD31" s="70">
        <v>58</v>
      </c>
      <c r="AE31" s="71">
        <v>58</v>
      </c>
      <c r="AF31" s="72">
        <f>'hanya untuk update angka foreca'!AF31</f>
        <v>0</v>
      </c>
      <c r="AG31" s="47" t="e">
        <f t="shared" si="1"/>
        <v>#REF!</v>
      </c>
      <c r="AH31" s="47">
        <f>'hanya untuk update angka foreca'!AH31</f>
        <v>0</v>
      </c>
      <c r="AI31" s="47" t="e">
        <f t="shared" si="2"/>
        <v>#REF!</v>
      </c>
      <c r="AJ31" s="70">
        <f t="shared" ref="AJ31:AK31" si="10">IFERROR(AF31/AH31*100,0)</f>
        <v>0</v>
      </c>
      <c r="AK31" s="71">
        <f t="shared" si="10"/>
        <v>0</v>
      </c>
      <c r="AL31" s="48"/>
      <c r="AM31" s="88"/>
      <c r="AN31" s="10"/>
      <c r="AO31" s="46"/>
      <c r="AP31" s="76" t="s">
        <v>65</v>
      </c>
      <c r="AQ31" s="10" t="s">
        <v>65</v>
      </c>
      <c r="AR31" s="46"/>
      <c r="AS31" s="46"/>
      <c r="AT31" s="50"/>
      <c r="AU31" s="89"/>
      <c r="AV31" s="89"/>
      <c r="AW31" s="50"/>
      <c r="AX31" s="50"/>
      <c r="AY31" s="50"/>
      <c r="AZ31" s="50"/>
      <c r="BA31" s="50"/>
      <c r="BB31" s="88">
        <v>87.13</v>
      </c>
      <c r="BC31" s="88">
        <v>87.13</v>
      </c>
      <c r="BD31" s="90">
        <v>0.54</v>
      </c>
      <c r="BE31" s="90">
        <v>0.52</v>
      </c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</row>
    <row r="32" spans="1:91" ht="14.25" customHeight="1" x14ac:dyDescent="0.35">
      <c r="A32" s="67" t="s">
        <v>13</v>
      </c>
      <c r="B32" s="68">
        <v>142198</v>
      </c>
      <c r="C32" s="47">
        <v>1280683</v>
      </c>
      <c r="D32" s="69">
        <v>245170</v>
      </c>
      <c r="E32" s="47">
        <v>2208074</v>
      </c>
      <c r="F32" s="70">
        <v>58</v>
      </c>
      <c r="G32" s="71">
        <v>58</v>
      </c>
      <c r="H32" s="72">
        <v>15852</v>
      </c>
      <c r="I32" s="47">
        <v>15852</v>
      </c>
      <c r="J32" s="69">
        <v>17397</v>
      </c>
      <c r="K32" s="47">
        <v>17397</v>
      </c>
      <c r="L32" s="70">
        <v>91.12</v>
      </c>
      <c r="M32" s="71">
        <v>91.12</v>
      </c>
      <c r="N32" s="72">
        <v>164002</v>
      </c>
      <c r="O32" s="47">
        <v>1447470</v>
      </c>
      <c r="P32" s="47">
        <v>274331</v>
      </c>
      <c r="Q32" s="47">
        <v>2429986</v>
      </c>
      <c r="R32" s="70">
        <v>59.78</v>
      </c>
      <c r="S32" s="71">
        <v>59.57</v>
      </c>
      <c r="T32" s="72">
        <v>350829</v>
      </c>
      <c r="U32" s="47">
        <v>3017470</v>
      </c>
      <c r="V32" s="47">
        <v>483090</v>
      </c>
      <c r="W32" s="47">
        <v>4189393</v>
      </c>
      <c r="X32" s="70">
        <v>72.62</v>
      </c>
      <c r="Y32" s="71">
        <v>72.03</v>
      </c>
      <c r="Z32" s="72">
        <v>158050</v>
      </c>
      <c r="AA32" s="47">
        <v>1296535</v>
      </c>
      <c r="AB32" s="47">
        <v>262567</v>
      </c>
      <c r="AC32" s="47">
        <v>2225471</v>
      </c>
      <c r="AD32" s="70">
        <v>60.19</v>
      </c>
      <c r="AE32" s="71">
        <v>58.26</v>
      </c>
      <c r="AF32" s="72">
        <f>'hanya untuk update angka foreca'!AF32</f>
        <v>0</v>
      </c>
      <c r="AG32" s="47" t="e">
        <f t="shared" si="1"/>
        <v>#REF!</v>
      </c>
      <c r="AH32" s="47">
        <f>'hanya untuk update angka foreca'!AH32</f>
        <v>0</v>
      </c>
      <c r="AI32" s="47" t="e">
        <f t="shared" si="2"/>
        <v>#REF!</v>
      </c>
      <c r="AJ32" s="70">
        <f t="shared" ref="AJ32:AK32" si="11">IFERROR(AF32/AH32*100,0)</f>
        <v>0</v>
      </c>
      <c r="AK32" s="71">
        <f t="shared" si="11"/>
        <v>0</v>
      </c>
      <c r="AL32" s="48"/>
      <c r="AM32" s="88"/>
      <c r="AN32" s="10"/>
      <c r="AO32" s="46"/>
      <c r="AP32" s="76">
        <v>-0.03</v>
      </c>
      <c r="AQ32" s="10">
        <v>-0.02</v>
      </c>
      <c r="AR32" s="46"/>
      <c r="AS32" s="46"/>
      <c r="AT32" s="50"/>
      <c r="AU32" s="89"/>
      <c r="AV32" s="89"/>
      <c r="AW32" s="50"/>
      <c r="AX32" s="50"/>
      <c r="AY32" s="50"/>
      <c r="AZ32" s="50"/>
      <c r="BA32" s="50"/>
      <c r="BB32" s="88">
        <v>87.05</v>
      </c>
      <c r="BC32" s="88">
        <v>87.12</v>
      </c>
      <c r="BD32" s="90">
        <v>0.36</v>
      </c>
      <c r="BE32" s="90">
        <v>0.5</v>
      </c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</row>
    <row r="33" spans="1:91" ht="14.25" customHeight="1" x14ac:dyDescent="0.35">
      <c r="A33" s="67" t="s">
        <v>14</v>
      </c>
      <c r="B33" s="68">
        <v>136539</v>
      </c>
      <c r="C33" s="47">
        <v>1417222</v>
      </c>
      <c r="D33" s="69">
        <v>235412</v>
      </c>
      <c r="E33" s="47">
        <v>2443486</v>
      </c>
      <c r="F33" s="70">
        <v>58</v>
      </c>
      <c r="G33" s="71">
        <v>58</v>
      </c>
      <c r="H33" s="72">
        <v>15488</v>
      </c>
      <c r="I33" s="47">
        <v>31340</v>
      </c>
      <c r="J33" s="69">
        <v>16998</v>
      </c>
      <c r="K33" s="47">
        <v>34395</v>
      </c>
      <c r="L33" s="70">
        <v>91.12</v>
      </c>
      <c r="M33" s="71">
        <v>91.12</v>
      </c>
      <c r="N33" s="72">
        <v>157859</v>
      </c>
      <c r="O33" s="47">
        <v>1605329</v>
      </c>
      <c r="P33" s="47">
        <v>263969</v>
      </c>
      <c r="Q33" s="47">
        <v>2693956</v>
      </c>
      <c r="R33" s="70">
        <v>59.8</v>
      </c>
      <c r="S33" s="71">
        <v>59.59</v>
      </c>
      <c r="T33" s="72">
        <v>338668</v>
      </c>
      <c r="U33" s="47">
        <v>3356138</v>
      </c>
      <c r="V33" s="47">
        <v>465950</v>
      </c>
      <c r="W33" s="47">
        <v>4655343</v>
      </c>
      <c r="X33" s="70">
        <v>72.680000000000007</v>
      </c>
      <c r="Y33" s="71">
        <v>72.09</v>
      </c>
      <c r="Z33" s="72">
        <v>152027</v>
      </c>
      <c r="AA33" s="47">
        <v>1448562</v>
      </c>
      <c r="AB33" s="47">
        <v>252410</v>
      </c>
      <c r="AC33" s="47">
        <v>2477881</v>
      </c>
      <c r="AD33" s="70">
        <v>60.23</v>
      </c>
      <c r="AE33" s="71">
        <v>58.46</v>
      </c>
      <c r="AF33" s="72">
        <f>'hanya untuk update angka foreca'!AF33</f>
        <v>0</v>
      </c>
      <c r="AG33" s="47" t="e">
        <f t="shared" si="1"/>
        <v>#REF!</v>
      </c>
      <c r="AH33" s="47">
        <f>'hanya untuk update angka foreca'!AH33</f>
        <v>0</v>
      </c>
      <c r="AI33" s="47" t="e">
        <f t="shared" si="2"/>
        <v>#REF!</v>
      </c>
      <c r="AJ33" s="70">
        <f t="shared" ref="AJ33:AK33" si="12">IFERROR(AF33/AH33*100,0)</f>
        <v>0</v>
      </c>
      <c r="AK33" s="71">
        <f t="shared" si="12"/>
        <v>0</v>
      </c>
      <c r="AL33" s="48"/>
      <c r="AM33" s="88"/>
      <c r="AN33" s="10"/>
      <c r="AO33" s="46"/>
      <c r="AP33" s="76">
        <v>-7.0000000000000007E-2</v>
      </c>
      <c r="AQ33" s="10">
        <v>-0.03</v>
      </c>
      <c r="AR33" s="46"/>
      <c r="AS33" s="46"/>
      <c r="AT33" s="50"/>
      <c r="AU33" s="89"/>
      <c r="AV33" s="89"/>
      <c r="AW33" s="50"/>
      <c r="AX33" s="50"/>
      <c r="AY33" s="50"/>
      <c r="AZ33" s="50"/>
      <c r="BA33" s="50"/>
      <c r="BB33" s="88">
        <v>87.06</v>
      </c>
      <c r="BC33" s="88">
        <v>87.12</v>
      </c>
      <c r="BD33" s="90">
        <v>0.34</v>
      </c>
      <c r="BE33" s="90">
        <v>0.49</v>
      </c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</row>
    <row r="34" spans="1:91" ht="14.25" customHeight="1" x14ac:dyDescent="0.35">
      <c r="A34" s="67" t="s">
        <v>15</v>
      </c>
      <c r="B34" s="77">
        <v>138688</v>
      </c>
      <c r="C34" s="78">
        <v>1555910</v>
      </c>
      <c r="D34" s="79">
        <v>239117</v>
      </c>
      <c r="E34" s="78">
        <v>2682603</v>
      </c>
      <c r="F34" s="80">
        <v>58</v>
      </c>
      <c r="G34" s="81">
        <v>58</v>
      </c>
      <c r="H34" s="82">
        <v>14609</v>
      </c>
      <c r="I34" s="78">
        <v>45949</v>
      </c>
      <c r="J34" s="79">
        <v>16033</v>
      </c>
      <c r="K34" s="78">
        <v>50428</v>
      </c>
      <c r="L34" s="80">
        <v>91.12</v>
      </c>
      <c r="M34" s="81">
        <v>91.12</v>
      </c>
      <c r="N34" s="82">
        <v>159752</v>
      </c>
      <c r="O34" s="78">
        <v>1765081</v>
      </c>
      <c r="P34" s="78">
        <v>267198</v>
      </c>
      <c r="Q34" s="78">
        <v>2961154</v>
      </c>
      <c r="R34" s="80">
        <v>59.79</v>
      </c>
      <c r="S34" s="81">
        <v>59.61</v>
      </c>
      <c r="T34" s="72">
        <v>352790</v>
      </c>
      <c r="U34" s="78">
        <v>3708929</v>
      </c>
      <c r="V34" s="78">
        <v>483090</v>
      </c>
      <c r="W34" s="78">
        <v>5138433</v>
      </c>
      <c r="X34" s="80">
        <v>73.03</v>
      </c>
      <c r="Y34" s="81">
        <v>72.180000000000007</v>
      </c>
      <c r="Z34" s="72">
        <v>153297</v>
      </c>
      <c r="AA34" s="78">
        <v>1601859</v>
      </c>
      <c r="AB34" s="78">
        <v>255150</v>
      </c>
      <c r="AC34" s="78">
        <v>2733031</v>
      </c>
      <c r="AD34" s="80">
        <v>60.08</v>
      </c>
      <c r="AE34" s="81">
        <v>58.61</v>
      </c>
      <c r="AF34" s="72">
        <f>'hanya untuk update angka foreca'!AF34</f>
        <v>0</v>
      </c>
      <c r="AG34" s="78" t="e">
        <f t="shared" si="1"/>
        <v>#REF!</v>
      </c>
      <c r="AH34" s="78">
        <f>'hanya untuk update angka foreca'!AH34</f>
        <v>0</v>
      </c>
      <c r="AI34" s="78" t="e">
        <f t="shared" si="2"/>
        <v>#REF!</v>
      </c>
      <c r="AJ34" s="80">
        <f t="shared" ref="AJ34:AK34" si="13">IFERROR(AF34/AH34*100,0)</f>
        <v>0</v>
      </c>
      <c r="AK34" s="81">
        <f t="shared" si="13"/>
        <v>0</v>
      </c>
      <c r="AL34" s="48"/>
      <c r="AM34" s="88"/>
      <c r="AN34" s="10"/>
      <c r="AO34" s="46"/>
      <c r="AP34" s="76">
        <v>-0.15</v>
      </c>
      <c r="AQ34" s="10">
        <v>-0.04</v>
      </c>
      <c r="AR34" s="46"/>
      <c r="AS34" s="46"/>
      <c r="AT34" s="50"/>
      <c r="AU34" s="89"/>
      <c r="AV34" s="89"/>
      <c r="AW34" s="50"/>
      <c r="AX34" s="50"/>
      <c r="AY34" s="50"/>
      <c r="AZ34" s="50"/>
      <c r="BA34" s="50"/>
      <c r="BB34" s="88">
        <v>87.1</v>
      </c>
      <c r="BC34" s="88">
        <v>87.12</v>
      </c>
      <c r="BD34" s="90">
        <v>0.42</v>
      </c>
      <c r="BE34" s="90">
        <v>0.48</v>
      </c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</row>
    <row r="35" spans="1:91" ht="14.25" customHeight="1" x14ac:dyDescent="0.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10">
        <v>0</v>
      </c>
      <c r="AE35" s="10">
        <v>0</v>
      </c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</row>
    <row r="36" spans="1:91" ht="14.25" customHeight="1" x14ac:dyDescent="0.35">
      <c r="A36" s="50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</row>
    <row r="37" spans="1:91" ht="14.25" customHeight="1" x14ac:dyDescent="0.35">
      <c r="A37" s="56" t="s">
        <v>114</v>
      </c>
      <c r="B37" s="50"/>
      <c r="C37" s="50"/>
      <c r="D37" s="50"/>
      <c r="E37" s="50"/>
      <c r="F37" s="50"/>
      <c r="G37" s="50"/>
      <c r="H37" s="50"/>
      <c r="I37" s="10" t="s">
        <v>101</v>
      </c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</row>
    <row r="38" spans="1:91" ht="14.25" customHeight="1" x14ac:dyDescent="0.35">
      <c r="A38" s="57" t="s">
        <v>102</v>
      </c>
      <c r="B38" s="58" t="s">
        <v>2</v>
      </c>
      <c r="C38" s="59"/>
      <c r="D38" s="58" t="s">
        <v>3</v>
      </c>
      <c r="E38" s="59"/>
      <c r="F38" s="58" t="s">
        <v>103</v>
      </c>
      <c r="G38" s="60"/>
      <c r="H38" s="50"/>
      <c r="I38" s="10">
        <v>100</v>
      </c>
      <c r="J38" s="50"/>
      <c r="K38" s="50"/>
      <c r="L38" s="10" t="s">
        <v>104</v>
      </c>
      <c r="M38" s="50"/>
      <c r="N38" s="50"/>
      <c r="O38" s="10" t="s">
        <v>105</v>
      </c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</row>
    <row r="39" spans="1:91" ht="14.25" customHeight="1" x14ac:dyDescent="0.35">
      <c r="A39" s="87" t="s">
        <v>102</v>
      </c>
      <c r="B39" s="63" t="s">
        <v>106</v>
      </c>
      <c r="C39" s="63" t="s">
        <v>107</v>
      </c>
      <c r="D39" s="63" t="s">
        <v>106</v>
      </c>
      <c r="E39" s="63" t="s">
        <v>107</v>
      </c>
      <c r="F39" s="63" t="s">
        <v>106</v>
      </c>
      <c r="G39" s="64" t="s">
        <v>107</v>
      </c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</row>
    <row r="40" spans="1:91" ht="14.25" customHeight="1" x14ac:dyDescent="0.35">
      <c r="A40" s="67" t="s">
        <v>4</v>
      </c>
      <c r="B40" s="68">
        <v>90096</v>
      </c>
      <c r="C40" s="47">
        <v>90096</v>
      </c>
      <c r="D40" s="69">
        <v>155339</v>
      </c>
      <c r="E40" s="47">
        <v>155339</v>
      </c>
      <c r="F40" s="70">
        <v>58</v>
      </c>
      <c r="G40" s="71">
        <v>58</v>
      </c>
      <c r="H40" s="50"/>
      <c r="I40" s="50"/>
      <c r="J40" s="50"/>
      <c r="K40" s="50"/>
      <c r="L40" s="76">
        <v>90096</v>
      </c>
      <c r="M40" s="76" t="s">
        <v>65</v>
      </c>
      <c r="N40" s="50"/>
      <c r="O40" s="76">
        <v>155339</v>
      </c>
      <c r="P40" s="76" t="s">
        <v>65</v>
      </c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</row>
    <row r="41" spans="1:91" ht="14.25" customHeight="1" x14ac:dyDescent="0.35">
      <c r="A41" s="67" t="s">
        <v>5</v>
      </c>
      <c r="B41" s="68">
        <v>89106</v>
      </c>
      <c r="C41" s="47">
        <v>179202</v>
      </c>
      <c r="D41" s="69">
        <v>153631</v>
      </c>
      <c r="E41" s="47">
        <v>308969</v>
      </c>
      <c r="F41" s="70">
        <v>58</v>
      </c>
      <c r="G41" s="71">
        <v>58</v>
      </c>
      <c r="H41" s="50"/>
      <c r="I41" s="50"/>
      <c r="J41" s="50"/>
      <c r="K41" s="50"/>
      <c r="L41" s="76">
        <v>89106</v>
      </c>
      <c r="M41" s="76" t="s">
        <v>65</v>
      </c>
      <c r="N41" s="50"/>
      <c r="O41" s="76">
        <v>153631</v>
      </c>
      <c r="P41" s="76" t="s">
        <v>65</v>
      </c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</row>
    <row r="42" spans="1:91" ht="14.25" customHeight="1" x14ac:dyDescent="0.35">
      <c r="A42" s="67" t="s">
        <v>6</v>
      </c>
      <c r="B42" s="68">
        <v>59450</v>
      </c>
      <c r="C42" s="47">
        <v>238652</v>
      </c>
      <c r="D42" s="69">
        <v>102500</v>
      </c>
      <c r="E42" s="47">
        <v>411469</v>
      </c>
      <c r="F42" s="70">
        <v>58</v>
      </c>
      <c r="G42" s="71">
        <v>58</v>
      </c>
      <c r="H42" s="50"/>
      <c r="I42" s="50"/>
      <c r="J42" s="50"/>
      <c r="K42" s="50"/>
      <c r="L42" s="76">
        <v>59450</v>
      </c>
      <c r="M42" s="76" t="s">
        <v>65</v>
      </c>
      <c r="N42" s="50"/>
      <c r="O42" s="76">
        <v>102500</v>
      </c>
      <c r="P42" s="76" t="s">
        <v>65</v>
      </c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</row>
    <row r="43" spans="1:91" ht="14.25" customHeight="1" x14ac:dyDescent="0.35">
      <c r="A43" s="67" t="s">
        <v>7</v>
      </c>
      <c r="B43" s="68">
        <v>90007</v>
      </c>
      <c r="C43" s="47">
        <v>328659</v>
      </c>
      <c r="D43" s="69">
        <v>155184</v>
      </c>
      <c r="E43" s="47">
        <v>566653</v>
      </c>
      <c r="F43" s="70">
        <v>58</v>
      </c>
      <c r="G43" s="71">
        <v>58</v>
      </c>
      <c r="H43" s="50"/>
      <c r="I43" s="50"/>
      <c r="J43" s="50"/>
      <c r="K43" s="50"/>
      <c r="L43" s="76">
        <v>90007</v>
      </c>
      <c r="M43" s="76" t="s">
        <v>65</v>
      </c>
      <c r="N43" s="50"/>
      <c r="O43" s="76">
        <v>155184</v>
      </c>
      <c r="P43" s="76" t="s">
        <v>65</v>
      </c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</row>
    <row r="44" spans="1:91" ht="14.25" customHeight="1" x14ac:dyDescent="0.35">
      <c r="A44" s="67" t="s">
        <v>8</v>
      </c>
      <c r="B44" s="68">
        <v>130790</v>
      </c>
      <c r="C44" s="47">
        <v>459449</v>
      </c>
      <c r="D44" s="69">
        <v>225499</v>
      </c>
      <c r="E44" s="47">
        <v>792153</v>
      </c>
      <c r="F44" s="70">
        <v>58</v>
      </c>
      <c r="G44" s="71">
        <v>58</v>
      </c>
      <c r="H44" s="50"/>
      <c r="I44" s="50"/>
      <c r="J44" s="50"/>
      <c r="K44" s="50"/>
      <c r="L44" s="76">
        <v>130790</v>
      </c>
      <c r="M44" s="76" t="s">
        <v>65</v>
      </c>
      <c r="N44" s="50"/>
      <c r="O44" s="76">
        <v>225499</v>
      </c>
      <c r="P44" s="76" t="s">
        <v>65</v>
      </c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</row>
    <row r="45" spans="1:91" ht="14.25" customHeight="1" x14ac:dyDescent="0.35">
      <c r="A45" s="67" t="s">
        <v>9</v>
      </c>
      <c r="B45" s="68">
        <v>120098</v>
      </c>
      <c r="C45" s="47">
        <v>579547</v>
      </c>
      <c r="D45" s="69">
        <v>207066</v>
      </c>
      <c r="E45" s="47">
        <v>999219</v>
      </c>
      <c r="F45" s="70">
        <v>58</v>
      </c>
      <c r="G45" s="71">
        <v>58</v>
      </c>
      <c r="H45" s="50"/>
      <c r="I45" s="50"/>
      <c r="J45" s="50"/>
      <c r="K45" s="50"/>
      <c r="L45" s="76">
        <v>120098</v>
      </c>
      <c r="M45" s="76" t="s">
        <v>65</v>
      </c>
      <c r="N45" s="50"/>
      <c r="O45" s="76">
        <v>207066</v>
      </c>
      <c r="P45" s="76" t="s">
        <v>65</v>
      </c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</row>
    <row r="46" spans="1:91" ht="14.25" customHeight="1" x14ac:dyDescent="0.35">
      <c r="A46" s="67" t="s">
        <v>10</v>
      </c>
      <c r="B46" s="68">
        <v>130990</v>
      </c>
      <c r="C46" s="47">
        <v>710537</v>
      </c>
      <c r="D46" s="69">
        <v>225845</v>
      </c>
      <c r="E46" s="47">
        <v>1225063</v>
      </c>
      <c r="F46" s="70">
        <v>58</v>
      </c>
      <c r="G46" s="71">
        <v>58</v>
      </c>
      <c r="H46" s="50"/>
      <c r="I46" s="50"/>
      <c r="J46" s="50"/>
      <c r="K46" s="50"/>
      <c r="L46" s="76">
        <v>130990</v>
      </c>
      <c r="M46" s="76" t="s">
        <v>65</v>
      </c>
      <c r="N46" s="50"/>
      <c r="O46" s="76">
        <v>225845</v>
      </c>
      <c r="P46" s="76" t="s">
        <v>65</v>
      </c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</row>
    <row r="47" spans="1:91" ht="14.25" customHeight="1" x14ac:dyDescent="0.35">
      <c r="A47" s="67" t="s">
        <v>11</v>
      </c>
      <c r="B47" s="68">
        <v>130199</v>
      </c>
      <c r="C47" s="47">
        <v>840735</v>
      </c>
      <c r="D47" s="69">
        <v>224480</v>
      </c>
      <c r="E47" s="47">
        <v>1449543</v>
      </c>
      <c r="F47" s="70">
        <v>58</v>
      </c>
      <c r="G47" s="71">
        <v>58</v>
      </c>
      <c r="H47" s="50"/>
      <c r="I47" s="50"/>
      <c r="J47" s="50"/>
      <c r="K47" s="50"/>
      <c r="L47" s="76">
        <v>130199</v>
      </c>
      <c r="M47" s="76" t="s">
        <v>65</v>
      </c>
      <c r="N47" s="50"/>
      <c r="O47" s="76">
        <v>224480</v>
      </c>
      <c r="P47" s="76" t="s">
        <v>65</v>
      </c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</row>
    <row r="48" spans="1:91" ht="14.25" customHeight="1" x14ac:dyDescent="0.35">
      <c r="A48" s="67" t="s">
        <v>12</v>
      </c>
      <c r="B48" s="68">
        <v>133415</v>
      </c>
      <c r="C48" s="47">
        <v>974150</v>
      </c>
      <c r="D48" s="69">
        <v>230026</v>
      </c>
      <c r="E48" s="47">
        <v>1679569</v>
      </c>
      <c r="F48" s="70">
        <v>58</v>
      </c>
      <c r="G48" s="71">
        <v>58</v>
      </c>
      <c r="H48" s="50"/>
      <c r="I48" s="50"/>
      <c r="J48" s="50"/>
      <c r="K48" s="50"/>
      <c r="L48" s="76">
        <v>133415</v>
      </c>
      <c r="M48" s="76" t="s">
        <v>65</v>
      </c>
      <c r="N48" s="50"/>
      <c r="O48" s="76">
        <v>230026</v>
      </c>
      <c r="P48" s="76" t="s">
        <v>65</v>
      </c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</row>
    <row r="49" spans="1:91" ht="14.25" customHeight="1" x14ac:dyDescent="0.35">
      <c r="A49" s="67" t="s">
        <v>13</v>
      </c>
      <c r="B49" s="68">
        <v>140666</v>
      </c>
      <c r="C49" s="47">
        <v>1114817</v>
      </c>
      <c r="D49" s="69">
        <v>242528</v>
      </c>
      <c r="E49" s="47">
        <v>1922098</v>
      </c>
      <c r="F49" s="70">
        <v>58</v>
      </c>
      <c r="G49" s="71">
        <v>58</v>
      </c>
      <c r="H49" s="50"/>
      <c r="I49" s="50"/>
      <c r="J49" s="50"/>
      <c r="K49" s="50"/>
      <c r="L49" s="76">
        <v>140666</v>
      </c>
      <c r="M49" s="76" t="s">
        <v>65</v>
      </c>
      <c r="N49" s="50"/>
      <c r="O49" s="76">
        <v>242528</v>
      </c>
      <c r="P49" s="76" t="s">
        <v>65</v>
      </c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</row>
    <row r="50" spans="1:91" ht="14.25" customHeight="1" x14ac:dyDescent="0.35">
      <c r="A50" s="67" t="s">
        <v>14</v>
      </c>
      <c r="B50" s="68">
        <v>130524</v>
      </c>
      <c r="C50" s="47">
        <v>1245341</v>
      </c>
      <c r="D50" s="69">
        <v>225041</v>
      </c>
      <c r="E50" s="47">
        <v>2147139</v>
      </c>
      <c r="F50" s="70">
        <v>58</v>
      </c>
      <c r="G50" s="71">
        <v>58</v>
      </c>
      <c r="H50" s="50"/>
      <c r="I50" s="50"/>
      <c r="J50" s="50"/>
      <c r="K50" s="50"/>
      <c r="L50" s="76">
        <v>130524</v>
      </c>
      <c r="M50" s="76" t="s">
        <v>65</v>
      </c>
      <c r="N50" s="50"/>
      <c r="O50" s="76">
        <v>225041</v>
      </c>
      <c r="P50" s="76" t="s">
        <v>65</v>
      </c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</row>
    <row r="51" spans="1:91" ht="14.25" customHeight="1" x14ac:dyDescent="0.35">
      <c r="A51" s="67" t="s">
        <v>15</v>
      </c>
      <c r="B51" s="77">
        <v>123490</v>
      </c>
      <c r="C51" s="78">
        <v>1368831</v>
      </c>
      <c r="D51" s="79">
        <v>212914</v>
      </c>
      <c r="E51" s="78">
        <v>2360053</v>
      </c>
      <c r="F51" s="80">
        <v>58</v>
      </c>
      <c r="G51" s="81">
        <v>58</v>
      </c>
      <c r="H51" s="50"/>
      <c r="I51" s="50"/>
      <c r="J51" s="50"/>
      <c r="K51" s="50"/>
      <c r="L51" s="76">
        <v>123490</v>
      </c>
      <c r="M51" s="76" t="s">
        <v>65</v>
      </c>
      <c r="N51" s="50"/>
      <c r="O51" s="76">
        <v>212914</v>
      </c>
      <c r="P51" s="76" t="s">
        <v>65</v>
      </c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</row>
    <row r="52" spans="1:91" ht="14.25" customHeight="1" x14ac:dyDescent="0.35">
      <c r="A52" s="50"/>
      <c r="B52" s="50"/>
      <c r="C52" s="50"/>
      <c r="D52" s="50"/>
      <c r="E52" s="50"/>
      <c r="F52" s="91">
        <v>0</v>
      </c>
      <c r="G52" s="91">
        <v>0</v>
      </c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</row>
    <row r="53" spans="1:91" ht="14.25" customHeight="1" x14ac:dyDescent="0.35">
      <c r="A53" s="50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</row>
    <row r="54" spans="1:91" ht="14.25" customHeight="1" x14ac:dyDescent="0.35">
      <c r="A54" s="56" t="s">
        <v>115</v>
      </c>
      <c r="B54" s="50"/>
      <c r="C54" s="50"/>
      <c r="D54" s="50"/>
      <c r="E54" s="50"/>
      <c r="F54" s="50"/>
      <c r="G54" s="50"/>
      <c r="H54" s="56" t="s">
        <v>116</v>
      </c>
      <c r="I54" s="50"/>
      <c r="J54" s="50"/>
      <c r="K54" s="50"/>
      <c r="L54" s="50"/>
      <c r="M54" s="50"/>
      <c r="N54" s="56" t="s">
        <v>95</v>
      </c>
      <c r="O54" s="50"/>
      <c r="P54" s="50"/>
      <c r="Q54" s="50"/>
      <c r="R54" s="50"/>
      <c r="S54" s="50"/>
      <c r="T54" s="92" t="s">
        <v>155</v>
      </c>
      <c r="U54" s="50"/>
      <c r="V54" s="50"/>
      <c r="W54" s="50"/>
      <c r="X54" s="50"/>
      <c r="Y54" s="50"/>
      <c r="Z54" s="56" t="s">
        <v>118</v>
      </c>
      <c r="AA54" s="50"/>
      <c r="AB54" s="50"/>
      <c r="AC54" s="50"/>
      <c r="AD54" s="50"/>
      <c r="AE54" s="50"/>
      <c r="AF54" s="56" t="s">
        <v>119</v>
      </c>
      <c r="AG54" s="50"/>
      <c r="AH54" s="50"/>
      <c r="AI54" s="50"/>
      <c r="AJ54" s="50"/>
      <c r="AK54" s="50"/>
      <c r="AL54" s="56" t="s">
        <v>120</v>
      </c>
      <c r="AM54" s="50"/>
      <c r="AN54" s="50"/>
      <c r="AO54" s="50"/>
      <c r="AP54" s="50"/>
      <c r="AQ54" s="50"/>
      <c r="AR54" s="50"/>
      <c r="AS54" s="10" t="s">
        <v>101</v>
      </c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</row>
    <row r="55" spans="1:91" ht="14.25" customHeight="1" x14ac:dyDescent="0.35">
      <c r="A55" s="57" t="s">
        <v>102</v>
      </c>
      <c r="B55" s="58" t="s">
        <v>2</v>
      </c>
      <c r="C55" s="59"/>
      <c r="D55" s="58" t="s">
        <v>3</v>
      </c>
      <c r="E55" s="59"/>
      <c r="F55" s="58" t="s">
        <v>103</v>
      </c>
      <c r="G55" s="60"/>
      <c r="H55" s="61" t="s">
        <v>2</v>
      </c>
      <c r="I55" s="59"/>
      <c r="J55" s="58" t="s">
        <v>3</v>
      </c>
      <c r="K55" s="59"/>
      <c r="L55" s="58" t="s">
        <v>103</v>
      </c>
      <c r="M55" s="60"/>
      <c r="N55" s="61" t="s">
        <v>2</v>
      </c>
      <c r="O55" s="59"/>
      <c r="P55" s="58" t="s">
        <v>3</v>
      </c>
      <c r="Q55" s="59"/>
      <c r="R55" s="58" t="s">
        <v>103</v>
      </c>
      <c r="S55" s="60"/>
      <c r="T55" s="61" t="s">
        <v>2</v>
      </c>
      <c r="U55" s="59"/>
      <c r="V55" s="58" t="s">
        <v>3</v>
      </c>
      <c r="W55" s="59"/>
      <c r="X55" s="58" t="s">
        <v>103</v>
      </c>
      <c r="Y55" s="60"/>
      <c r="Z55" s="61" t="s">
        <v>2</v>
      </c>
      <c r="AA55" s="59"/>
      <c r="AB55" s="58" t="s">
        <v>3</v>
      </c>
      <c r="AC55" s="59"/>
      <c r="AD55" s="58" t="s">
        <v>103</v>
      </c>
      <c r="AE55" s="60"/>
      <c r="AF55" s="61" t="s">
        <v>2</v>
      </c>
      <c r="AG55" s="59"/>
      <c r="AH55" s="58" t="s">
        <v>3</v>
      </c>
      <c r="AI55" s="59"/>
      <c r="AJ55" s="58" t="s">
        <v>103</v>
      </c>
      <c r="AK55" s="60"/>
      <c r="AL55" s="61" t="s">
        <v>2</v>
      </c>
      <c r="AM55" s="59"/>
      <c r="AN55" s="58" t="s">
        <v>3</v>
      </c>
      <c r="AO55" s="59"/>
      <c r="AP55" s="58" t="s">
        <v>103</v>
      </c>
      <c r="AQ55" s="60"/>
      <c r="AR55" s="50"/>
      <c r="AS55" s="50"/>
      <c r="AT55" s="50"/>
      <c r="AU55" s="50"/>
      <c r="AV55" s="10" t="s">
        <v>104</v>
      </c>
      <c r="AW55" s="50"/>
      <c r="AX55" s="50"/>
      <c r="AY55" s="10" t="s">
        <v>105</v>
      </c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</row>
    <row r="56" spans="1:91" ht="14.25" customHeight="1" x14ac:dyDescent="0.35">
      <c r="A56" s="87" t="s">
        <v>102</v>
      </c>
      <c r="B56" s="63" t="s">
        <v>106</v>
      </c>
      <c r="C56" s="63" t="s">
        <v>107</v>
      </c>
      <c r="D56" s="63" t="s">
        <v>106</v>
      </c>
      <c r="E56" s="63" t="s">
        <v>107</v>
      </c>
      <c r="F56" s="63" t="s">
        <v>106</v>
      </c>
      <c r="G56" s="64" t="s">
        <v>107</v>
      </c>
      <c r="H56" s="65" t="s">
        <v>106</v>
      </c>
      <c r="I56" s="63" t="s">
        <v>107</v>
      </c>
      <c r="J56" s="63" t="s">
        <v>106</v>
      </c>
      <c r="K56" s="63" t="s">
        <v>107</v>
      </c>
      <c r="L56" s="63" t="s">
        <v>106</v>
      </c>
      <c r="M56" s="64" t="s">
        <v>107</v>
      </c>
      <c r="N56" s="65" t="s">
        <v>106</v>
      </c>
      <c r="O56" s="63" t="s">
        <v>107</v>
      </c>
      <c r="P56" s="63" t="s">
        <v>106</v>
      </c>
      <c r="Q56" s="63" t="s">
        <v>107</v>
      </c>
      <c r="R56" s="63" t="s">
        <v>106</v>
      </c>
      <c r="S56" s="64" t="s">
        <v>107</v>
      </c>
      <c r="T56" s="65" t="s">
        <v>106</v>
      </c>
      <c r="U56" s="63" t="s">
        <v>107</v>
      </c>
      <c r="V56" s="63" t="s">
        <v>106</v>
      </c>
      <c r="W56" s="63" t="s">
        <v>107</v>
      </c>
      <c r="X56" s="63" t="s">
        <v>106</v>
      </c>
      <c r="Y56" s="64" t="s">
        <v>107</v>
      </c>
      <c r="Z56" s="65" t="s">
        <v>106</v>
      </c>
      <c r="AA56" s="63" t="s">
        <v>107</v>
      </c>
      <c r="AB56" s="63" t="s">
        <v>106</v>
      </c>
      <c r="AC56" s="63" t="s">
        <v>107</v>
      </c>
      <c r="AD56" s="63" t="s">
        <v>106</v>
      </c>
      <c r="AE56" s="64" t="s">
        <v>107</v>
      </c>
      <c r="AF56" s="65" t="s">
        <v>106</v>
      </c>
      <c r="AG56" s="63" t="s">
        <v>107</v>
      </c>
      <c r="AH56" s="63" t="s">
        <v>106</v>
      </c>
      <c r="AI56" s="63" t="s">
        <v>107</v>
      </c>
      <c r="AJ56" s="63" t="s">
        <v>106</v>
      </c>
      <c r="AK56" s="64" t="s">
        <v>107</v>
      </c>
      <c r="AL56" s="65" t="s">
        <v>106</v>
      </c>
      <c r="AM56" s="63" t="s">
        <v>107</v>
      </c>
      <c r="AN56" s="63" t="s">
        <v>106</v>
      </c>
      <c r="AO56" s="63" t="s">
        <v>107</v>
      </c>
      <c r="AP56" s="63" t="s">
        <v>106</v>
      </c>
      <c r="AQ56" s="64" t="s">
        <v>107</v>
      </c>
      <c r="AR56" s="50"/>
      <c r="AS56" s="66" t="s">
        <v>106</v>
      </c>
      <c r="AT56" s="66" t="s">
        <v>107</v>
      </c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</row>
    <row r="57" spans="1:91" ht="14.25" customHeight="1" x14ac:dyDescent="0.35">
      <c r="A57" s="67" t="s">
        <v>4</v>
      </c>
      <c r="B57" s="93">
        <v>4945</v>
      </c>
      <c r="C57" s="47">
        <v>4945</v>
      </c>
      <c r="D57" s="69">
        <v>5232</v>
      </c>
      <c r="E57" s="47">
        <v>5232</v>
      </c>
      <c r="F57" s="70">
        <v>94.52</v>
      </c>
      <c r="G57" s="71">
        <v>94.52</v>
      </c>
      <c r="H57" s="72">
        <v>0</v>
      </c>
      <c r="I57" s="47">
        <v>0</v>
      </c>
      <c r="J57" s="69">
        <v>0</v>
      </c>
      <c r="K57" s="47">
        <v>0</v>
      </c>
      <c r="L57" s="70">
        <v>0</v>
      </c>
      <c r="M57" s="71">
        <v>0</v>
      </c>
      <c r="N57" s="72">
        <v>10467</v>
      </c>
      <c r="O57" s="47">
        <v>10467</v>
      </c>
      <c r="P57" s="69">
        <v>12037</v>
      </c>
      <c r="Q57" s="47">
        <v>12037</v>
      </c>
      <c r="R57" s="70">
        <v>86.96</v>
      </c>
      <c r="S57" s="71">
        <v>86.96</v>
      </c>
      <c r="T57" s="72">
        <v>29479</v>
      </c>
      <c r="U57" s="47">
        <v>29479</v>
      </c>
      <c r="V57" s="69">
        <v>30868</v>
      </c>
      <c r="W57" s="47">
        <v>30868</v>
      </c>
      <c r="X57" s="70">
        <v>95.5</v>
      </c>
      <c r="Y57" s="71">
        <v>95.5</v>
      </c>
      <c r="Z57" s="72">
        <v>44892</v>
      </c>
      <c r="AA57" s="47">
        <v>44892</v>
      </c>
      <c r="AB57" s="69">
        <v>48138</v>
      </c>
      <c r="AC57" s="47">
        <v>48138</v>
      </c>
      <c r="AD57" s="70">
        <v>93.26</v>
      </c>
      <c r="AE57" s="71">
        <v>93.26</v>
      </c>
      <c r="AF57" s="72">
        <v>4945</v>
      </c>
      <c r="AG57" s="47">
        <v>4945</v>
      </c>
      <c r="AH57" s="69">
        <v>5232</v>
      </c>
      <c r="AI57" s="47">
        <v>5232</v>
      </c>
      <c r="AJ57" s="70">
        <v>94.52</v>
      </c>
      <c r="AK57" s="71">
        <v>94.52</v>
      </c>
      <c r="AL57" s="72">
        <v>39947</v>
      </c>
      <c r="AM57" s="47">
        <v>39947</v>
      </c>
      <c r="AN57" s="69">
        <v>42906</v>
      </c>
      <c r="AO57" s="47">
        <v>42906</v>
      </c>
      <c r="AP57" s="70">
        <v>93.1</v>
      </c>
      <c r="AQ57" s="71">
        <v>93.1</v>
      </c>
      <c r="AR57" s="50"/>
      <c r="AS57" s="75">
        <v>10.87</v>
      </c>
      <c r="AT57" s="75">
        <v>10.87</v>
      </c>
      <c r="AU57" s="50"/>
      <c r="AV57" s="76">
        <v>44892</v>
      </c>
      <c r="AW57" s="76" t="s">
        <v>65</v>
      </c>
      <c r="AX57" s="50"/>
      <c r="AY57" s="76">
        <v>48138</v>
      </c>
      <c r="AZ57" s="76" t="s">
        <v>65</v>
      </c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</row>
    <row r="58" spans="1:91" ht="14.25" customHeight="1" x14ac:dyDescent="0.35">
      <c r="A58" s="67" t="s">
        <v>5</v>
      </c>
      <c r="B58" s="93">
        <v>4977</v>
      </c>
      <c r="C58" s="47">
        <v>9922</v>
      </c>
      <c r="D58" s="69">
        <v>5268</v>
      </c>
      <c r="E58" s="47">
        <v>10500</v>
      </c>
      <c r="F58" s="70">
        <v>94.48</v>
      </c>
      <c r="G58" s="71">
        <v>94.5</v>
      </c>
      <c r="H58" s="72">
        <v>0</v>
      </c>
      <c r="I58" s="47">
        <v>0</v>
      </c>
      <c r="J58" s="69">
        <v>0</v>
      </c>
      <c r="K58" s="47">
        <v>0</v>
      </c>
      <c r="L58" s="70">
        <v>0</v>
      </c>
      <c r="M58" s="71">
        <v>0</v>
      </c>
      <c r="N58" s="72">
        <v>10974</v>
      </c>
      <c r="O58" s="47">
        <v>21441</v>
      </c>
      <c r="P58" s="69">
        <v>12619</v>
      </c>
      <c r="Q58" s="47">
        <v>24656</v>
      </c>
      <c r="R58" s="70">
        <v>86.96</v>
      </c>
      <c r="S58" s="71">
        <v>86.96</v>
      </c>
      <c r="T58" s="72">
        <v>29519</v>
      </c>
      <c r="U58" s="47">
        <v>58999</v>
      </c>
      <c r="V58" s="69">
        <v>30910</v>
      </c>
      <c r="W58" s="47">
        <v>61779</v>
      </c>
      <c r="X58" s="70">
        <v>95.5</v>
      </c>
      <c r="Y58" s="71">
        <v>95.5</v>
      </c>
      <c r="Z58" s="72">
        <v>45470</v>
      </c>
      <c r="AA58" s="47">
        <v>90362</v>
      </c>
      <c r="AB58" s="69">
        <v>48797</v>
      </c>
      <c r="AC58" s="47">
        <v>96935</v>
      </c>
      <c r="AD58" s="70">
        <v>93.18</v>
      </c>
      <c r="AE58" s="71">
        <v>93.22</v>
      </c>
      <c r="AF58" s="72">
        <v>4977</v>
      </c>
      <c r="AG58" s="47">
        <v>9922</v>
      </c>
      <c r="AH58" s="69">
        <v>5268</v>
      </c>
      <c r="AI58" s="47">
        <v>10500</v>
      </c>
      <c r="AJ58" s="70">
        <v>94.48</v>
      </c>
      <c r="AK58" s="71">
        <v>94.5</v>
      </c>
      <c r="AL58" s="72">
        <v>40493</v>
      </c>
      <c r="AM58" s="47">
        <v>80440</v>
      </c>
      <c r="AN58" s="69">
        <v>43530</v>
      </c>
      <c r="AO58" s="47">
        <v>86435</v>
      </c>
      <c r="AP58" s="70">
        <v>93.02</v>
      </c>
      <c r="AQ58" s="71">
        <v>93.06</v>
      </c>
      <c r="AR58" s="50"/>
      <c r="AS58" s="75">
        <v>10.79</v>
      </c>
      <c r="AT58" s="75">
        <v>10.83</v>
      </c>
      <c r="AU58" s="50"/>
      <c r="AV58" s="76">
        <v>45470</v>
      </c>
      <c r="AW58" s="76" t="s">
        <v>65</v>
      </c>
      <c r="AX58" s="50"/>
      <c r="AY58" s="76">
        <v>48797</v>
      </c>
      <c r="AZ58" s="76" t="s">
        <v>65</v>
      </c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</row>
    <row r="59" spans="1:91" ht="14.25" customHeight="1" x14ac:dyDescent="0.35">
      <c r="A59" s="67" t="s">
        <v>6</v>
      </c>
      <c r="B59" s="93">
        <v>4695</v>
      </c>
      <c r="C59" s="47">
        <v>14617</v>
      </c>
      <c r="D59" s="69">
        <v>4950</v>
      </c>
      <c r="E59" s="47">
        <v>15449</v>
      </c>
      <c r="F59" s="70">
        <v>94.86</v>
      </c>
      <c r="G59" s="71">
        <v>94.61</v>
      </c>
      <c r="H59" s="72">
        <v>0</v>
      </c>
      <c r="I59" s="47">
        <v>0</v>
      </c>
      <c r="J59" s="69">
        <v>0</v>
      </c>
      <c r="K59" s="47">
        <v>0</v>
      </c>
      <c r="L59" s="70">
        <v>0</v>
      </c>
      <c r="M59" s="71">
        <v>0</v>
      </c>
      <c r="N59" s="72">
        <v>6427</v>
      </c>
      <c r="O59" s="47">
        <v>27868</v>
      </c>
      <c r="P59" s="69">
        <v>7391</v>
      </c>
      <c r="Q59" s="47">
        <v>32047</v>
      </c>
      <c r="R59" s="70">
        <v>86.96</v>
      </c>
      <c r="S59" s="71">
        <v>86.96</v>
      </c>
      <c r="T59" s="72">
        <v>29159</v>
      </c>
      <c r="U59" s="47">
        <v>88158</v>
      </c>
      <c r="V59" s="69">
        <v>30533</v>
      </c>
      <c r="W59" s="47">
        <v>92312</v>
      </c>
      <c r="X59" s="70">
        <v>95.5</v>
      </c>
      <c r="Y59" s="71">
        <v>95.5</v>
      </c>
      <c r="Z59" s="72">
        <v>40281</v>
      </c>
      <c r="AA59" s="47">
        <v>130643</v>
      </c>
      <c r="AB59" s="69">
        <v>42873</v>
      </c>
      <c r="AC59" s="47">
        <v>139808</v>
      </c>
      <c r="AD59" s="70">
        <v>93.95</v>
      </c>
      <c r="AE59" s="71">
        <v>93.44</v>
      </c>
      <c r="AF59" s="72">
        <v>4695</v>
      </c>
      <c r="AG59" s="47">
        <v>14617</v>
      </c>
      <c r="AH59" s="69">
        <v>4950</v>
      </c>
      <c r="AI59" s="47">
        <v>15449</v>
      </c>
      <c r="AJ59" s="70">
        <v>94.86</v>
      </c>
      <c r="AK59" s="71">
        <v>94.61</v>
      </c>
      <c r="AL59" s="72">
        <v>35586</v>
      </c>
      <c r="AM59" s="47">
        <v>116026</v>
      </c>
      <c r="AN59" s="69">
        <v>37924</v>
      </c>
      <c r="AO59" s="47">
        <v>124359</v>
      </c>
      <c r="AP59" s="70">
        <v>93.84</v>
      </c>
      <c r="AQ59" s="71">
        <v>93.3</v>
      </c>
      <c r="AR59" s="50"/>
      <c r="AS59" s="75">
        <v>11.54</v>
      </c>
      <c r="AT59" s="75">
        <v>11.05</v>
      </c>
      <c r="AU59" s="50"/>
      <c r="AV59" s="76">
        <v>40281</v>
      </c>
      <c r="AW59" s="76" t="s">
        <v>65</v>
      </c>
      <c r="AX59" s="50"/>
      <c r="AY59" s="76">
        <v>42873</v>
      </c>
      <c r="AZ59" s="76" t="s">
        <v>65</v>
      </c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</row>
    <row r="60" spans="1:91" ht="14.25" customHeight="1" x14ac:dyDescent="0.35">
      <c r="A60" s="67" t="s">
        <v>7</v>
      </c>
      <c r="B60" s="93">
        <v>5104</v>
      </c>
      <c r="C60" s="47">
        <v>19721</v>
      </c>
      <c r="D60" s="69">
        <v>5415</v>
      </c>
      <c r="E60" s="47">
        <v>20864</v>
      </c>
      <c r="F60" s="70">
        <v>94.26</v>
      </c>
      <c r="G60" s="71">
        <v>94.52</v>
      </c>
      <c r="H60" s="72">
        <v>0</v>
      </c>
      <c r="I60" s="47">
        <v>0</v>
      </c>
      <c r="J60" s="69">
        <v>0</v>
      </c>
      <c r="K60" s="47">
        <v>0</v>
      </c>
      <c r="L60" s="70">
        <v>0</v>
      </c>
      <c r="M60" s="71">
        <v>0</v>
      </c>
      <c r="N60" s="72">
        <v>13646</v>
      </c>
      <c r="O60" s="47">
        <v>41514</v>
      </c>
      <c r="P60" s="69">
        <v>15693</v>
      </c>
      <c r="Q60" s="47">
        <v>47740</v>
      </c>
      <c r="R60" s="70">
        <v>86.96</v>
      </c>
      <c r="S60" s="71">
        <v>86.96</v>
      </c>
      <c r="T60" s="72">
        <v>29478</v>
      </c>
      <c r="U60" s="47">
        <v>117636</v>
      </c>
      <c r="V60" s="69">
        <v>30867</v>
      </c>
      <c r="W60" s="47">
        <v>123179</v>
      </c>
      <c r="X60" s="70">
        <v>95.5</v>
      </c>
      <c r="Y60" s="71">
        <v>95.5</v>
      </c>
      <c r="Z60" s="72">
        <v>48228</v>
      </c>
      <c r="AA60" s="47">
        <v>178872</v>
      </c>
      <c r="AB60" s="69">
        <v>51974</v>
      </c>
      <c r="AC60" s="47">
        <v>191783</v>
      </c>
      <c r="AD60" s="70">
        <v>92.79</v>
      </c>
      <c r="AE60" s="71">
        <v>93.27</v>
      </c>
      <c r="AF60" s="72">
        <v>5104</v>
      </c>
      <c r="AG60" s="47">
        <v>19721</v>
      </c>
      <c r="AH60" s="69">
        <v>5415</v>
      </c>
      <c r="AI60" s="47">
        <v>20864</v>
      </c>
      <c r="AJ60" s="70">
        <v>94.26</v>
      </c>
      <c r="AK60" s="71">
        <v>94.52</v>
      </c>
      <c r="AL60" s="72">
        <v>43124</v>
      </c>
      <c r="AM60" s="47">
        <v>159150</v>
      </c>
      <c r="AN60" s="69">
        <v>46560</v>
      </c>
      <c r="AO60" s="47">
        <v>170919</v>
      </c>
      <c r="AP60" s="70">
        <v>92.62</v>
      </c>
      <c r="AQ60" s="71">
        <v>93.11</v>
      </c>
      <c r="AR60" s="50"/>
      <c r="AS60" s="75">
        <v>10.42</v>
      </c>
      <c r="AT60" s="75">
        <v>10.88</v>
      </c>
      <c r="AU60" s="50"/>
      <c r="AV60" s="76">
        <v>48228</v>
      </c>
      <c r="AW60" s="76" t="s">
        <v>65</v>
      </c>
      <c r="AX60" s="50"/>
      <c r="AY60" s="76">
        <v>51974</v>
      </c>
      <c r="AZ60" s="76" t="s">
        <v>65</v>
      </c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</row>
    <row r="61" spans="1:91" ht="14.25" customHeight="1" x14ac:dyDescent="0.35">
      <c r="A61" s="67" t="s">
        <v>8</v>
      </c>
      <c r="B61" s="93">
        <v>1214</v>
      </c>
      <c r="C61" s="47">
        <v>20935</v>
      </c>
      <c r="D61" s="69">
        <v>1366</v>
      </c>
      <c r="E61" s="47">
        <v>22230</v>
      </c>
      <c r="F61" s="70">
        <v>88.83</v>
      </c>
      <c r="G61" s="71">
        <v>94.17</v>
      </c>
      <c r="H61" s="72">
        <v>0</v>
      </c>
      <c r="I61" s="47">
        <v>0</v>
      </c>
      <c r="J61" s="69">
        <v>0</v>
      </c>
      <c r="K61" s="47">
        <v>0</v>
      </c>
      <c r="L61" s="70">
        <v>0</v>
      </c>
      <c r="M61" s="71">
        <v>0</v>
      </c>
      <c r="N61" s="72">
        <v>18573</v>
      </c>
      <c r="O61" s="47">
        <v>60087</v>
      </c>
      <c r="P61" s="69">
        <v>21358</v>
      </c>
      <c r="Q61" s="47">
        <v>69098</v>
      </c>
      <c r="R61" s="70">
        <v>86.96</v>
      </c>
      <c r="S61" s="71">
        <v>86.96</v>
      </c>
      <c r="T61" s="72">
        <v>1900</v>
      </c>
      <c r="U61" s="47">
        <v>119536</v>
      </c>
      <c r="V61" s="69">
        <v>1989</v>
      </c>
      <c r="W61" s="47">
        <v>125168</v>
      </c>
      <c r="X61" s="70">
        <v>95.5</v>
      </c>
      <c r="Y61" s="71">
        <v>95.5</v>
      </c>
      <c r="Z61" s="72">
        <v>21686</v>
      </c>
      <c r="AA61" s="47">
        <v>200558</v>
      </c>
      <c r="AB61" s="69">
        <v>24714</v>
      </c>
      <c r="AC61" s="47">
        <v>216496</v>
      </c>
      <c r="AD61" s="70">
        <v>87.75</v>
      </c>
      <c r="AE61" s="71">
        <v>92.64</v>
      </c>
      <c r="AF61" s="72">
        <v>1214</v>
      </c>
      <c r="AG61" s="47">
        <v>20935</v>
      </c>
      <c r="AH61" s="69">
        <v>1366</v>
      </c>
      <c r="AI61" s="47">
        <v>22230</v>
      </c>
      <c r="AJ61" s="70">
        <v>88.83</v>
      </c>
      <c r="AK61" s="71">
        <v>94.17</v>
      </c>
      <c r="AL61" s="72">
        <v>20473</v>
      </c>
      <c r="AM61" s="47">
        <v>179623</v>
      </c>
      <c r="AN61" s="69">
        <v>23347</v>
      </c>
      <c r="AO61" s="47">
        <v>194266</v>
      </c>
      <c r="AP61" s="70">
        <v>87.69</v>
      </c>
      <c r="AQ61" s="71">
        <v>92.46</v>
      </c>
      <c r="AR61" s="50"/>
      <c r="AS61" s="75">
        <v>5.53</v>
      </c>
      <c r="AT61" s="75">
        <v>10.27</v>
      </c>
      <c r="AU61" s="50"/>
      <c r="AV61" s="76">
        <v>21686</v>
      </c>
      <c r="AW61" s="76" t="s">
        <v>65</v>
      </c>
      <c r="AX61" s="50"/>
      <c r="AY61" s="76">
        <v>24714</v>
      </c>
      <c r="AZ61" s="76" t="s">
        <v>65</v>
      </c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</row>
    <row r="62" spans="1:91" ht="14.25" customHeight="1" x14ac:dyDescent="0.35">
      <c r="A62" s="67" t="s">
        <v>9</v>
      </c>
      <c r="B62" s="93">
        <v>1330</v>
      </c>
      <c r="C62" s="47">
        <v>22264</v>
      </c>
      <c r="D62" s="69">
        <v>1501</v>
      </c>
      <c r="E62" s="47">
        <v>23731</v>
      </c>
      <c r="F62" s="70">
        <v>88.58</v>
      </c>
      <c r="G62" s="71">
        <v>93.82</v>
      </c>
      <c r="H62" s="72">
        <v>0</v>
      </c>
      <c r="I62" s="47">
        <v>0</v>
      </c>
      <c r="J62" s="69">
        <v>0</v>
      </c>
      <c r="K62" s="47">
        <v>0</v>
      </c>
      <c r="L62" s="70">
        <v>0</v>
      </c>
      <c r="M62" s="71">
        <v>0</v>
      </c>
      <c r="N62" s="72">
        <v>21141</v>
      </c>
      <c r="O62" s="47">
        <v>81228</v>
      </c>
      <c r="P62" s="69">
        <v>24311</v>
      </c>
      <c r="Q62" s="47">
        <v>93409</v>
      </c>
      <c r="R62" s="70">
        <v>86.96</v>
      </c>
      <c r="S62" s="71">
        <v>86.96</v>
      </c>
      <c r="T62" s="72">
        <v>1817</v>
      </c>
      <c r="U62" s="47">
        <v>121353</v>
      </c>
      <c r="V62" s="69">
        <v>1903</v>
      </c>
      <c r="W62" s="47">
        <v>127071</v>
      </c>
      <c r="X62" s="70">
        <v>95.5</v>
      </c>
      <c r="Y62" s="71">
        <v>95.5</v>
      </c>
      <c r="Z62" s="72">
        <v>24287</v>
      </c>
      <c r="AA62" s="47">
        <v>224845</v>
      </c>
      <c r="AB62" s="69">
        <v>27714</v>
      </c>
      <c r="AC62" s="47">
        <v>244210</v>
      </c>
      <c r="AD62" s="70">
        <v>87.63</v>
      </c>
      <c r="AE62" s="71">
        <v>92.07</v>
      </c>
      <c r="AF62" s="72">
        <v>1330</v>
      </c>
      <c r="AG62" s="47">
        <v>22264</v>
      </c>
      <c r="AH62" s="69">
        <v>1501</v>
      </c>
      <c r="AI62" s="47">
        <v>23731</v>
      </c>
      <c r="AJ62" s="70">
        <v>88.58</v>
      </c>
      <c r="AK62" s="71">
        <v>93.82</v>
      </c>
      <c r="AL62" s="72">
        <v>22958</v>
      </c>
      <c r="AM62" s="47">
        <v>202581</v>
      </c>
      <c r="AN62" s="69">
        <v>26213</v>
      </c>
      <c r="AO62" s="47">
        <v>220479</v>
      </c>
      <c r="AP62" s="70">
        <v>87.58</v>
      </c>
      <c r="AQ62" s="71">
        <v>91.88</v>
      </c>
      <c r="AR62" s="50"/>
      <c r="AS62" s="75">
        <v>5.42</v>
      </c>
      <c r="AT62" s="75">
        <v>9.7200000000000006</v>
      </c>
      <c r="AU62" s="50"/>
      <c r="AV62" s="76">
        <v>24287</v>
      </c>
      <c r="AW62" s="76" t="s">
        <v>65</v>
      </c>
      <c r="AX62" s="50"/>
      <c r="AY62" s="76">
        <v>27714</v>
      </c>
      <c r="AZ62" s="76" t="s">
        <v>65</v>
      </c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</row>
    <row r="63" spans="1:91" ht="14.25" customHeight="1" x14ac:dyDescent="0.35">
      <c r="A63" s="67" t="s">
        <v>10</v>
      </c>
      <c r="B63" s="93">
        <v>5928</v>
      </c>
      <c r="C63" s="47">
        <v>28192</v>
      </c>
      <c r="D63" s="69">
        <v>9119</v>
      </c>
      <c r="E63" s="47">
        <v>32850</v>
      </c>
      <c r="F63" s="70">
        <v>65</v>
      </c>
      <c r="G63" s="71">
        <v>85.82</v>
      </c>
      <c r="H63" s="72">
        <v>0</v>
      </c>
      <c r="I63" s="47">
        <v>0</v>
      </c>
      <c r="J63" s="69">
        <v>0</v>
      </c>
      <c r="K63" s="47">
        <v>0</v>
      </c>
      <c r="L63" s="70">
        <v>0</v>
      </c>
      <c r="M63" s="71">
        <v>0</v>
      </c>
      <c r="N63" s="72">
        <v>26948</v>
      </c>
      <c r="O63" s="47">
        <v>108176</v>
      </c>
      <c r="P63" s="69">
        <v>30989</v>
      </c>
      <c r="Q63" s="47">
        <v>124398</v>
      </c>
      <c r="R63" s="70">
        <v>86.96</v>
      </c>
      <c r="S63" s="71">
        <v>86.96</v>
      </c>
      <c r="T63" s="72">
        <v>3223</v>
      </c>
      <c r="U63" s="47">
        <v>124575</v>
      </c>
      <c r="V63" s="69">
        <v>3374</v>
      </c>
      <c r="W63" s="47">
        <v>130445</v>
      </c>
      <c r="X63" s="70">
        <v>95.5</v>
      </c>
      <c r="Y63" s="71">
        <v>95.5</v>
      </c>
      <c r="Z63" s="72">
        <v>36099</v>
      </c>
      <c r="AA63" s="47">
        <v>260944</v>
      </c>
      <c r="AB63" s="69">
        <v>43483</v>
      </c>
      <c r="AC63" s="47">
        <v>287693</v>
      </c>
      <c r="AD63" s="70">
        <v>83.02</v>
      </c>
      <c r="AE63" s="71">
        <v>90.7</v>
      </c>
      <c r="AF63" s="72">
        <v>5928</v>
      </c>
      <c r="AG63" s="47">
        <v>28192</v>
      </c>
      <c r="AH63" s="69">
        <v>9119</v>
      </c>
      <c r="AI63" s="47">
        <v>32850</v>
      </c>
      <c r="AJ63" s="70">
        <v>65</v>
      </c>
      <c r="AK63" s="71">
        <v>85.82</v>
      </c>
      <c r="AL63" s="72">
        <v>30171</v>
      </c>
      <c r="AM63" s="47">
        <v>232752</v>
      </c>
      <c r="AN63" s="69">
        <v>34364</v>
      </c>
      <c r="AO63" s="47">
        <v>254843</v>
      </c>
      <c r="AP63" s="70">
        <v>87.8</v>
      </c>
      <c r="AQ63" s="71">
        <v>91.33</v>
      </c>
      <c r="AR63" s="50"/>
      <c r="AS63" s="75">
        <v>20.97</v>
      </c>
      <c r="AT63" s="75">
        <v>11.42</v>
      </c>
      <c r="AU63" s="50"/>
      <c r="AV63" s="76">
        <v>36099</v>
      </c>
      <c r="AW63" s="76" t="s">
        <v>65</v>
      </c>
      <c r="AX63" s="50"/>
      <c r="AY63" s="76">
        <v>43483</v>
      </c>
      <c r="AZ63" s="76" t="s">
        <v>65</v>
      </c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</row>
    <row r="64" spans="1:91" ht="14.25" customHeight="1" x14ac:dyDescent="0.35">
      <c r="A64" s="67" t="s">
        <v>11</v>
      </c>
      <c r="B64" s="93">
        <v>1212</v>
      </c>
      <c r="C64" s="47">
        <v>29404</v>
      </c>
      <c r="D64" s="69">
        <v>1365</v>
      </c>
      <c r="E64" s="47">
        <v>34215</v>
      </c>
      <c r="F64" s="70">
        <v>88.83</v>
      </c>
      <c r="G64" s="71">
        <v>85.94</v>
      </c>
      <c r="H64" s="72">
        <v>0</v>
      </c>
      <c r="I64" s="47">
        <v>0</v>
      </c>
      <c r="J64" s="69">
        <v>0</v>
      </c>
      <c r="K64" s="47">
        <v>0</v>
      </c>
      <c r="L64" s="70">
        <v>0</v>
      </c>
      <c r="M64" s="71">
        <v>0</v>
      </c>
      <c r="N64" s="72">
        <v>18550</v>
      </c>
      <c r="O64" s="47">
        <v>126726</v>
      </c>
      <c r="P64" s="69">
        <v>21331</v>
      </c>
      <c r="Q64" s="47">
        <v>145729</v>
      </c>
      <c r="R64" s="70">
        <v>86.96</v>
      </c>
      <c r="S64" s="71">
        <v>86.96</v>
      </c>
      <c r="T64" s="72">
        <v>1899</v>
      </c>
      <c r="U64" s="47">
        <v>126475</v>
      </c>
      <c r="V64" s="69">
        <v>1989</v>
      </c>
      <c r="W64" s="47">
        <v>132434</v>
      </c>
      <c r="X64" s="70">
        <v>95.5</v>
      </c>
      <c r="Y64" s="71">
        <v>95.5</v>
      </c>
      <c r="Z64" s="72">
        <v>21661</v>
      </c>
      <c r="AA64" s="47">
        <v>282605</v>
      </c>
      <c r="AB64" s="69">
        <v>24685</v>
      </c>
      <c r="AC64" s="47">
        <v>312379</v>
      </c>
      <c r="AD64" s="70">
        <v>87.75</v>
      </c>
      <c r="AE64" s="71">
        <v>90.47</v>
      </c>
      <c r="AF64" s="72">
        <v>1212</v>
      </c>
      <c r="AG64" s="47">
        <v>29404</v>
      </c>
      <c r="AH64" s="69">
        <v>1365</v>
      </c>
      <c r="AI64" s="47">
        <v>34215</v>
      </c>
      <c r="AJ64" s="70">
        <v>88.83</v>
      </c>
      <c r="AK64" s="71">
        <v>85.94</v>
      </c>
      <c r="AL64" s="72">
        <v>20449</v>
      </c>
      <c r="AM64" s="47">
        <v>253201</v>
      </c>
      <c r="AN64" s="69">
        <v>23320</v>
      </c>
      <c r="AO64" s="47">
        <v>278164</v>
      </c>
      <c r="AP64" s="70">
        <v>87.69</v>
      </c>
      <c r="AQ64" s="71">
        <v>91.03</v>
      </c>
      <c r="AR64" s="50"/>
      <c r="AS64" s="75">
        <v>5.53</v>
      </c>
      <c r="AT64" s="75">
        <v>10.95</v>
      </c>
      <c r="AU64" s="50"/>
      <c r="AV64" s="76">
        <v>21661</v>
      </c>
      <c r="AW64" s="76" t="s">
        <v>65</v>
      </c>
      <c r="AX64" s="50"/>
      <c r="AY64" s="76">
        <v>24685</v>
      </c>
      <c r="AZ64" s="76" t="s">
        <v>65</v>
      </c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</row>
    <row r="65" spans="1:91" ht="14.25" customHeight="1" x14ac:dyDescent="0.35">
      <c r="A65" s="67" t="s">
        <v>12</v>
      </c>
      <c r="B65" s="93">
        <v>5813</v>
      </c>
      <c r="C65" s="47">
        <v>35217</v>
      </c>
      <c r="D65" s="69">
        <v>6194</v>
      </c>
      <c r="E65" s="47">
        <v>40409</v>
      </c>
      <c r="F65" s="70">
        <v>93.84</v>
      </c>
      <c r="G65" s="71">
        <v>87.15</v>
      </c>
      <c r="H65" s="72">
        <v>0</v>
      </c>
      <c r="I65" s="47">
        <v>0</v>
      </c>
      <c r="J65" s="69">
        <v>0</v>
      </c>
      <c r="K65" s="47">
        <v>0</v>
      </c>
      <c r="L65" s="70">
        <v>0</v>
      </c>
      <c r="M65" s="71">
        <v>0</v>
      </c>
      <c r="N65" s="72">
        <v>20950</v>
      </c>
      <c r="O65" s="47">
        <v>147676</v>
      </c>
      <c r="P65" s="69">
        <v>24091</v>
      </c>
      <c r="Q65" s="47">
        <v>169820</v>
      </c>
      <c r="R65" s="70">
        <v>86.96</v>
      </c>
      <c r="S65" s="71">
        <v>86.96</v>
      </c>
      <c r="T65" s="72">
        <v>31768</v>
      </c>
      <c r="U65" s="47">
        <v>158243</v>
      </c>
      <c r="V65" s="69">
        <v>33265</v>
      </c>
      <c r="W65" s="47">
        <v>165699</v>
      </c>
      <c r="X65" s="70">
        <v>95.5</v>
      </c>
      <c r="Y65" s="71">
        <v>95.5</v>
      </c>
      <c r="Z65" s="72">
        <v>58530</v>
      </c>
      <c r="AA65" s="47">
        <v>341136</v>
      </c>
      <c r="AB65" s="69">
        <v>63551</v>
      </c>
      <c r="AC65" s="47">
        <v>375929</v>
      </c>
      <c r="AD65" s="70">
        <v>92.1</v>
      </c>
      <c r="AE65" s="71">
        <v>90.74</v>
      </c>
      <c r="AF65" s="72">
        <v>5813</v>
      </c>
      <c r="AG65" s="47">
        <v>35217</v>
      </c>
      <c r="AH65" s="69">
        <v>6194</v>
      </c>
      <c r="AI65" s="47">
        <v>40409</v>
      </c>
      <c r="AJ65" s="70">
        <v>93.84</v>
      </c>
      <c r="AK65" s="71">
        <v>87.15</v>
      </c>
      <c r="AL65" s="72">
        <v>52718</v>
      </c>
      <c r="AM65" s="47">
        <v>305919</v>
      </c>
      <c r="AN65" s="69">
        <v>57356</v>
      </c>
      <c r="AO65" s="47">
        <v>335520</v>
      </c>
      <c r="AP65" s="70">
        <v>91.91</v>
      </c>
      <c r="AQ65" s="71">
        <v>91.18</v>
      </c>
      <c r="AR65" s="50"/>
      <c r="AS65" s="75">
        <v>9.75</v>
      </c>
      <c r="AT65" s="75">
        <v>10.75</v>
      </c>
      <c r="AU65" s="50"/>
      <c r="AV65" s="76">
        <v>58530</v>
      </c>
      <c r="AW65" s="76" t="s">
        <v>65</v>
      </c>
      <c r="AX65" s="50"/>
      <c r="AY65" s="76">
        <v>63551</v>
      </c>
      <c r="AZ65" s="76" t="s">
        <v>65</v>
      </c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</row>
    <row r="66" spans="1:91" ht="14.25" customHeight="1" x14ac:dyDescent="0.35">
      <c r="A66" s="67" t="s">
        <v>13</v>
      </c>
      <c r="B66" s="93">
        <v>16147</v>
      </c>
      <c r="C66" s="47">
        <v>51364</v>
      </c>
      <c r="D66" s="69">
        <v>23677</v>
      </c>
      <c r="E66" s="47">
        <v>64086</v>
      </c>
      <c r="F66" s="70">
        <v>68.2</v>
      </c>
      <c r="G66" s="71">
        <v>80.150000000000006</v>
      </c>
      <c r="H66" s="72">
        <v>0</v>
      </c>
      <c r="I66" s="47">
        <v>0</v>
      </c>
      <c r="J66" s="69">
        <v>0</v>
      </c>
      <c r="K66" s="47">
        <v>0</v>
      </c>
      <c r="L66" s="70">
        <v>0</v>
      </c>
      <c r="M66" s="71">
        <v>0</v>
      </c>
      <c r="N66" s="72">
        <v>30835</v>
      </c>
      <c r="O66" s="47">
        <v>178511</v>
      </c>
      <c r="P66" s="69">
        <v>35459</v>
      </c>
      <c r="Q66" s="47">
        <v>205279</v>
      </c>
      <c r="R66" s="70">
        <v>86.96</v>
      </c>
      <c r="S66" s="71">
        <v>86.96</v>
      </c>
      <c r="T66" s="72">
        <v>32271</v>
      </c>
      <c r="U66" s="47">
        <v>190514</v>
      </c>
      <c r="V66" s="69">
        <v>33792</v>
      </c>
      <c r="W66" s="47">
        <v>199491</v>
      </c>
      <c r="X66" s="70">
        <v>95.5</v>
      </c>
      <c r="Y66" s="71">
        <v>95.5</v>
      </c>
      <c r="Z66" s="72">
        <v>79253</v>
      </c>
      <c r="AA66" s="47">
        <v>420389</v>
      </c>
      <c r="AB66" s="69">
        <v>92928</v>
      </c>
      <c r="AC66" s="47">
        <v>468857</v>
      </c>
      <c r="AD66" s="70">
        <v>85.28</v>
      </c>
      <c r="AE66" s="71">
        <v>89.66</v>
      </c>
      <c r="AF66" s="72">
        <v>16147</v>
      </c>
      <c r="AG66" s="47">
        <v>51364</v>
      </c>
      <c r="AH66" s="69">
        <v>23677</v>
      </c>
      <c r="AI66" s="47">
        <v>64086</v>
      </c>
      <c r="AJ66" s="70">
        <v>68.2</v>
      </c>
      <c r="AK66" s="71">
        <v>80.150000000000006</v>
      </c>
      <c r="AL66" s="72">
        <v>63106</v>
      </c>
      <c r="AM66" s="47">
        <v>369025</v>
      </c>
      <c r="AN66" s="69">
        <v>69251</v>
      </c>
      <c r="AO66" s="47">
        <v>404770</v>
      </c>
      <c r="AP66" s="70">
        <v>91.13</v>
      </c>
      <c r="AQ66" s="71">
        <v>91.17</v>
      </c>
      <c r="AR66" s="50"/>
      <c r="AS66" s="75">
        <v>25.48</v>
      </c>
      <c r="AT66" s="75">
        <v>13.67</v>
      </c>
      <c r="AU66" s="50"/>
      <c r="AV66" s="76">
        <v>79253</v>
      </c>
      <c r="AW66" s="76" t="s">
        <v>65</v>
      </c>
      <c r="AX66" s="50"/>
      <c r="AY66" s="76">
        <v>92928</v>
      </c>
      <c r="AZ66" s="76" t="s">
        <v>65</v>
      </c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</row>
    <row r="67" spans="1:91" ht="14.25" customHeight="1" x14ac:dyDescent="0.35">
      <c r="A67" s="67" t="s">
        <v>14</v>
      </c>
      <c r="B67" s="93">
        <v>6099</v>
      </c>
      <c r="C67" s="47">
        <v>57463</v>
      </c>
      <c r="D67" s="69">
        <v>6517</v>
      </c>
      <c r="E67" s="47">
        <v>70603</v>
      </c>
      <c r="F67" s="70">
        <v>93.6</v>
      </c>
      <c r="G67" s="71">
        <v>81.39</v>
      </c>
      <c r="H67" s="72">
        <v>0</v>
      </c>
      <c r="I67" s="47">
        <v>0</v>
      </c>
      <c r="J67" s="69">
        <v>0</v>
      </c>
      <c r="K67" s="47">
        <v>0</v>
      </c>
      <c r="L67" s="70">
        <v>0</v>
      </c>
      <c r="M67" s="71">
        <v>0</v>
      </c>
      <c r="N67" s="72">
        <v>25266</v>
      </c>
      <c r="O67" s="47">
        <v>203776</v>
      </c>
      <c r="P67" s="69">
        <v>29054</v>
      </c>
      <c r="Q67" s="47">
        <v>234334</v>
      </c>
      <c r="R67" s="70">
        <v>86.96</v>
      </c>
      <c r="S67" s="71">
        <v>86.96</v>
      </c>
      <c r="T67" s="72">
        <v>32240</v>
      </c>
      <c r="U67" s="47">
        <v>222754</v>
      </c>
      <c r="V67" s="69">
        <v>33759</v>
      </c>
      <c r="W67" s="47">
        <v>233250</v>
      </c>
      <c r="X67" s="70">
        <v>95.5</v>
      </c>
      <c r="Y67" s="71">
        <v>95.5</v>
      </c>
      <c r="Z67" s="72">
        <v>63605</v>
      </c>
      <c r="AA67" s="47">
        <v>483994</v>
      </c>
      <c r="AB67" s="69">
        <v>69330</v>
      </c>
      <c r="AC67" s="47">
        <v>538187</v>
      </c>
      <c r="AD67" s="70">
        <v>91.74</v>
      </c>
      <c r="AE67" s="71">
        <v>89.93</v>
      </c>
      <c r="AF67" s="72">
        <v>6099</v>
      </c>
      <c r="AG67" s="47">
        <v>57463</v>
      </c>
      <c r="AH67" s="69">
        <v>6517</v>
      </c>
      <c r="AI67" s="47">
        <v>70603</v>
      </c>
      <c r="AJ67" s="70">
        <v>93.6</v>
      </c>
      <c r="AK67" s="71">
        <v>81.39</v>
      </c>
      <c r="AL67" s="72">
        <v>57506</v>
      </c>
      <c r="AM67" s="47">
        <v>426531</v>
      </c>
      <c r="AN67" s="69">
        <v>62814</v>
      </c>
      <c r="AO67" s="47">
        <v>467584</v>
      </c>
      <c r="AP67" s="70">
        <v>91.55</v>
      </c>
      <c r="AQ67" s="71">
        <v>91.22</v>
      </c>
      <c r="AR67" s="50"/>
      <c r="AS67" s="75">
        <v>9.4</v>
      </c>
      <c r="AT67" s="75">
        <v>13.12</v>
      </c>
      <c r="AU67" s="50"/>
      <c r="AV67" s="76">
        <v>63605</v>
      </c>
      <c r="AW67" s="76" t="s">
        <v>65</v>
      </c>
      <c r="AX67" s="50"/>
      <c r="AY67" s="76">
        <v>69330</v>
      </c>
      <c r="AZ67" s="76" t="s">
        <v>65</v>
      </c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</row>
    <row r="68" spans="1:91" ht="14.25" customHeight="1" x14ac:dyDescent="0.35">
      <c r="A68" s="67" t="s">
        <v>15</v>
      </c>
      <c r="B68" s="94">
        <v>9399</v>
      </c>
      <c r="C68" s="78">
        <v>66862</v>
      </c>
      <c r="D68" s="79">
        <v>12595</v>
      </c>
      <c r="E68" s="78">
        <v>83198</v>
      </c>
      <c r="F68" s="80">
        <v>74.62</v>
      </c>
      <c r="G68" s="81">
        <v>80.36</v>
      </c>
      <c r="H68" s="82">
        <v>0</v>
      </c>
      <c r="I68" s="78">
        <v>0</v>
      </c>
      <c r="J68" s="79">
        <v>0</v>
      </c>
      <c r="K68" s="78">
        <v>0</v>
      </c>
      <c r="L68" s="80">
        <v>0</v>
      </c>
      <c r="M68" s="81">
        <v>0</v>
      </c>
      <c r="N68" s="82">
        <v>17424</v>
      </c>
      <c r="O68" s="78">
        <v>221201</v>
      </c>
      <c r="P68" s="79">
        <v>20037</v>
      </c>
      <c r="Q68" s="78">
        <v>254371</v>
      </c>
      <c r="R68" s="80">
        <v>86.96</v>
      </c>
      <c r="S68" s="81">
        <v>86.96</v>
      </c>
      <c r="T68" s="82">
        <v>30618</v>
      </c>
      <c r="U68" s="78">
        <v>253372</v>
      </c>
      <c r="V68" s="79">
        <v>32060</v>
      </c>
      <c r="W68" s="78">
        <v>265311</v>
      </c>
      <c r="X68" s="80">
        <v>95.5</v>
      </c>
      <c r="Y68" s="81">
        <v>95.5</v>
      </c>
      <c r="Z68" s="82">
        <v>57441</v>
      </c>
      <c r="AA68" s="78">
        <v>541434</v>
      </c>
      <c r="AB68" s="79">
        <v>64692</v>
      </c>
      <c r="AC68" s="78">
        <v>602879</v>
      </c>
      <c r="AD68" s="80">
        <v>88.79</v>
      </c>
      <c r="AE68" s="81">
        <v>89.81</v>
      </c>
      <c r="AF68" s="82">
        <v>9399</v>
      </c>
      <c r="AG68" s="78">
        <v>66862</v>
      </c>
      <c r="AH68" s="79">
        <v>12595</v>
      </c>
      <c r="AI68" s="78">
        <v>83198</v>
      </c>
      <c r="AJ68" s="80">
        <v>74.62</v>
      </c>
      <c r="AK68" s="81">
        <v>80.36</v>
      </c>
      <c r="AL68" s="82">
        <v>48042</v>
      </c>
      <c r="AM68" s="78">
        <v>474573</v>
      </c>
      <c r="AN68" s="79">
        <v>52098</v>
      </c>
      <c r="AO68" s="78">
        <v>519682</v>
      </c>
      <c r="AP68" s="80">
        <v>92.22</v>
      </c>
      <c r="AQ68" s="81">
        <v>91.32</v>
      </c>
      <c r="AR68" s="50"/>
      <c r="AS68" s="75">
        <v>19.47</v>
      </c>
      <c r="AT68" s="75">
        <v>13.8</v>
      </c>
      <c r="AU68" s="50"/>
      <c r="AV68" s="76">
        <v>57441</v>
      </c>
      <c r="AW68" s="76" t="s">
        <v>65</v>
      </c>
      <c r="AX68" s="50"/>
      <c r="AY68" s="76">
        <v>64692</v>
      </c>
      <c r="AZ68" s="76" t="s">
        <v>65</v>
      </c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</row>
    <row r="69" spans="1:91" ht="14.25" customHeight="1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10">
        <v>0</v>
      </c>
      <c r="AE69" s="10">
        <v>0</v>
      </c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</row>
    <row r="70" spans="1:91" ht="14.25" customHeight="1" x14ac:dyDescent="0.35">
      <c r="A70" s="50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</row>
    <row r="71" spans="1:91" ht="14.25" customHeight="1" x14ac:dyDescent="0.35">
      <c r="A71" s="56" t="s">
        <v>156</v>
      </c>
      <c r="B71" s="50"/>
      <c r="C71" s="50"/>
      <c r="D71" s="50"/>
      <c r="E71" s="50"/>
      <c r="F71" s="50"/>
      <c r="G71" s="50"/>
      <c r="H71" s="56" t="s">
        <v>121</v>
      </c>
      <c r="I71" s="50"/>
      <c r="J71" s="50"/>
      <c r="K71" s="50"/>
      <c r="L71" s="50"/>
      <c r="M71" s="50"/>
      <c r="N71" s="56" t="s">
        <v>157</v>
      </c>
      <c r="O71" s="50"/>
      <c r="P71" s="50"/>
      <c r="Q71" s="50"/>
      <c r="R71" s="50"/>
      <c r="S71" s="50"/>
      <c r="T71" s="95" t="s">
        <v>122</v>
      </c>
      <c r="U71" s="50"/>
      <c r="V71" s="50"/>
      <c r="W71" s="50"/>
      <c r="X71" s="50"/>
      <c r="Y71" s="50"/>
      <c r="Z71" s="56" t="s">
        <v>95</v>
      </c>
      <c r="AA71" s="50"/>
      <c r="AB71" s="50"/>
      <c r="AC71" s="50"/>
      <c r="AD71" s="50"/>
      <c r="AE71" s="50"/>
      <c r="AF71" s="56" t="s">
        <v>116</v>
      </c>
      <c r="AG71" s="50"/>
      <c r="AH71" s="50"/>
      <c r="AI71" s="50"/>
      <c r="AJ71" s="50"/>
      <c r="AK71" s="50"/>
      <c r="AL71" s="56" t="s">
        <v>123</v>
      </c>
      <c r="AM71" s="50"/>
      <c r="AN71" s="50"/>
      <c r="AO71" s="50"/>
      <c r="AP71" s="50"/>
      <c r="AQ71" s="50"/>
      <c r="AR71" s="56" t="s">
        <v>124</v>
      </c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10" t="s">
        <v>101</v>
      </c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</row>
    <row r="72" spans="1:91" ht="14.25" customHeight="1" x14ac:dyDescent="0.35">
      <c r="A72" s="57" t="s">
        <v>102</v>
      </c>
      <c r="B72" s="58" t="s">
        <v>2</v>
      </c>
      <c r="C72" s="59"/>
      <c r="D72" s="58" t="s">
        <v>3</v>
      </c>
      <c r="E72" s="59"/>
      <c r="F72" s="58" t="s">
        <v>103</v>
      </c>
      <c r="G72" s="60"/>
      <c r="H72" s="96" t="s">
        <v>2</v>
      </c>
      <c r="I72" s="59"/>
      <c r="J72" s="58" t="s">
        <v>3</v>
      </c>
      <c r="K72" s="59"/>
      <c r="L72" s="58" t="s">
        <v>103</v>
      </c>
      <c r="M72" s="60"/>
      <c r="N72" s="96" t="s">
        <v>2</v>
      </c>
      <c r="O72" s="59"/>
      <c r="P72" s="58" t="s">
        <v>3</v>
      </c>
      <c r="Q72" s="59"/>
      <c r="R72" s="58" t="s">
        <v>103</v>
      </c>
      <c r="S72" s="60"/>
      <c r="T72" s="61" t="s">
        <v>2</v>
      </c>
      <c r="U72" s="59"/>
      <c r="V72" s="58" t="s">
        <v>3</v>
      </c>
      <c r="W72" s="59"/>
      <c r="X72" s="58" t="s">
        <v>103</v>
      </c>
      <c r="Y72" s="60"/>
      <c r="Z72" s="96" t="s">
        <v>2</v>
      </c>
      <c r="AA72" s="59"/>
      <c r="AB72" s="58" t="s">
        <v>3</v>
      </c>
      <c r="AC72" s="59"/>
      <c r="AD72" s="58" t="s">
        <v>103</v>
      </c>
      <c r="AE72" s="60"/>
      <c r="AF72" s="96" t="s">
        <v>2</v>
      </c>
      <c r="AG72" s="59"/>
      <c r="AH72" s="58" t="s">
        <v>3</v>
      </c>
      <c r="AI72" s="59"/>
      <c r="AJ72" s="58" t="s">
        <v>103</v>
      </c>
      <c r="AK72" s="60"/>
      <c r="AL72" s="97" t="s">
        <v>2</v>
      </c>
      <c r="AM72" s="98"/>
      <c r="AN72" s="99" t="s">
        <v>3</v>
      </c>
      <c r="AO72" s="98"/>
      <c r="AP72" s="99" t="s">
        <v>103</v>
      </c>
      <c r="AQ72" s="100"/>
      <c r="AR72" s="97" t="s">
        <v>2</v>
      </c>
      <c r="AS72" s="98"/>
      <c r="AT72" s="99" t="s">
        <v>3</v>
      </c>
      <c r="AU72" s="98"/>
      <c r="AV72" s="99" t="s">
        <v>103</v>
      </c>
      <c r="AW72" s="100"/>
      <c r="AX72" s="50"/>
      <c r="AY72" s="50"/>
      <c r="AZ72" s="50"/>
      <c r="BA72" s="50"/>
      <c r="BB72" s="50"/>
      <c r="BC72" s="50"/>
      <c r="BD72" s="10">
        <v>100</v>
      </c>
      <c r="BE72" s="50"/>
      <c r="BF72" s="50"/>
      <c r="BG72" s="10" t="s">
        <v>104</v>
      </c>
      <c r="BH72" s="50"/>
      <c r="BI72" s="50"/>
      <c r="BJ72" s="10" t="s">
        <v>105</v>
      </c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</row>
    <row r="73" spans="1:91" ht="14.25" customHeight="1" x14ac:dyDescent="0.35">
      <c r="A73" s="87" t="s">
        <v>102</v>
      </c>
      <c r="B73" s="63" t="s">
        <v>106</v>
      </c>
      <c r="C73" s="63" t="s">
        <v>107</v>
      </c>
      <c r="D73" s="63" t="s">
        <v>106</v>
      </c>
      <c r="E73" s="63" t="s">
        <v>107</v>
      </c>
      <c r="F73" s="63" t="s">
        <v>106</v>
      </c>
      <c r="G73" s="64" t="s">
        <v>107</v>
      </c>
      <c r="H73" s="63" t="s">
        <v>106</v>
      </c>
      <c r="I73" s="63" t="s">
        <v>107</v>
      </c>
      <c r="J73" s="63" t="s">
        <v>106</v>
      </c>
      <c r="K73" s="63" t="s">
        <v>107</v>
      </c>
      <c r="L73" s="63" t="s">
        <v>106</v>
      </c>
      <c r="M73" s="64" t="s">
        <v>107</v>
      </c>
      <c r="N73" s="63" t="s">
        <v>106</v>
      </c>
      <c r="O73" s="63" t="s">
        <v>107</v>
      </c>
      <c r="P73" s="63" t="s">
        <v>106</v>
      </c>
      <c r="Q73" s="63" t="s">
        <v>107</v>
      </c>
      <c r="R73" s="63" t="s">
        <v>106</v>
      </c>
      <c r="S73" s="64" t="s">
        <v>107</v>
      </c>
      <c r="T73" s="65" t="s">
        <v>106</v>
      </c>
      <c r="U73" s="63" t="s">
        <v>107</v>
      </c>
      <c r="V73" s="63" t="s">
        <v>106</v>
      </c>
      <c r="W73" s="63" t="s">
        <v>107</v>
      </c>
      <c r="X73" s="63" t="s">
        <v>106</v>
      </c>
      <c r="Y73" s="64" t="s">
        <v>107</v>
      </c>
      <c r="Z73" s="63" t="s">
        <v>106</v>
      </c>
      <c r="AA73" s="63" t="s">
        <v>107</v>
      </c>
      <c r="AB73" s="63" t="s">
        <v>106</v>
      </c>
      <c r="AC73" s="63" t="s">
        <v>107</v>
      </c>
      <c r="AD73" s="63" t="s">
        <v>106</v>
      </c>
      <c r="AE73" s="64" t="s">
        <v>107</v>
      </c>
      <c r="AF73" s="63" t="s">
        <v>106</v>
      </c>
      <c r="AG73" s="63" t="s">
        <v>107</v>
      </c>
      <c r="AH73" s="63" t="s">
        <v>106</v>
      </c>
      <c r="AI73" s="63" t="s">
        <v>107</v>
      </c>
      <c r="AJ73" s="63" t="s">
        <v>106</v>
      </c>
      <c r="AK73" s="64" t="s">
        <v>107</v>
      </c>
      <c r="AL73" s="65" t="s">
        <v>106</v>
      </c>
      <c r="AM73" s="63" t="s">
        <v>107</v>
      </c>
      <c r="AN73" s="63" t="s">
        <v>106</v>
      </c>
      <c r="AO73" s="63" t="s">
        <v>107</v>
      </c>
      <c r="AP73" s="63" t="s">
        <v>106</v>
      </c>
      <c r="AQ73" s="64" t="s">
        <v>107</v>
      </c>
      <c r="AR73" s="65" t="s">
        <v>106</v>
      </c>
      <c r="AS73" s="63" t="s">
        <v>107</v>
      </c>
      <c r="AT73" s="63" t="s">
        <v>106</v>
      </c>
      <c r="AU73" s="63" t="s">
        <v>107</v>
      </c>
      <c r="AV73" s="63" t="s">
        <v>106</v>
      </c>
      <c r="AW73" s="64" t="s">
        <v>107</v>
      </c>
      <c r="AX73" s="50"/>
      <c r="AY73" s="50"/>
      <c r="AZ73" s="50"/>
      <c r="BA73" s="50"/>
      <c r="BB73" s="50"/>
      <c r="BC73" s="50"/>
      <c r="BD73" s="66" t="s">
        <v>106</v>
      </c>
      <c r="BE73" s="66" t="s">
        <v>107</v>
      </c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</row>
    <row r="74" spans="1:91" ht="14.25" customHeight="1" x14ac:dyDescent="0.35">
      <c r="A74" s="67" t="s">
        <v>4</v>
      </c>
      <c r="B74" s="68">
        <v>47877</v>
      </c>
      <c r="C74" s="47">
        <v>47877</v>
      </c>
      <c r="D74" s="69">
        <v>79813</v>
      </c>
      <c r="E74" s="47">
        <v>79813</v>
      </c>
      <c r="F74" s="70">
        <v>59.99</v>
      </c>
      <c r="G74" s="71">
        <v>59.99</v>
      </c>
      <c r="H74" s="101"/>
      <c r="I74" s="47">
        <v>0</v>
      </c>
      <c r="J74" s="102"/>
      <c r="K74" s="47">
        <v>0</v>
      </c>
      <c r="L74" s="70">
        <v>0</v>
      </c>
      <c r="M74" s="71">
        <v>0</v>
      </c>
      <c r="N74" s="72">
        <v>47877</v>
      </c>
      <c r="O74" s="47">
        <v>47877</v>
      </c>
      <c r="P74" s="69">
        <v>79813</v>
      </c>
      <c r="Q74" s="47">
        <v>79813</v>
      </c>
      <c r="R74" s="70">
        <v>59.99</v>
      </c>
      <c r="S74" s="71">
        <v>59.99</v>
      </c>
      <c r="T74" s="72">
        <v>0</v>
      </c>
      <c r="U74" s="47">
        <v>0</v>
      </c>
      <c r="V74" s="69">
        <v>0</v>
      </c>
      <c r="W74" s="47">
        <v>0</v>
      </c>
      <c r="X74" s="70">
        <v>0</v>
      </c>
      <c r="Y74" s="71">
        <v>0</v>
      </c>
      <c r="Z74" s="72">
        <v>10467</v>
      </c>
      <c r="AA74" s="47">
        <v>10467</v>
      </c>
      <c r="AB74" s="69">
        <v>12037</v>
      </c>
      <c r="AC74" s="47">
        <v>12037</v>
      </c>
      <c r="AD74" s="70">
        <v>86.96</v>
      </c>
      <c r="AE74" s="71">
        <v>86.96</v>
      </c>
      <c r="AF74" s="72">
        <v>13150</v>
      </c>
      <c r="AG74" s="47">
        <v>13150</v>
      </c>
      <c r="AH74" s="69">
        <v>14559</v>
      </c>
      <c r="AI74" s="47">
        <v>14559</v>
      </c>
      <c r="AJ74" s="70">
        <v>90.32</v>
      </c>
      <c r="AK74" s="71">
        <v>90.32</v>
      </c>
      <c r="AL74" s="72">
        <v>71495</v>
      </c>
      <c r="AM74" s="47">
        <v>71495</v>
      </c>
      <c r="AN74" s="69">
        <v>106409</v>
      </c>
      <c r="AO74" s="47">
        <v>106409</v>
      </c>
      <c r="AP74" s="70">
        <v>67.19</v>
      </c>
      <c r="AQ74" s="71">
        <v>67.19</v>
      </c>
      <c r="AR74" s="72">
        <v>116387</v>
      </c>
      <c r="AS74" s="47">
        <v>116387</v>
      </c>
      <c r="AT74" s="69">
        <v>154547</v>
      </c>
      <c r="AU74" s="47">
        <v>154547</v>
      </c>
      <c r="AV74" s="70">
        <v>75.31</v>
      </c>
      <c r="AW74" s="71">
        <v>75.31</v>
      </c>
      <c r="AX74" s="50"/>
      <c r="AY74" s="50"/>
      <c r="AZ74" s="50"/>
      <c r="BA74" s="50"/>
      <c r="BB74" s="50"/>
      <c r="BC74" s="50"/>
      <c r="BD74" s="75">
        <v>75.010000000000005</v>
      </c>
      <c r="BE74" s="75">
        <v>75.010000000000005</v>
      </c>
      <c r="BF74" s="50"/>
      <c r="BG74" s="76">
        <v>71495</v>
      </c>
      <c r="BH74" s="76" t="s">
        <v>65</v>
      </c>
      <c r="BI74" s="50"/>
      <c r="BJ74" s="76">
        <v>106409</v>
      </c>
      <c r="BK74" s="76" t="s">
        <v>65</v>
      </c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</row>
    <row r="75" spans="1:91" ht="14.25" customHeight="1" x14ac:dyDescent="0.35">
      <c r="A75" s="67" t="s">
        <v>5</v>
      </c>
      <c r="B75" s="68">
        <v>41132</v>
      </c>
      <c r="C75" s="47">
        <v>89009</v>
      </c>
      <c r="D75" s="69">
        <v>68050</v>
      </c>
      <c r="E75" s="47">
        <v>147863</v>
      </c>
      <c r="F75" s="70">
        <v>60.44</v>
      </c>
      <c r="G75" s="71">
        <v>60.2</v>
      </c>
      <c r="H75" s="101"/>
      <c r="I75" s="47">
        <v>0</v>
      </c>
      <c r="J75" s="102"/>
      <c r="K75" s="47">
        <v>0</v>
      </c>
      <c r="L75" s="70">
        <v>0</v>
      </c>
      <c r="M75" s="71">
        <v>0</v>
      </c>
      <c r="N75" s="72">
        <v>41132</v>
      </c>
      <c r="O75" s="47">
        <v>89009</v>
      </c>
      <c r="P75" s="69">
        <v>68050</v>
      </c>
      <c r="Q75" s="47">
        <v>147863</v>
      </c>
      <c r="R75" s="70">
        <v>60.44</v>
      </c>
      <c r="S75" s="71">
        <v>60.2</v>
      </c>
      <c r="T75" s="72">
        <v>0</v>
      </c>
      <c r="U75" s="47">
        <v>0</v>
      </c>
      <c r="V75" s="69">
        <v>0</v>
      </c>
      <c r="W75" s="47">
        <v>0</v>
      </c>
      <c r="X75" s="70">
        <v>0</v>
      </c>
      <c r="Y75" s="71">
        <v>0</v>
      </c>
      <c r="Z75" s="72">
        <v>10974</v>
      </c>
      <c r="AA75" s="47">
        <v>21441</v>
      </c>
      <c r="AB75" s="69">
        <v>12619</v>
      </c>
      <c r="AC75" s="47">
        <v>24656</v>
      </c>
      <c r="AD75" s="70">
        <v>86.96</v>
      </c>
      <c r="AE75" s="71">
        <v>86.96</v>
      </c>
      <c r="AF75" s="72">
        <v>13786</v>
      </c>
      <c r="AG75" s="47">
        <v>26935</v>
      </c>
      <c r="AH75" s="69">
        <v>15263</v>
      </c>
      <c r="AI75" s="47">
        <v>29822</v>
      </c>
      <c r="AJ75" s="70">
        <v>90.32</v>
      </c>
      <c r="AK75" s="71">
        <v>90.32</v>
      </c>
      <c r="AL75" s="72">
        <v>65891</v>
      </c>
      <c r="AM75" s="47">
        <v>137386</v>
      </c>
      <c r="AN75" s="69">
        <v>95933</v>
      </c>
      <c r="AO75" s="47">
        <v>202342</v>
      </c>
      <c r="AP75" s="70">
        <v>68.680000000000007</v>
      </c>
      <c r="AQ75" s="71">
        <v>67.900000000000006</v>
      </c>
      <c r="AR75" s="72">
        <v>111361</v>
      </c>
      <c r="AS75" s="47">
        <v>227747</v>
      </c>
      <c r="AT75" s="69">
        <v>144730</v>
      </c>
      <c r="AU75" s="47">
        <v>299276</v>
      </c>
      <c r="AV75" s="70">
        <v>76.94</v>
      </c>
      <c r="AW75" s="71">
        <v>76.099999999999994</v>
      </c>
      <c r="AX75" s="50"/>
      <c r="AY75" s="50"/>
      <c r="AZ75" s="50"/>
      <c r="BA75" s="50"/>
      <c r="BB75" s="50"/>
      <c r="BC75" s="50"/>
      <c r="BD75" s="75">
        <v>70.94</v>
      </c>
      <c r="BE75" s="75">
        <v>73.08</v>
      </c>
      <c r="BF75" s="50"/>
      <c r="BG75" s="76">
        <v>65891</v>
      </c>
      <c r="BH75" s="76" t="s">
        <v>65</v>
      </c>
      <c r="BI75" s="50"/>
      <c r="BJ75" s="76">
        <v>95933</v>
      </c>
      <c r="BK75" s="76" t="s">
        <v>65</v>
      </c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</row>
    <row r="76" spans="1:91" ht="14.25" customHeight="1" x14ac:dyDescent="0.35">
      <c r="A76" s="67" t="s">
        <v>6</v>
      </c>
      <c r="B76" s="68">
        <v>27320</v>
      </c>
      <c r="C76" s="47">
        <v>116329</v>
      </c>
      <c r="D76" s="69">
        <v>45424</v>
      </c>
      <c r="E76" s="47">
        <v>193287</v>
      </c>
      <c r="F76" s="70">
        <v>60.14</v>
      </c>
      <c r="G76" s="71">
        <v>60.18</v>
      </c>
      <c r="H76" s="101"/>
      <c r="I76" s="47">
        <v>0</v>
      </c>
      <c r="J76" s="102"/>
      <c r="K76" s="47">
        <v>0</v>
      </c>
      <c r="L76" s="70">
        <v>0</v>
      </c>
      <c r="M76" s="71">
        <v>0</v>
      </c>
      <c r="N76" s="72">
        <v>27320</v>
      </c>
      <c r="O76" s="47">
        <v>116329</v>
      </c>
      <c r="P76" s="69">
        <v>45424</v>
      </c>
      <c r="Q76" s="47">
        <v>193287</v>
      </c>
      <c r="R76" s="70">
        <v>60.14</v>
      </c>
      <c r="S76" s="71">
        <v>60.18</v>
      </c>
      <c r="T76" s="72">
        <v>0</v>
      </c>
      <c r="U76" s="47">
        <v>0</v>
      </c>
      <c r="V76" s="69">
        <v>0</v>
      </c>
      <c r="W76" s="47">
        <v>0</v>
      </c>
      <c r="X76" s="70">
        <v>0</v>
      </c>
      <c r="Y76" s="71">
        <v>0</v>
      </c>
      <c r="Z76" s="72">
        <v>6427</v>
      </c>
      <c r="AA76" s="47">
        <v>27868</v>
      </c>
      <c r="AB76" s="69">
        <v>7391</v>
      </c>
      <c r="AC76" s="47">
        <v>32047</v>
      </c>
      <c r="AD76" s="70">
        <v>86.96</v>
      </c>
      <c r="AE76" s="71">
        <v>86.96</v>
      </c>
      <c r="AF76" s="72">
        <v>8074</v>
      </c>
      <c r="AG76" s="47">
        <v>35009</v>
      </c>
      <c r="AH76" s="69">
        <v>8939</v>
      </c>
      <c r="AI76" s="47">
        <v>38761</v>
      </c>
      <c r="AJ76" s="70">
        <v>90.32</v>
      </c>
      <c r="AK76" s="71">
        <v>90.32</v>
      </c>
      <c r="AL76" s="72">
        <v>41820</v>
      </c>
      <c r="AM76" s="47">
        <v>179206</v>
      </c>
      <c r="AN76" s="69">
        <v>61754</v>
      </c>
      <c r="AO76" s="47">
        <v>264095</v>
      </c>
      <c r="AP76" s="70">
        <v>67.72</v>
      </c>
      <c r="AQ76" s="71">
        <v>67.86</v>
      </c>
      <c r="AR76" s="72">
        <v>82102</v>
      </c>
      <c r="AS76" s="47">
        <v>309849</v>
      </c>
      <c r="AT76" s="69">
        <v>104627</v>
      </c>
      <c r="AU76" s="47">
        <v>403903</v>
      </c>
      <c r="AV76" s="70">
        <v>78.47</v>
      </c>
      <c r="AW76" s="71">
        <v>76.709999999999994</v>
      </c>
      <c r="AX76" s="50"/>
      <c r="AY76" s="50"/>
      <c r="AZ76" s="50"/>
      <c r="BA76" s="50"/>
      <c r="BB76" s="50"/>
      <c r="BC76" s="50"/>
      <c r="BD76" s="75">
        <v>73.56</v>
      </c>
      <c r="BE76" s="75">
        <v>73.19</v>
      </c>
      <c r="BF76" s="50"/>
      <c r="BG76" s="76">
        <v>41820</v>
      </c>
      <c r="BH76" s="76" t="s">
        <v>65</v>
      </c>
      <c r="BI76" s="50"/>
      <c r="BJ76" s="76">
        <v>61754</v>
      </c>
      <c r="BK76" s="76" t="s">
        <v>65</v>
      </c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</row>
    <row r="77" spans="1:91" ht="14.25" customHeight="1" x14ac:dyDescent="0.35">
      <c r="A77" s="67" t="s">
        <v>7</v>
      </c>
      <c r="B77" s="68">
        <v>44150</v>
      </c>
      <c r="C77" s="47">
        <v>160479</v>
      </c>
      <c r="D77" s="69">
        <v>72814</v>
      </c>
      <c r="E77" s="47">
        <v>266101</v>
      </c>
      <c r="F77" s="70">
        <v>60.63</v>
      </c>
      <c r="G77" s="71">
        <v>60.31</v>
      </c>
      <c r="H77" s="101"/>
      <c r="I77" s="47">
        <v>0</v>
      </c>
      <c r="J77" s="102"/>
      <c r="K77" s="47">
        <v>0</v>
      </c>
      <c r="L77" s="70">
        <v>0</v>
      </c>
      <c r="M77" s="71">
        <v>0</v>
      </c>
      <c r="N77" s="72">
        <v>44150</v>
      </c>
      <c r="O77" s="47">
        <v>160479</v>
      </c>
      <c r="P77" s="69">
        <v>72814</v>
      </c>
      <c r="Q77" s="47">
        <v>266101</v>
      </c>
      <c r="R77" s="70">
        <v>60.63</v>
      </c>
      <c r="S77" s="71">
        <v>60.31</v>
      </c>
      <c r="T77" s="72">
        <v>0</v>
      </c>
      <c r="U77" s="47">
        <v>0</v>
      </c>
      <c r="V77" s="69">
        <v>0</v>
      </c>
      <c r="W77" s="47">
        <v>0</v>
      </c>
      <c r="X77" s="70">
        <v>0</v>
      </c>
      <c r="Y77" s="71">
        <v>0</v>
      </c>
      <c r="Z77" s="72">
        <v>13646</v>
      </c>
      <c r="AA77" s="47">
        <v>41514</v>
      </c>
      <c r="AB77" s="69">
        <v>15693</v>
      </c>
      <c r="AC77" s="47">
        <v>47740</v>
      </c>
      <c r="AD77" s="70">
        <v>86.96</v>
      </c>
      <c r="AE77" s="71">
        <v>86.96</v>
      </c>
      <c r="AF77" s="72">
        <v>15748</v>
      </c>
      <c r="AG77" s="47">
        <v>50757</v>
      </c>
      <c r="AH77" s="69">
        <v>17436</v>
      </c>
      <c r="AI77" s="47">
        <v>56197</v>
      </c>
      <c r="AJ77" s="70">
        <v>90.32</v>
      </c>
      <c r="AK77" s="71">
        <v>90.32</v>
      </c>
      <c r="AL77" s="72">
        <v>73544</v>
      </c>
      <c r="AM77" s="47">
        <v>252750</v>
      </c>
      <c r="AN77" s="69">
        <v>105942</v>
      </c>
      <c r="AO77" s="47">
        <v>370037</v>
      </c>
      <c r="AP77" s="70">
        <v>69.42</v>
      </c>
      <c r="AQ77" s="71">
        <v>68.3</v>
      </c>
      <c r="AR77" s="72">
        <v>121772</v>
      </c>
      <c r="AS77" s="47">
        <v>431622</v>
      </c>
      <c r="AT77" s="69">
        <v>157916</v>
      </c>
      <c r="AU77" s="47">
        <v>561820</v>
      </c>
      <c r="AV77" s="70">
        <v>77.11</v>
      </c>
      <c r="AW77" s="71">
        <v>76.83</v>
      </c>
      <c r="AX77" s="50"/>
      <c r="AY77" s="50"/>
      <c r="AZ77" s="50"/>
      <c r="BA77" s="50"/>
      <c r="BB77" s="50"/>
      <c r="BC77" s="50"/>
      <c r="BD77" s="75">
        <v>68.73</v>
      </c>
      <c r="BE77" s="75">
        <v>71.91</v>
      </c>
      <c r="BF77" s="50"/>
      <c r="BG77" s="76">
        <v>73544</v>
      </c>
      <c r="BH77" s="76" t="s">
        <v>65</v>
      </c>
      <c r="BI77" s="50"/>
      <c r="BJ77" s="76">
        <v>105942</v>
      </c>
      <c r="BK77" s="76" t="s">
        <v>65</v>
      </c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</row>
    <row r="78" spans="1:91" ht="14.25" customHeight="1" x14ac:dyDescent="0.35">
      <c r="A78" s="67" t="s">
        <v>8</v>
      </c>
      <c r="B78" s="68">
        <v>59874</v>
      </c>
      <c r="C78" s="47">
        <v>220353</v>
      </c>
      <c r="D78" s="69">
        <v>98894</v>
      </c>
      <c r="E78" s="47">
        <v>364995</v>
      </c>
      <c r="F78" s="70">
        <v>60.54</v>
      </c>
      <c r="G78" s="71">
        <v>60.37</v>
      </c>
      <c r="H78" s="101"/>
      <c r="I78" s="47">
        <v>0</v>
      </c>
      <c r="J78" s="102"/>
      <c r="K78" s="47">
        <v>0</v>
      </c>
      <c r="L78" s="70">
        <v>0</v>
      </c>
      <c r="M78" s="71">
        <v>0</v>
      </c>
      <c r="N78" s="72">
        <v>59874</v>
      </c>
      <c r="O78" s="47">
        <v>220353</v>
      </c>
      <c r="P78" s="69">
        <v>98894</v>
      </c>
      <c r="Q78" s="47">
        <v>364995</v>
      </c>
      <c r="R78" s="70">
        <v>60.54</v>
      </c>
      <c r="S78" s="71">
        <v>60.37</v>
      </c>
      <c r="T78" s="72">
        <v>0</v>
      </c>
      <c r="U78" s="47">
        <v>0</v>
      </c>
      <c r="V78" s="69">
        <v>0</v>
      </c>
      <c r="W78" s="47">
        <v>0</v>
      </c>
      <c r="X78" s="70">
        <v>0</v>
      </c>
      <c r="Y78" s="71">
        <v>0</v>
      </c>
      <c r="Z78" s="72">
        <v>18573</v>
      </c>
      <c r="AA78" s="47">
        <v>60087</v>
      </c>
      <c r="AB78" s="69">
        <v>21358</v>
      </c>
      <c r="AC78" s="47">
        <v>69098</v>
      </c>
      <c r="AD78" s="70">
        <v>86.96</v>
      </c>
      <c r="AE78" s="71">
        <v>86.96</v>
      </c>
      <c r="AF78" s="72">
        <v>20551</v>
      </c>
      <c r="AG78" s="47">
        <v>71308</v>
      </c>
      <c r="AH78" s="69">
        <v>22754</v>
      </c>
      <c r="AI78" s="47">
        <v>78951</v>
      </c>
      <c r="AJ78" s="70">
        <v>90.32</v>
      </c>
      <c r="AK78" s="71">
        <v>90.32</v>
      </c>
      <c r="AL78" s="72">
        <v>98998</v>
      </c>
      <c r="AM78" s="47">
        <v>351748</v>
      </c>
      <c r="AN78" s="69">
        <v>143006</v>
      </c>
      <c r="AO78" s="47">
        <v>513043</v>
      </c>
      <c r="AP78" s="70">
        <v>69.23</v>
      </c>
      <c r="AQ78" s="71">
        <v>68.56</v>
      </c>
      <c r="AR78" s="72">
        <v>120684</v>
      </c>
      <c r="AS78" s="47">
        <v>552306</v>
      </c>
      <c r="AT78" s="69">
        <v>167719</v>
      </c>
      <c r="AU78" s="47">
        <v>729539</v>
      </c>
      <c r="AV78" s="70">
        <v>71.959999999999994</v>
      </c>
      <c r="AW78" s="71">
        <v>75.709999999999994</v>
      </c>
      <c r="AX78" s="50"/>
      <c r="AY78" s="50"/>
      <c r="AZ78" s="50"/>
      <c r="BA78" s="50"/>
      <c r="BB78" s="50"/>
      <c r="BC78" s="50"/>
      <c r="BD78" s="75">
        <v>69.150000000000006</v>
      </c>
      <c r="BE78" s="75">
        <v>71.14</v>
      </c>
      <c r="BF78" s="50"/>
      <c r="BG78" s="76">
        <v>98998</v>
      </c>
      <c r="BH78" s="76" t="s">
        <v>65</v>
      </c>
      <c r="BI78" s="50"/>
      <c r="BJ78" s="76">
        <v>143006</v>
      </c>
      <c r="BK78" s="76" t="s">
        <v>65</v>
      </c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</row>
    <row r="79" spans="1:91" ht="14.25" customHeight="1" x14ac:dyDescent="0.35">
      <c r="A79" s="67" t="s">
        <v>9</v>
      </c>
      <c r="B79" s="68">
        <v>53956</v>
      </c>
      <c r="C79" s="47">
        <v>274308</v>
      </c>
      <c r="D79" s="69">
        <v>88094</v>
      </c>
      <c r="E79" s="47">
        <v>453089</v>
      </c>
      <c r="F79" s="70">
        <v>61.25</v>
      </c>
      <c r="G79" s="71">
        <v>60.54</v>
      </c>
      <c r="H79" s="101"/>
      <c r="I79" s="47">
        <v>0</v>
      </c>
      <c r="J79" s="102"/>
      <c r="K79" s="47">
        <v>0</v>
      </c>
      <c r="L79" s="70">
        <v>0</v>
      </c>
      <c r="M79" s="71">
        <v>0</v>
      </c>
      <c r="N79" s="72">
        <v>53956</v>
      </c>
      <c r="O79" s="47">
        <v>274308</v>
      </c>
      <c r="P79" s="69">
        <v>88094</v>
      </c>
      <c r="Q79" s="47">
        <v>453089</v>
      </c>
      <c r="R79" s="70">
        <v>61.25</v>
      </c>
      <c r="S79" s="71">
        <v>60.54</v>
      </c>
      <c r="T79" s="72">
        <v>0</v>
      </c>
      <c r="U79" s="47">
        <v>0</v>
      </c>
      <c r="V79" s="69">
        <v>0</v>
      </c>
      <c r="W79" s="47">
        <v>0</v>
      </c>
      <c r="X79" s="70">
        <v>0</v>
      </c>
      <c r="Y79" s="71">
        <v>0</v>
      </c>
      <c r="Z79" s="72">
        <v>21141</v>
      </c>
      <c r="AA79" s="47">
        <v>81228</v>
      </c>
      <c r="AB79" s="69">
        <v>24311</v>
      </c>
      <c r="AC79" s="47">
        <v>93409</v>
      </c>
      <c r="AD79" s="70">
        <v>86.96</v>
      </c>
      <c r="AE79" s="71">
        <v>86.96</v>
      </c>
      <c r="AF79" s="72">
        <v>23374</v>
      </c>
      <c r="AG79" s="47">
        <v>94683</v>
      </c>
      <c r="AH79" s="69">
        <v>25880</v>
      </c>
      <c r="AI79" s="47">
        <v>104830</v>
      </c>
      <c r="AJ79" s="70">
        <v>90.32</v>
      </c>
      <c r="AK79" s="71">
        <v>90.32</v>
      </c>
      <c r="AL79" s="72">
        <v>98471</v>
      </c>
      <c r="AM79" s="47">
        <v>450219</v>
      </c>
      <c r="AN79" s="69">
        <v>138284</v>
      </c>
      <c r="AO79" s="47">
        <v>651328</v>
      </c>
      <c r="AP79" s="70">
        <v>71.209999999999994</v>
      </c>
      <c r="AQ79" s="71">
        <v>69.12</v>
      </c>
      <c r="AR79" s="72">
        <v>122758</v>
      </c>
      <c r="AS79" s="47">
        <v>675064</v>
      </c>
      <c r="AT79" s="69">
        <v>165999</v>
      </c>
      <c r="AU79" s="47">
        <v>895538</v>
      </c>
      <c r="AV79" s="70">
        <v>73.95</v>
      </c>
      <c r="AW79" s="71">
        <v>75.38</v>
      </c>
      <c r="AX79" s="50"/>
      <c r="AY79" s="50"/>
      <c r="AZ79" s="50"/>
      <c r="BA79" s="50"/>
      <c r="BB79" s="50"/>
      <c r="BC79" s="50"/>
      <c r="BD79" s="75">
        <v>63.7</v>
      </c>
      <c r="BE79" s="75">
        <v>69.56</v>
      </c>
      <c r="BF79" s="50"/>
      <c r="BG79" s="76">
        <v>98471</v>
      </c>
      <c r="BH79" s="76" t="s">
        <v>65</v>
      </c>
      <c r="BI79" s="50"/>
      <c r="BJ79" s="76">
        <v>138284</v>
      </c>
      <c r="BK79" s="76" t="s">
        <v>65</v>
      </c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</row>
    <row r="80" spans="1:91" ht="14.25" customHeight="1" x14ac:dyDescent="0.35">
      <c r="A80" s="67" t="s">
        <v>10</v>
      </c>
      <c r="B80" s="68">
        <v>54303</v>
      </c>
      <c r="C80" s="47">
        <v>328612</v>
      </c>
      <c r="D80" s="69">
        <v>88178</v>
      </c>
      <c r="E80" s="47">
        <v>541267</v>
      </c>
      <c r="F80" s="70">
        <v>61.58</v>
      </c>
      <c r="G80" s="71">
        <v>60.71</v>
      </c>
      <c r="H80" s="101"/>
      <c r="I80" s="47">
        <v>0</v>
      </c>
      <c r="J80" s="102"/>
      <c r="K80" s="47">
        <v>0</v>
      </c>
      <c r="L80" s="70">
        <v>0</v>
      </c>
      <c r="M80" s="71">
        <v>0</v>
      </c>
      <c r="N80" s="72">
        <v>54303</v>
      </c>
      <c r="O80" s="47">
        <v>328612</v>
      </c>
      <c r="P80" s="69">
        <v>88178</v>
      </c>
      <c r="Q80" s="47">
        <v>541267</v>
      </c>
      <c r="R80" s="70">
        <v>61.58</v>
      </c>
      <c r="S80" s="71">
        <v>60.71</v>
      </c>
      <c r="T80" s="72">
        <v>0</v>
      </c>
      <c r="U80" s="47">
        <v>0</v>
      </c>
      <c r="V80" s="69">
        <v>0</v>
      </c>
      <c r="W80" s="47">
        <v>0</v>
      </c>
      <c r="X80" s="70">
        <v>0</v>
      </c>
      <c r="Y80" s="71">
        <v>0</v>
      </c>
      <c r="Z80" s="72">
        <v>26948</v>
      </c>
      <c r="AA80" s="47">
        <v>108176</v>
      </c>
      <c r="AB80" s="69">
        <v>30989</v>
      </c>
      <c r="AC80" s="47">
        <v>124398</v>
      </c>
      <c r="AD80" s="70">
        <v>86.96</v>
      </c>
      <c r="AE80" s="71">
        <v>86.96</v>
      </c>
      <c r="AF80" s="72">
        <v>25257</v>
      </c>
      <c r="AG80" s="47">
        <v>119940</v>
      </c>
      <c r="AH80" s="69">
        <v>27964</v>
      </c>
      <c r="AI80" s="47">
        <v>132794</v>
      </c>
      <c r="AJ80" s="70">
        <v>90.32</v>
      </c>
      <c r="AK80" s="71">
        <v>90.32</v>
      </c>
      <c r="AL80" s="72">
        <v>106509</v>
      </c>
      <c r="AM80" s="47">
        <v>556728</v>
      </c>
      <c r="AN80" s="69">
        <v>147131</v>
      </c>
      <c r="AO80" s="47">
        <v>798459</v>
      </c>
      <c r="AP80" s="70">
        <v>72.39</v>
      </c>
      <c r="AQ80" s="71">
        <v>69.73</v>
      </c>
      <c r="AR80" s="72">
        <v>142608</v>
      </c>
      <c r="AS80" s="47">
        <v>817672</v>
      </c>
      <c r="AT80" s="69">
        <v>190614</v>
      </c>
      <c r="AU80" s="47">
        <v>1086152</v>
      </c>
      <c r="AV80" s="70">
        <v>74.81</v>
      </c>
      <c r="AW80" s="71">
        <v>75.28</v>
      </c>
      <c r="AX80" s="50"/>
      <c r="AY80" s="50"/>
      <c r="AZ80" s="50"/>
      <c r="BA80" s="50"/>
      <c r="BB80" s="50"/>
      <c r="BC80" s="50"/>
      <c r="BD80" s="75">
        <v>59.93</v>
      </c>
      <c r="BE80" s="75">
        <v>67.790000000000006</v>
      </c>
      <c r="BF80" s="50"/>
      <c r="BG80" s="76">
        <v>106509</v>
      </c>
      <c r="BH80" s="76" t="s">
        <v>65</v>
      </c>
      <c r="BI80" s="50"/>
      <c r="BJ80" s="76">
        <v>147131</v>
      </c>
      <c r="BK80" s="76" t="s">
        <v>65</v>
      </c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</row>
    <row r="81" spans="1:91" ht="14.25" customHeight="1" x14ac:dyDescent="0.35">
      <c r="A81" s="67" t="s">
        <v>11</v>
      </c>
      <c r="B81" s="68">
        <v>57545</v>
      </c>
      <c r="C81" s="47">
        <v>386157</v>
      </c>
      <c r="D81" s="69">
        <v>94881</v>
      </c>
      <c r="E81" s="47">
        <v>636148</v>
      </c>
      <c r="F81" s="70">
        <v>60.65</v>
      </c>
      <c r="G81" s="71">
        <v>60.7</v>
      </c>
      <c r="H81" s="101"/>
      <c r="I81" s="47">
        <v>0</v>
      </c>
      <c r="J81" s="102"/>
      <c r="K81" s="47">
        <v>0</v>
      </c>
      <c r="L81" s="70">
        <v>0</v>
      </c>
      <c r="M81" s="71">
        <v>0</v>
      </c>
      <c r="N81" s="72">
        <v>57545</v>
      </c>
      <c r="O81" s="47">
        <v>386157</v>
      </c>
      <c r="P81" s="69">
        <v>94881</v>
      </c>
      <c r="Q81" s="47">
        <v>636148</v>
      </c>
      <c r="R81" s="70">
        <v>60.65</v>
      </c>
      <c r="S81" s="71">
        <v>60.7</v>
      </c>
      <c r="T81" s="72">
        <v>0</v>
      </c>
      <c r="U81" s="47">
        <v>0</v>
      </c>
      <c r="V81" s="69">
        <v>0</v>
      </c>
      <c r="W81" s="47">
        <v>0</v>
      </c>
      <c r="X81" s="70">
        <v>0</v>
      </c>
      <c r="Y81" s="71">
        <v>0</v>
      </c>
      <c r="Z81" s="72">
        <v>18550</v>
      </c>
      <c r="AA81" s="47">
        <v>126726</v>
      </c>
      <c r="AB81" s="69">
        <v>21331</v>
      </c>
      <c r="AC81" s="47">
        <v>145729</v>
      </c>
      <c r="AD81" s="70">
        <v>86.96</v>
      </c>
      <c r="AE81" s="71">
        <v>86.96</v>
      </c>
      <c r="AF81" s="72">
        <v>20547</v>
      </c>
      <c r="AG81" s="47">
        <v>140487</v>
      </c>
      <c r="AH81" s="69">
        <v>22749</v>
      </c>
      <c r="AI81" s="47">
        <v>155543</v>
      </c>
      <c r="AJ81" s="70">
        <v>90.32</v>
      </c>
      <c r="AK81" s="71">
        <v>90.32</v>
      </c>
      <c r="AL81" s="72">
        <v>96642</v>
      </c>
      <c r="AM81" s="47">
        <v>653370</v>
      </c>
      <c r="AN81" s="69">
        <v>138961</v>
      </c>
      <c r="AO81" s="47">
        <v>937420</v>
      </c>
      <c r="AP81" s="70">
        <v>69.55</v>
      </c>
      <c r="AQ81" s="71">
        <v>69.7</v>
      </c>
      <c r="AR81" s="72">
        <v>118304</v>
      </c>
      <c r="AS81" s="47">
        <v>935975</v>
      </c>
      <c r="AT81" s="69">
        <v>163646</v>
      </c>
      <c r="AU81" s="47">
        <v>1249799</v>
      </c>
      <c r="AV81" s="70">
        <v>72.290000000000006</v>
      </c>
      <c r="AW81" s="71">
        <v>74.89</v>
      </c>
      <c r="AX81" s="50"/>
      <c r="AY81" s="50"/>
      <c r="AZ81" s="50"/>
      <c r="BA81" s="50"/>
      <c r="BB81" s="50"/>
      <c r="BC81" s="50"/>
      <c r="BD81" s="75">
        <v>68.28</v>
      </c>
      <c r="BE81" s="75">
        <v>67.86</v>
      </c>
      <c r="BF81" s="50"/>
      <c r="BG81" s="76">
        <v>96642</v>
      </c>
      <c r="BH81" s="76" t="s">
        <v>65</v>
      </c>
      <c r="BI81" s="50"/>
      <c r="BJ81" s="76">
        <v>138961</v>
      </c>
      <c r="BK81" s="76" t="s">
        <v>65</v>
      </c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</row>
    <row r="82" spans="1:91" ht="14.25" customHeight="1" x14ac:dyDescent="0.35">
      <c r="A82" s="67" t="s">
        <v>12</v>
      </c>
      <c r="B82" s="68">
        <v>56211</v>
      </c>
      <c r="C82" s="47">
        <v>442368</v>
      </c>
      <c r="D82" s="69">
        <v>92510</v>
      </c>
      <c r="E82" s="47">
        <v>728658</v>
      </c>
      <c r="F82" s="70">
        <v>60.76</v>
      </c>
      <c r="G82" s="71">
        <v>60.71</v>
      </c>
      <c r="H82" s="101"/>
      <c r="I82" s="47">
        <v>0</v>
      </c>
      <c r="J82" s="102"/>
      <c r="K82" s="47">
        <v>0</v>
      </c>
      <c r="L82" s="70">
        <v>0</v>
      </c>
      <c r="M82" s="71">
        <v>0</v>
      </c>
      <c r="N82" s="72">
        <v>56211</v>
      </c>
      <c r="O82" s="47">
        <v>442368</v>
      </c>
      <c r="P82" s="69">
        <v>92510</v>
      </c>
      <c r="Q82" s="47">
        <v>728658</v>
      </c>
      <c r="R82" s="70">
        <v>60.76</v>
      </c>
      <c r="S82" s="71">
        <v>60.71</v>
      </c>
      <c r="T82" s="72">
        <v>0</v>
      </c>
      <c r="U82" s="47">
        <v>0</v>
      </c>
      <c r="V82" s="69">
        <v>0</v>
      </c>
      <c r="W82" s="47">
        <v>0</v>
      </c>
      <c r="X82" s="70">
        <v>0</v>
      </c>
      <c r="Y82" s="71">
        <v>0</v>
      </c>
      <c r="Z82" s="72">
        <v>20950</v>
      </c>
      <c r="AA82" s="47">
        <v>147676</v>
      </c>
      <c r="AB82" s="69">
        <v>24091</v>
      </c>
      <c r="AC82" s="47">
        <v>169820</v>
      </c>
      <c r="AD82" s="70">
        <v>86.96</v>
      </c>
      <c r="AE82" s="71">
        <v>86.96</v>
      </c>
      <c r="AF82" s="72">
        <v>20550</v>
      </c>
      <c r="AG82" s="47">
        <v>161037</v>
      </c>
      <c r="AH82" s="69">
        <v>22753</v>
      </c>
      <c r="AI82" s="47">
        <v>178296</v>
      </c>
      <c r="AJ82" s="70">
        <v>90.32</v>
      </c>
      <c r="AK82" s="71">
        <v>90.32</v>
      </c>
      <c r="AL82" s="72">
        <v>97711</v>
      </c>
      <c r="AM82" s="47">
        <v>751081</v>
      </c>
      <c r="AN82" s="69">
        <v>139354</v>
      </c>
      <c r="AO82" s="47">
        <v>1076774</v>
      </c>
      <c r="AP82" s="70">
        <v>70.12</v>
      </c>
      <c r="AQ82" s="71">
        <v>69.75</v>
      </c>
      <c r="AR82" s="72">
        <v>156241</v>
      </c>
      <c r="AS82" s="47">
        <v>1092216</v>
      </c>
      <c r="AT82" s="69">
        <v>202904</v>
      </c>
      <c r="AU82" s="47">
        <v>1452703</v>
      </c>
      <c r="AV82" s="70">
        <v>77</v>
      </c>
      <c r="AW82" s="71">
        <v>75.19</v>
      </c>
      <c r="AX82" s="50"/>
      <c r="AY82" s="50"/>
      <c r="AZ82" s="50"/>
      <c r="BA82" s="50"/>
      <c r="BB82" s="50"/>
      <c r="BC82" s="50"/>
      <c r="BD82" s="75">
        <v>66.38</v>
      </c>
      <c r="BE82" s="75">
        <v>67.67</v>
      </c>
      <c r="BF82" s="50"/>
      <c r="BG82" s="76">
        <v>97711</v>
      </c>
      <c r="BH82" s="76" t="s">
        <v>65</v>
      </c>
      <c r="BI82" s="50"/>
      <c r="BJ82" s="76">
        <v>139354</v>
      </c>
      <c r="BK82" s="76" t="s">
        <v>65</v>
      </c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</row>
    <row r="83" spans="1:91" ht="14.25" customHeight="1" x14ac:dyDescent="0.35">
      <c r="A83" s="67" t="s">
        <v>13</v>
      </c>
      <c r="B83" s="68">
        <v>50501</v>
      </c>
      <c r="C83" s="47">
        <v>492869</v>
      </c>
      <c r="D83" s="69">
        <v>81203</v>
      </c>
      <c r="E83" s="47">
        <v>809861</v>
      </c>
      <c r="F83" s="70">
        <v>62.19</v>
      </c>
      <c r="G83" s="71">
        <v>60.86</v>
      </c>
      <c r="H83" s="101"/>
      <c r="I83" s="47">
        <v>0</v>
      </c>
      <c r="J83" s="102"/>
      <c r="K83" s="47">
        <v>0</v>
      </c>
      <c r="L83" s="70">
        <v>0</v>
      </c>
      <c r="M83" s="71">
        <v>0</v>
      </c>
      <c r="N83" s="72">
        <v>50501</v>
      </c>
      <c r="O83" s="47">
        <v>492869</v>
      </c>
      <c r="P83" s="69">
        <v>81203</v>
      </c>
      <c r="Q83" s="47">
        <v>809861</v>
      </c>
      <c r="R83" s="70">
        <v>62.19</v>
      </c>
      <c r="S83" s="71">
        <v>60.86</v>
      </c>
      <c r="T83" s="72">
        <v>0</v>
      </c>
      <c r="U83" s="47">
        <v>0</v>
      </c>
      <c r="V83" s="69">
        <v>0</v>
      </c>
      <c r="W83" s="47">
        <v>0</v>
      </c>
      <c r="X83" s="70">
        <v>0</v>
      </c>
      <c r="Y83" s="71">
        <v>0</v>
      </c>
      <c r="Z83" s="72">
        <v>30835</v>
      </c>
      <c r="AA83" s="47">
        <v>178511</v>
      </c>
      <c r="AB83" s="69">
        <v>35459</v>
      </c>
      <c r="AC83" s="47">
        <v>205279</v>
      </c>
      <c r="AD83" s="70">
        <v>86.96</v>
      </c>
      <c r="AE83" s="71">
        <v>86.96</v>
      </c>
      <c r="AF83" s="72">
        <v>26923</v>
      </c>
      <c r="AG83" s="47">
        <v>187959</v>
      </c>
      <c r="AH83" s="69">
        <v>29808</v>
      </c>
      <c r="AI83" s="47">
        <v>208104</v>
      </c>
      <c r="AJ83" s="70">
        <v>90.32</v>
      </c>
      <c r="AK83" s="71">
        <v>90.32</v>
      </c>
      <c r="AL83" s="72">
        <v>108259</v>
      </c>
      <c r="AM83" s="47">
        <v>859340</v>
      </c>
      <c r="AN83" s="69">
        <v>146470</v>
      </c>
      <c r="AO83" s="47">
        <v>1223244</v>
      </c>
      <c r="AP83" s="70">
        <v>73.91</v>
      </c>
      <c r="AQ83" s="71">
        <v>70.25</v>
      </c>
      <c r="AR83" s="72">
        <v>187512</v>
      </c>
      <c r="AS83" s="47">
        <v>1279728</v>
      </c>
      <c r="AT83" s="69">
        <v>239397</v>
      </c>
      <c r="AU83" s="47">
        <v>1692101</v>
      </c>
      <c r="AV83" s="70">
        <v>78.33</v>
      </c>
      <c r="AW83" s="71">
        <v>75.63</v>
      </c>
      <c r="AX83" s="50"/>
      <c r="AY83" s="50"/>
      <c r="AZ83" s="50"/>
      <c r="BA83" s="50"/>
      <c r="BB83" s="50"/>
      <c r="BC83" s="50"/>
      <c r="BD83" s="75">
        <v>55.44</v>
      </c>
      <c r="BE83" s="75">
        <v>66.209999999999994</v>
      </c>
      <c r="BF83" s="50"/>
      <c r="BG83" s="76">
        <v>108259</v>
      </c>
      <c r="BH83" s="76" t="s">
        <v>65</v>
      </c>
      <c r="BI83" s="50"/>
      <c r="BJ83" s="76">
        <v>146470</v>
      </c>
      <c r="BK83" s="76" t="s">
        <v>65</v>
      </c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</row>
    <row r="84" spans="1:91" ht="14.25" customHeight="1" x14ac:dyDescent="0.35">
      <c r="A84" s="67" t="s">
        <v>14</v>
      </c>
      <c r="B84" s="68">
        <v>55436</v>
      </c>
      <c r="C84" s="47">
        <v>548306</v>
      </c>
      <c r="D84" s="69">
        <v>90604</v>
      </c>
      <c r="E84" s="47">
        <v>900464</v>
      </c>
      <c r="F84" s="70">
        <v>61.19</v>
      </c>
      <c r="G84" s="71">
        <v>60.89</v>
      </c>
      <c r="H84" s="101"/>
      <c r="I84" s="47">
        <v>0</v>
      </c>
      <c r="J84" s="102"/>
      <c r="K84" s="47">
        <v>0</v>
      </c>
      <c r="L84" s="70">
        <v>0</v>
      </c>
      <c r="M84" s="71">
        <v>0</v>
      </c>
      <c r="N84" s="72">
        <v>55436</v>
      </c>
      <c r="O84" s="47">
        <v>548306</v>
      </c>
      <c r="P84" s="69">
        <v>90604</v>
      </c>
      <c r="Q84" s="47">
        <v>900464</v>
      </c>
      <c r="R84" s="70">
        <v>61.19</v>
      </c>
      <c r="S84" s="71">
        <v>60.89</v>
      </c>
      <c r="T84" s="72">
        <v>0</v>
      </c>
      <c r="U84" s="47">
        <v>0</v>
      </c>
      <c r="V84" s="69">
        <v>0</v>
      </c>
      <c r="W84" s="47">
        <v>0</v>
      </c>
      <c r="X84" s="70">
        <v>0</v>
      </c>
      <c r="Y84" s="71">
        <v>0</v>
      </c>
      <c r="Z84" s="72">
        <v>25266</v>
      </c>
      <c r="AA84" s="47">
        <v>203776</v>
      </c>
      <c r="AB84" s="69">
        <v>29054</v>
      </c>
      <c r="AC84" s="47">
        <v>234334</v>
      </c>
      <c r="AD84" s="70">
        <v>86.96</v>
      </c>
      <c r="AE84" s="71">
        <v>86.96</v>
      </c>
      <c r="AF84" s="72">
        <v>22965</v>
      </c>
      <c r="AG84" s="47">
        <v>210925</v>
      </c>
      <c r="AH84" s="69">
        <v>25427</v>
      </c>
      <c r="AI84" s="47">
        <v>233530</v>
      </c>
      <c r="AJ84" s="70">
        <v>90.32</v>
      </c>
      <c r="AK84" s="71">
        <v>90.32</v>
      </c>
      <c r="AL84" s="72">
        <v>103667</v>
      </c>
      <c r="AM84" s="47">
        <v>963007</v>
      </c>
      <c r="AN84" s="69">
        <v>145085</v>
      </c>
      <c r="AO84" s="47">
        <v>1368328</v>
      </c>
      <c r="AP84" s="70">
        <v>71.45</v>
      </c>
      <c r="AQ84" s="71">
        <v>70.38</v>
      </c>
      <c r="AR84" s="72">
        <v>167272</v>
      </c>
      <c r="AS84" s="47">
        <v>1447001</v>
      </c>
      <c r="AT84" s="69">
        <v>214415</v>
      </c>
      <c r="AU84" s="47">
        <v>1906515</v>
      </c>
      <c r="AV84" s="70">
        <v>78.010000000000005</v>
      </c>
      <c r="AW84" s="71">
        <v>75.900000000000006</v>
      </c>
      <c r="AX84" s="50"/>
      <c r="AY84" s="50"/>
      <c r="AZ84" s="50"/>
      <c r="BA84" s="50"/>
      <c r="BB84" s="50"/>
      <c r="BC84" s="50"/>
      <c r="BD84" s="75">
        <v>62.45</v>
      </c>
      <c r="BE84" s="75">
        <v>65.81</v>
      </c>
      <c r="BF84" s="50"/>
      <c r="BG84" s="76">
        <v>103667</v>
      </c>
      <c r="BH84" s="76" t="s">
        <v>65</v>
      </c>
      <c r="BI84" s="50"/>
      <c r="BJ84" s="76">
        <v>145085</v>
      </c>
      <c r="BK84" s="76" t="s">
        <v>65</v>
      </c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</row>
    <row r="85" spans="1:91" ht="14.25" customHeight="1" x14ac:dyDescent="0.35">
      <c r="A85" s="67" t="s">
        <v>15</v>
      </c>
      <c r="B85" s="77">
        <v>50271</v>
      </c>
      <c r="C85" s="78">
        <v>598576</v>
      </c>
      <c r="D85" s="79">
        <v>82233</v>
      </c>
      <c r="E85" s="78">
        <v>982698</v>
      </c>
      <c r="F85" s="80">
        <v>61.13</v>
      </c>
      <c r="G85" s="81">
        <v>60.91</v>
      </c>
      <c r="H85" s="103"/>
      <c r="I85" s="78">
        <v>0</v>
      </c>
      <c r="J85" s="104"/>
      <c r="K85" s="78">
        <v>0</v>
      </c>
      <c r="L85" s="80">
        <v>0</v>
      </c>
      <c r="M85" s="81">
        <v>0</v>
      </c>
      <c r="N85" s="82">
        <v>50271</v>
      </c>
      <c r="O85" s="78">
        <v>598576</v>
      </c>
      <c r="P85" s="79">
        <v>82233</v>
      </c>
      <c r="Q85" s="78">
        <v>982698</v>
      </c>
      <c r="R85" s="80">
        <v>61.13</v>
      </c>
      <c r="S85" s="81">
        <v>60.91</v>
      </c>
      <c r="T85" s="82">
        <v>0</v>
      </c>
      <c r="U85" s="78">
        <v>0</v>
      </c>
      <c r="V85" s="79">
        <v>0</v>
      </c>
      <c r="W85" s="78">
        <v>0</v>
      </c>
      <c r="X85" s="80">
        <v>0</v>
      </c>
      <c r="Y85" s="81">
        <v>0</v>
      </c>
      <c r="Z85" s="82">
        <v>17424</v>
      </c>
      <c r="AA85" s="78">
        <v>221201</v>
      </c>
      <c r="AB85" s="79">
        <v>20037</v>
      </c>
      <c r="AC85" s="78">
        <v>254371</v>
      </c>
      <c r="AD85" s="80">
        <v>86.96</v>
      </c>
      <c r="AE85" s="81">
        <v>86.96</v>
      </c>
      <c r="AF85" s="82">
        <v>21287</v>
      </c>
      <c r="AG85" s="78">
        <v>232212</v>
      </c>
      <c r="AH85" s="79">
        <v>23569</v>
      </c>
      <c r="AI85" s="78">
        <v>257099</v>
      </c>
      <c r="AJ85" s="80">
        <v>90.32</v>
      </c>
      <c r="AK85" s="81">
        <v>90.32</v>
      </c>
      <c r="AL85" s="82">
        <v>88982</v>
      </c>
      <c r="AM85" s="78">
        <v>1051989</v>
      </c>
      <c r="AN85" s="79">
        <v>125839</v>
      </c>
      <c r="AO85" s="78">
        <v>1494168</v>
      </c>
      <c r="AP85" s="80">
        <v>70.709999999999994</v>
      </c>
      <c r="AQ85" s="81">
        <v>70.41</v>
      </c>
      <c r="AR85" s="82">
        <v>146423</v>
      </c>
      <c r="AS85" s="78">
        <v>1593423</v>
      </c>
      <c r="AT85" s="79">
        <v>190532</v>
      </c>
      <c r="AU85" s="78">
        <v>2097047</v>
      </c>
      <c r="AV85" s="80">
        <v>76.849999999999994</v>
      </c>
      <c r="AW85" s="81">
        <v>75.98</v>
      </c>
      <c r="AX85" s="50"/>
      <c r="AY85" s="50"/>
      <c r="AZ85" s="50"/>
      <c r="BA85" s="50"/>
      <c r="BB85" s="50"/>
      <c r="BC85" s="50"/>
      <c r="BD85" s="75">
        <v>65.349999999999994</v>
      </c>
      <c r="BE85" s="75">
        <v>65.77</v>
      </c>
      <c r="BF85" s="50"/>
      <c r="BG85" s="76">
        <v>88982</v>
      </c>
      <c r="BH85" s="76" t="s">
        <v>65</v>
      </c>
      <c r="BI85" s="50"/>
      <c r="BJ85" s="76">
        <v>125839</v>
      </c>
      <c r="BK85" s="76" t="s">
        <v>65</v>
      </c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</row>
    <row r="86" spans="1:91" ht="14.25" customHeight="1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10">
        <v>0</v>
      </c>
      <c r="S86" s="10">
        <v>0</v>
      </c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10">
        <v>0</v>
      </c>
      <c r="AQ86" s="10">
        <v>0</v>
      </c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</row>
    <row r="87" spans="1:91" ht="14.25" customHeight="1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</row>
    <row r="88" spans="1:91" ht="14.25" customHeight="1" x14ac:dyDescent="0.35">
      <c r="A88" s="56" t="s">
        <v>158</v>
      </c>
      <c r="B88" s="50"/>
      <c r="C88" s="50"/>
      <c r="D88" s="50"/>
      <c r="E88" s="50"/>
      <c r="F88" s="50"/>
      <c r="G88" s="50"/>
      <c r="H88" s="56" t="s">
        <v>116</v>
      </c>
      <c r="I88" s="50"/>
      <c r="J88" s="50"/>
      <c r="K88" s="50"/>
      <c r="L88" s="50"/>
      <c r="M88" s="50"/>
      <c r="N88" s="56" t="s">
        <v>131</v>
      </c>
      <c r="O88" s="50"/>
      <c r="P88" s="50"/>
      <c r="Q88" s="50"/>
      <c r="R88" s="50"/>
      <c r="S88" s="50"/>
      <c r="T88" s="50"/>
      <c r="U88" s="10" t="s">
        <v>101</v>
      </c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</row>
    <row r="89" spans="1:91" ht="14.25" customHeight="1" x14ac:dyDescent="0.35">
      <c r="A89" s="57" t="s">
        <v>102</v>
      </c>
      <c r="B89" s="58" t="s">
        <v>2</v>
      </c>
      <c r="C89" s="59"/>
      <c r="D89" s="58" t="s">
        <v>3</v>
      </c>
      <c r="E89" s="59"/>
      <c r="F89" s="58" t="s">
        <v>103</v>
      </c>
      <c r="G89" s="60"/>
      <c r="H89" s="61" t="s">
        <v>2</v>
      </c>
      <c r="I89" s="59"/>
      <c r="J89" s="58" t="s">
        <v>3</v>
      </c>
      <c r="K89" s="59"/>
      <c r="L89" s="58" t="s">
        <v>103</v>
      </c>
      <c r="M89" s="60"/>
      <c r="N89" s="61" t="s">
        <v>2</v>
      </c>
      <c r="O89" s="59"/>
      <c r="P89" s="58" t="s">
        <v>3</v>
      </c>
      <c r="Q89" s="59"/>
      <c r="R89" s="58" t="s">
        <v>103</v>
      </c>
      <c r="S89" s="60"/>
      <c r="T89" s="50"/>
      <c r="U89" s="50"/>
      <c r="V89" s="50"/>
      <c r="W89" s="50"/>
      <c r="X89" s="10" t="s">
        <v>104</v>
      </c>
      <c r="Y89" s="50"/>
      <c r="Z89" s="50"/>
      <c r="AA89" s="10" t="s">
        <v>105</v>
      </c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</row>
    <row r="90" spans="1:91" ht="14.25" customHeight="1" x14ac:dyDescent="0.35">
      <c r="A90" s="87" t="s">
        <v>102</v>
      </c>
      <c r="B90" s="63" t="s">
        <v>106</v>
      </c>
      <c r="C90" s="63" t="s">
        <v>107</v>
      </c>
      <c r="D90" s="63" t="s">
        <v>106</v>
      </c>
      <c r="E90" s="63" t="s">
        <v>107</v>
      </c>
      <c r="F90" s="63" t="s">
        <v>106</v>
      </c>
      <c r="G90" s="64" t="s">
        <v>107</v>
      </c>
      <c r="H90" s="65" t="s">
        <v>106</v>
      </c>
      <c r="I90" s="63" t="s">
        <v>107</v>
      </c>
      <c r="J90" s="63" t="s">
        <v>106</v>
      </c>
      <c r="K90" s="63" t="s">
        <v>107</v>
      </c>
      <c r="L90" s="63" t="s">
        <v>106</v>
      </c>
      <c r="M90" s="64" t="s">
        <v>107</v>
      </c>
      <c r="N90" s="65" t="s">
        <v>106</v>
      </c>
      <c r="O90" s="63" t="s">
        <v>107</v>
      </c>
      <c r="P90" s="63" t="s">
        <v>106</v>
      </c>
      <c r="Q90" s="63" t="s">
        <v>107</v>
      </c>
      <c r="R90" s="63" t="s">
        <v>106</v>
      </c>
      <c r="S90" s="64" t="s">
        <v>107</v>
      </c>
      <c r="T90" s="50"/>
      <c r="U90" s="66" t="s">
        <v>106</v>
      </c>
      <c r="V90" s="66" t="s">
        <v>107</v>
      </c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</row>
    <row r="91" spans="1:91" ht="14.25" customHeight="1" x14ac:dyDescent="0.35">
      <c r="A91" s="67" t="s">
        <v>4</v>
      </c>
      <c r="B91" s="68">
        <v>44878</v>
      </c>
      <c r="C91" s="47">
        <v>44878</v>
      </c>
      <c r="D91" s="69">
        <v>76715</v>
      </c>
      <c r="E91" s="47">
        <v>76715</v>
      </c>
      <c r="F91" s="70">
        <v>58.5</v>
      </c>
      <c r="G91" s="71">
        <v>58.5</v>
      </c>
      <c r="H91" s="72">
        <v>12824</v>
      </c>
      <c r="I91" s="47">
        <v>12824</v>
      </c>
      <c r="J91" s="69">
        <v>14998</v>
      </c>
      <c r="K91" s="47">
        <v>14998</v>
      </c>
      <c r="L91" s="70">
        <v>85.5</v>
      </c>
      <c r="M91" s="71">
        <v>85.5</v>
      </c>
      <c r="N91" s="72">
        <v>57702</v>
      </c>
      <c r="O91" s="47">
        <v>57702</v>
      </c>
      <c r="P91" s="69">
        <v>91713</v>
      </c>
      <c r="Q91" s="47">
        <v>91713</v>
      </c>
      <c r="R91" s="70">
        <v>62.92</v>
      </c>
      <c r="S91" s="71">
        <v>62.92</v>
      </c>
      <c r="T91" s="50"/>
      <c r="U91" s="75">
        <v>83.65</v>
      </c>
      <c r="V91" s="75">
        <v>83.65</v>
      </c>
      <c r="W91" s="50"/>
      <c r="X91" s="76">
        <v>57702</v>
      </c>
      <c r="Y91" s="76" t="s">
        <v>65</v>
      </c>
      <c r="Z91" s="51"/>
      <c r="AA91" s="76">
        <v>91713</v>
      </c>
      <c r="AB91" s="76" t="s">
        <v>65</v>
      </c>
      <c r="AC91" s="50"/>
      <c r="AD91" s="45"/>
      <c r="AE91" s="45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</row>
    <row r="92" spans="1:91" ht="14.25" customHeight="1" x14ac:dyDescent="0.35">
      <c r="A92" s="67" t="s">
        <v>5</v>
      </c>
      <c r="B92" s="68">
        <v>51719</v>
      </c>
      <c r="C92" s="47">
        <v>96597</v>
      </c>
      <c r="D92" s="69">
        <v>88408</v>
      </c>
      <c r="E92" s="47">
        <v>165124</v>
      </c>
      <c r="F92" s="70">
        <v>58.5</v>
      </c>
      <c r="G92" s="71">
        <v>58.5</v>
      </c>
      <c r="H92" s="72">
        <v>13843</v>
      </c>
      <c r="I92" s="47">
        <v>26666</v>
      </c>
      <c r="J92" s="69">
        <v>16190</v>
      </c>
      <c r="K92" s="47">
        <v>31189</v>
      </c>
      <c r="L92" s="70">
        <v>85.5</v>
      </c>
      <c r="M92" s="71">
        <v>85.5</v>
      </c>
      <c r="N92" s="72">
        <v>65562</v>
      </c>
      <c r="O92" s="47">
        <v>123264</v>
      </c>
      <c r="P92" s="69">
        <v>104599</v>
      </c>
      <c r="Q92" s="47">
        <v>196312</v>
      </c>
      <c r="R92" s="70">
        <v>62.68</v>
      </c>
      <c r="S92" s="71">
        <v>62.79</v>
      </c>
      <c r="T92" s="50"/>
      <c r="U92" s="75">
        <v>84.52</v>
      </c>
      <c r="V92" s="75">
        <v>84.11</v>
      </c>
      <c r="W92" s="50"/>
      <c r="X92" s="76">
        <v>65562</v>
      </c>
      <c r="Y92" s="76" t="s">
        <v>65</v>
      </c>
      <c r="Z92" s="51"/>
      <c r="AA92" s="76">
        <v>104599</v>
      </c>
      <c r="AB92" s="76" t="s">
        <v>65</v>
      </c>
      <c r="AC92" s="50"/>
      <c r="AD92" s="45"/>
      <c r="AE92" s="45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</row>
    <row r="93" spans="1:91" ht="14.25" customHeight="1" x14ac:dyDescent="0.35">
      <c r="A93" s="67" t="s">
        <v>6</v>
      </c>
      <c r="B93" s="68">
        <v>30459</v>
      </c>
      <c r="C93" s="47">
        <v>127056</v>
      </c>
      <c r="D93" s="69">
        <v>52066</v>
      </c>
      <c r="E93" s="47">
        <v>217190</v>
      </c>
      <c r="F93" s="70">
        <v>58.5</v>
      </c>
      <c r="G93" s="71">
        <v>58.5</v>
      </c>
      <c r="H93" s="72">
        <v>7873</v>
      </c>
      <c r="I93" s="47">
        <v>34540</v>
      </c>
      <c r="J93" s="69">
        <v>9209</v>
      </c>
      <c r="K93" s="47">
        <v>40397</v>
      </c>
      <c r="L93" s="70">
        <v>85.5</v>
      </c>
      <c r="M93" s="71">
        <v>85.5</v>
      </c>
      <c r="N93" s="72">
        <v>38332</v>
      </c>
      <c r="O93" s="47">
        <v>161596</v>
      </c>
      <c r="P93" s="69">
        <v>61275</v>
      </c>
      <c r="Q93" s="47">
        <v>257587</v>
      </c>
      <c r="R93" s="70">
        <v>62.56</v>
      </c>
      <c r="S93" s="71">
        <v>62.73</v>
      </c>
      <c r="T93" s="50"/>
      <c r="U93" s="75">
        <v>84.97</v>
      </c>
      <c r="V93" s="75">
        <v>84.32</v>
      </c>
      <c r="W93" s="50"/>
      <c r="X93" s="76">
        <v>38332</v>
      </c>
      <c r="Y93" s="76" t="s">
        <v>65</v>
      </c>
      <c r="Z93" s="51"/>
      <c r="AA93" s="76">
        <v>61275</v>
      </c>
      <c r="AB93" s="76" t="s">
        <v>65</v>
      </c>
      <c r="AC93" s="50"/>
      <c r="AD93" s="45"/>
      <c r="AE93" s="45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</row>
    <row r="94" spans="1:91" ht="14.25" customHeight="1" x14ac:dyDescent="0.35">
      <c r="A94" s="67" t="s">
        <v>7</v>
      </c>
      <c r="B94" s="68">
        <v>45234</v>
      </c>
      <c r="C94" s="47">
        <v>172290</v>
      </c>
      <c r="D94" s="69">
        <v>77323</v>
      </c>
      <c r="E94" s="47">
        <v>294513</v>
      </c>
      <c r="F94" s="70">
        <v>58.5</v>
      </c>
      <c r="G94" s="71">
        <v>58.5</v>
      </c>
      <c r="H94" s="72">
        <v>12803</v>
      </c>
      <c r="I94" s="47">
        <v>47343</v>
      </c>
      <c r="J94" s="69">
        <v>14974</v>
      </c>
      <c r="K94" s="47">
        <v>55371</v>
      </c>
      <c r="L94" s="70">
        <v>85.5</v>
      </c>
      <c r="M94" s="71">
        <v>85.5</v>
      </c>
      <c r="N94" s="72">
        <v>58037</v>
      </c>
      <c r="O94" s="47">
        <v>219633</v>
      </c>
      <c r="P94" s="69">
        <v>92297</v>
      </c>
      <c r="Q94" s="47">
        <v>349884</v>
      </c>
      <c r="R94" s="70">
        <v>62.88</v>
      </c>
      <c r="S94" s="71">
        <v>62.77</v>
      </c>
      <c r="T94" s="50"/>
      <c r="U94" s="75">
        <v>83.78</v>
      </c>
      <c r="V94" s="75">
        <v>84.17</v>
      </c>
      <c r="W94" s="50"/>
      <c r="X94" s="76">
        <v>58037</v>
      </c>
      <c r="Y94" s="76" t="s">
        <v>65</v>
      </c>
      <c r="Z94" s="51"/>
      <c r="AA94" s="76">
        <v>92297</v>
      </c>
      <c r="AB94" s="76" t="s">
        <v>65</v>
      </c>
      <c r="AC94" s="50"/>
      <c r="AD94" s="45"/>
      <c r="AE94" s="45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</row>
    <row r="95" spans="1:91" ht="14.25" customHeight="1" x14ac:dyDescent="0.35">
      <c r="A95" s="67" t="s">
        <v>8</v>
      </c>
      <c r="B95" s="68">
        <v>55781</v>
      </c>
      <c r="C95" s="47">
        <v>228071</v>
      </c>
      <c r="D95" s="69">
        <v>95352</v>
      </c>
      <c r="E95" s="47">
        <v>389865</v>
      </c>
      <c r="F95" s="70">
        <v>58.5</v>
      </c>
      <c r="G95" s="71">
        <v>58.5</v>
      </c>
      <c r="H95" s="72">
        <v>18762</v>
      </c>
      <c r="I95" s="47">
        <v>66104</v>
      </c>
      <c r="J95" s="69">
        <v>21944</v>
      </c>
      <c r="K95" s="47">
        <v>77315</v>
      </c>
      <c r="L95" s="70">
        <v>85.5</v>
      </c>
      <c r="M95" s="71">
        <v>85.5</v>
      </c>
      <c r="N95" s="72">
        <v>74543</v>
      </c>
      <c r="O95" s="47">
        <v>294175</v>
      </c>
      <c r="P95" s="69">
        <v>117296</v>
      </c>
      <c r="Q95" s="47">
        <v>467180</v>
      </c>
      <c r="R95" s="70">
        <v>63.55</v>
      </c>
      <c r="S95" s="71">
        <v>62.97</v>
      </c>
      <c r="T95" s="50"/>
      <c r="U95" s="75">
        <v>81.290000000000006</v>
      </c>
      <c r="V95" s="75">
        <v>83.45</v>
      </c>
      <c r="W95" s="50"/>
      <c r="X95" s="76">
        <v>74543</v>
      </c>
      <c r="Y95" s="76" t="s">
        <v>65</v>
      </c>
      <c r="Z95" s="51"/>
      <c r="AA95" s="76">
        <v>117296</v>
      </c>
      <c r="AB95" s="76" t="s">
        <v>65</v>
      </c>
      <c r="AC95" s="50"/>
      <c r="AD95" s="45"/>
      <c r="AE95" s="45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</row>
    <row r="96" spans="1:91" ht="14.25" customHeight="1" x14ac:dyDescent="0.35">
      <c r="A96" s="67" t="s">
        <v>9</v>
      </c>
      <c r="B96" s="68">
        <v>53019</v>
      </c>
      <c r="C96" s="47">
        <v>281090</v>
      </c>
      <c r="D96" s="69">
        <v>90630</v>
      </c>
      <c r="E96" s="47">
        <v>480495</v>
      </c>
      <c r="F96" s="70">
        <v>58.5</v>
      </c>
      <c r="G96" s="71">
        <v>58.5</v>
      </c>
      <c r="H96" s="72">
        <v>17933</v>
      </c>
      <c r="I96" s="47">
        <v>84037</v>
      </c>
      <c r="J96" s="69">
        <v>20974</v>
      </c>
      <c r="K96" s="47">
        <v>98289</v>
      </c>
      <c r="L96" s="70">
        <v>85.5</v>
      </c>
      <c r="M96" s="71">
        <v>85.5</v>
      </c>
      <c r="N96" s="72">
        <v>70951</v>
      </c>
      <c r="O96" s="47">
        <v>365127</v>
      </c>
      <c r="P96" s="69">
        <v>111604</v>
      </c>
      <c r="Q96" s="47">
        <v>578784</v>
      </c>
      <c r="R96" s="70">
        <v>63.57</v>
      </c>
      <c r="S96" s="71">
        <v>63.09</v>
      </c>
      <c r="T96" s="50"/>
      <c r="U96" s="75">
        <v>81.209999999999994</v>
      </c>
      <c r="V96" s="75">
        <v>83.02</v>
      </c>
      <c r="W96" s="50"/>
      <c r="X96" s="76">
        <v>70951</v>
      </c>
      <c r="Y96" s="76" t="s">
        <v>65</v>
      </c>
      <c r="Z96" s="51"/>
      <c r="AA96" s="76">
        <v>111604</v>
      </c>
      <c r="AB96" s="76" t="s">
        <v>65</v>
      </c>
      <c r="AC96" s="50"/>
      <c r="AD96" s="45"/>
      <c r="AE96" s="45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</row>
    <row r="97" spans="1:91" ht="14.25" customHeight="1" x14ac:dyDescent="0.35">
      <c r="A97" s="67" t="s">
        <v>10</v>
      </c>
      <c r="B97" s="68">
        <v>60432</v>
      </c>
      <c r="C97" s="47">
        <v>341522</v>
      </c>
      <c r="D97" s="69">
        <v>103302</v>
      </c>
      <c r="E97" s="47">
        <v>583798</v>
      </c>
      <c r="F97" s="70">
        <v>58.5</v>
      </c>
      <c r="G97" s="71">
        <v>58.5</v>
      </c>
      <c r="H97" s="72">
        <v>19639</v>
      </c>
      <c r="I97" s="47">
        <v>103676</v>
      </c>
      <c r="J97" s="69">
        <v>22970</v>
      </c>
      <c r="K97" s="47">
        <v>121258</v>
      </c>
      <c r="L97" s="70">
        <v>85.5</v>
      </c>
      <c r="M97" s="71">
        <v>85.5</v>
      </c>
      <c r="N97" s="72">
        <v>80071</v>
      </c>
      <c r="O97" s="47">
        <v>445198</v>
      </c>
      <c r="P97" s="69">
        <v>126272</v>
      </c>
      <c r="Q97" s="47">
        <v>705056</v>
      </c>
      <c r="R97" s="70">
        <v>63.41</v>
      </c>
      <c r="S97" s="71">
        <v>63.14</v>
      </c>
      <c r="T97" s="50"/>
      <c r="U97" s="75">
        <v>81.81</v>
      </c>
      <c r="V97" s="75">
        <v>82.8</v>
      </c>
      <c r="W97" s="50"/>
      <c r="X97" s="76">
        <v>80071</v>
      </c>
      <c r="Y97" s="76" t="s">
        <v>65</v>
      </c>
      <c r="Z97" s="51"/>
      <c r="AA97" s="76">
        <v>126272</v>
      </c>
      <c r="AB97" s="76" t="s">
        <v>65</v>
      </c>
      <c r="AC97" s="50"/>
      <c r="AD97" s="45"/>
      <c r="AE97" s="45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</row>
    <row r="98" spans="1:91" ht="14.25" customHeight="1" x14ac:dyDescent="0.35">
      <c r="A98" s="67" t="s">
        <v>11</v>
      </c>
      <c r="B98" s="68">
        <v>59330</v>
      </c>
      <c r="C98" s="47">
        <v>400852</v>
      </c>
      <c r="D98" s="69">
        <v>101419</v>
      </c>
      <c r="E98" s="47">
        <v>685217</v>
      </c>
      <c r="F98" s="70">
        <v>58.5</v>
      </c>
      <c r="G98" s="71">
        <v>58.5</v>
      </c>
      <c r="H98" s="72">
        <v>18999</v>
      </c>
      <c r="I98" s="47">
        <v>122675</v>
      </c>
      <c r="J98" s="69">
        <v>22222</v>
      </c>
      <c r="K98" s="47">
        <v>143480</v>
      </c>
      <c r="L98" s="70">
        <v>85.5</v>
      </c>
      <c r="M98" s="71">
        <v>85.5</v>
      </c>
      <c r="N98" s="72">
        <v>78330</v>
      </c>
      <c r="O98" s="47">
        <v>523527</v>
      </c>
      <c r="P98" s="69">
        <v>123641</v>
      </c>
      <c r="Q98" s="47">
        <v>828697</v>
      </c>
      <c r="R98" s="70">
        <v>63.35</v>
      </c>
      <c r="S98" s="71">
        <v>63.17</v>
      </c>
      <c r="T98" s="50"/>
      <c r="U98" s="75">
        <v>82.03</v>
      </c>
      <c r="V98" s="75">
        <v>82.69</v>
      </c>
      <c r="W98" s="50"/>
      <c r="X98" s="76">
        <v>78330</v>
      </c>
      <c r="Y98" s="76" t="s">
        <v>65</v>
      </c>
      <c r="Z98" s="51"/>
      <c r="AA98" s="76">
        <v>123641</v>
      </c>
      <c r="AB98" s="76" t="s">
        <v>65</v>
      </c>
      <c r="AC98" s="50"/>
      <c r="AD98" s="45"/>
      <c r="AE98" s="45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</row>
    <row r="99" spans="1:91" ht="14.25" customHeight="1" x14ac:dyDescent="0.35">
      <c r="A99" s="67" t="s">
        <v>12</v>
      </c>
      <c r="B99" s="68">
        <v>60555</v>
      </c>
      <c r="C99" s="47">
        <v>461407</v>
      </c>
      <c r="D99" s="69">
        <v>103512</v>
      </c>
      <c r="E99" s="47">
        <v>788729</v>
      </c>
      <c r="F99" s="70">
        <v>58.5</v>
      </c>
      <c r="G99" s="71">
        <v>58.5</v>
      </c>
      <c r="H99" s="72">
        <v>19002</v>
      </c>
      <c r="I99" s="47">
        <v>141678</v>
      </c>
      <c r="J99" s="69">
        <v>22225</v>
      </c>
      <c r="K99" s="47">
        <v>165705</v>
      </c>
      <c r="L99" s="70">
        <v>85.5</v>
      </c>
      <c r="M99" s="71">
        <v>85.5</v>
      </c>
      <c r="N99" s="72">
        <v>79557</v>
      </c>
      <c r="O99" s="47">
        <v>603084</v>
      </c>
      <c r="P99" s="69">
        <v>125737</v>
      </c>
      <c r="Q99" s="47">
        <v>954434</v>
      </c>
      <c r="R99" s="70">
        <v>63.27</v>
      </c>
      <c r="S99" s="71">
        <v>63.19</v>
      </c>
      <c r="T99" s="50"/>
      <c r="U99" s="75">
        <v>82.32</v>
      </c>
      <c r="V99" s="75">
        <v>82.64</v>
      </c>
      <c r="W99" s="50"/>
      <c r="X99" s="76">
        <v>79557</v>
      </c>
      <c r="Y99" s="76" t="s">
        <v>65</v>
      </c>
      <c r="Z99" s="51"/>
      <c r="AA99" s="76">
        <v>125737</v>
      </c>
      <c r="AB99" s="76" t="s">
        <v>65</v>
      </c>
      <c r="AC99" s="50"/>
      <c r="AD99" s="45"/>
      <c r="AE99" s="45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</row>
    <row r="100" spans="1:91" ht="14.25" customHeight="1" x14ac:dyDescent="0.35">
      <c r="A100" s="67" t="s">
        <v>13</v>
      </c>
      <c r="B100" s="68">
        <v>65079</v>
      </c>
      <c r="C100" s="47">
        <v>526486</v>
      </c>
      <c r="D100" s="69">
        <v>111246</v>
      </c>
      <c r="E100" s="47">
        <v>899976</v>
      </c>
      <c r="F100" s="70">
        <v>58.5</v>
      </c>
      <c r="G100" s="71">
        <v>58.5</v>
      </c>
      <c r="H100" s="72">
        <v>20869</v>
      </c>
      <c r="I100" s="47">
        <v>162547</v>
      </c>
      <c r="J100" s="69">
        <v>24409</v>
      </c>
      <c r="K100" s="47">
        <v>190113</v>
      </c>
      <c r="L100" s="70">
        <v>85.5</v>
      </c>
      <c r="M100" s="71">
        <v>85.5</v>
      </c>
      <c r="N100" s="72">
        <v>85948</v>
      </c>
      <c r="O100" s="47">
        <v>689033</v>
      </c>
      <c r="P100" s="69">
        <v>135655</v>
      </c>
      <c r="Q100" s="47">
        <v>1090089</v>
      </c>
      <c r="R100" s="70">
        <v>63.36</v>
      </c>
      <c r="S100" s="71">
        <v>63.21</v>
      </c>
      <c r="T100" s="50"/>
      <c r="U100" s="75">
        <v>82.01</v>
      </c>
      <c r="V100" s="75">
        <v>82.56</v>
      </c>
      <c r="W100" s="50"/>
      <c r="X100" s="76">
        <v>85948</v>
      </c>
      <c r="Y100" s="76" t="s">
        <v>65</v>
      </c>
      <c r="Z100" s="51"/>
      <c r="AA100" s="76">
        <v>135655</v>
      </c>
      <c r="AB100" s="76" t="s">
        <v>65</v>
      </c>
      <c r="AC100" s="50"/>
      <c r="AD100" s="45"/>
      <c r="AE100" s="45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</row>
    <row r="101" spans="1:91" ht="14.25" customHeight="1" x14ac:dyDescent="0.35">
      <c r="A101" s="67" t="s">
        <v>14</v>
      </c>
      <c r="B101" s="68">
        <v>58956</v>
      </c>
      <c r="C101" s="47">
        <v>585441</v>
      </c>
      <c r="D101" s="69">
        <v>100779</v>
      </c>
      <c r="E101" s="47">
        <v>1000754</v>
      </c>
      <c r="F101" s="70">
        <v>58.5</v>
      </c>
      <c r="G101" s="71">
        <v>58.5</v>
      </c>
      <c r="H101" s="72">
        <v>20754</v>
      </c>
      <c r="I101" s="47">
        <v>183301</v>
      </c>
      <c r="J101" s="69">
        <v>24274</v>
      </c>
      <c r="K101" s="47">
        <v>214387</v>
      </c>
      <c r="L101" s="70">
        <v>85.5</v>
      </c>
      <c r="M101" s="71">
        <v>85.5</v>
      </c>
      <c r="N101" s="72">
        <v>79710</v>
      </c>
      <c r="O101" s="47">
        <v>768742</v>
      </c>
      <c r="P101" s="69">
        <v>125053</v>
      </c>
      <c r="Q101" s="47">
        <v>1215142</v>
      </c>
      <c r="R101" s="70">
        <v>63.74</v>
      </c>
      <c r="S101" s="71">
        <v>63.26</v>
      </c>
      <c r="T101" s="50"/>
      <c r="U101" s="75">
        <v>80.59</v>
      </c>
      <c r="V101" s="75">
        <v>82.36</v>
      </c>
      <c r="W101" s="50"/>
      <c r="X101" s="76">
        <v>79710</v>
      </c>
      <c r="Y101" s="76" t="s">
        <v>65</v>
      </c>
      <c r="Z101" s="51"/>
      <c r="AA101" s="76">
        <v>125053</v>
      </c>
      <c r="AB101" s="76" t="s">
        <v>65</v>
      </c>
      <c r="AC101" s="50"/>
      <c r="AD101" s="45"/>
      <c r="AE101" s="45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</row>
    <row r="102" spans="1:91" ht="14.25" customHeight="1" x14ac:dyDescent="0.35">
      <c r="A102" s="67" t="s">
        <v>15</v>
      </c>
      <c r="B102" s="77">
        <v>57137</v>
      </c>
      <c r="C102" s="78">
        <v>642578</v>
      </c>
      <c r="D102" s="79">
        <v>97670</v>
      </c>
      <c r="E102" s="78">
        <v>1098425</v>
      </c>
      <c r="F102" s="80">
        <v>58.5</v>
      </c>
      <c r="G102" s="81">
        <v>58.5</v>
      </c>
      <c r="H102" s="82">
        <v>19684</v>
      </c>
      <c r="I102" s="78">
        <v>202985</v>
      </c>
      <c r="J102" s="79">
        <v>23022</v>
      </c>
      <c r="K102" s="78">
        <v>237409</v>
      </c>
      <c r="L102" s="80">
        <v>85.5</v>
      </c>
      <c r="M102" s="81">
        <v>85.5</v>
      </c>
      <c r="N102" s="82">
        <v>76821</v>
      </c>
      <c r="O102" s="78">
        <v>845564</v>
      </c>
      <c r="P102" s="79">
        <v>120693</v>
      </c>
      <c r="Q102" s="78">
        <v>1335834</v>
      </c>
      <c r="R102" s="80">
        <v>63.65</v>
      </c>
      <c r="S102" s="81">
        <v>63.3</v>
      </c>
      <c r="T102" s="50"/>
      <c r="U102" s="75">
        <v>80.92</v>
      </c>
      <c r="V102" s="75">
        <v>82.23</v>
      </c>
      <c r="W102" s="50"/>
      <c r="X102" s="76">
        <v>76821</v>
      </c>
      <c r="Y102" s="76" t="s">
        <v>65</v>
      </c>
      <c r="Z102" s="51"/>
      <c r="AA102" s="76">
        <v>120693</v>
      </c>
      <c r="AB102" s="76" t="s">
        <v>65</v>
      </c>
      <c r="AC102" s="50"/>
      <c r="AD102" s="45"/>
      <c r="AE102" s="45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</row>
    <row r="103" spans="1:91" ht="14.25" customHeight="1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10">
        <v>0</v>
      </c>
      <c r="S103" s="10">
        <v>0</v>
      </c>
      <c r="T103" s="50"/>
      <c r="U103" s="50"/>
      <c r="V103" s="45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</row>
    <row r="104" spans="1:91" ht="14.25" customHeight="1" x14ac:dyDescent="0.35">
      <c r="A104" s="56" t="s">
        <v>132</v>
      </c>
      <c r="B104" s="50"/>
      <c r="C104" s="50"/>
      <c r="D104" s="50"/>
      <c r="E104" s="50"/>
      <c r="F104" s="50"/>
      <c r="G104" s="50"/>
      <c r="H104" s="56" t="s">
        <v>159</v>
      </c>
      <c r="I104" s="50"/>
      <c r="J104" s="50"/>
      <c r="K104" s="50"/>
      <c r="L104" s="50"/>
      <c r="M104" s="50"/>
      <c r="N104" s="56" t="s">
        <v>160</v>
      </c>
      <c r="O104" s="50"/>
      <c r="P104" s="50"/>
      <c r="Q104" s="50"/>
      <c r="R104" s="50"/>
      <c r="S104" s="50"/>
      <c r="T104" s="56" t="s">
        <v>161</v>
      </c>
      <c r="U104" s="50"/>
      <c r="V104" s="50"/>
      <c r="W104" s="50"/>
      <c r="X104" s="50"/>
      <c r="Y104" s="50"/>
      <c r="Z104" s="56" t="s">
        <v>134</v>
      </c>
      <c r="AA104" s="50"/>
      <c r="AB104" s="50"/>
      <c r="AC104" s="50"/>
      <c r="AD104" s="50"/>
      <c r="AE104" s="50"/>
      <c r="AF104" s="56" t="s">
        <v>162</v>
      </c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</row>
    <row r="105" spans="1:91" ht="14.25" customHeight="1" x14ac:dyDescent="0.35">
      <c r="A105" s="57" t="s">
        <v>102</v>
      </c>
      <c r="B105" s="58" t="s">
        <v>2</v>
      </c>
      <c r="C105" s="59"/>
      <c r="D105" s="58" t="s">
        <v>3</v>
      </c>
      <c r="E105" s="59"/>
      <c r="F105" s="58" t="s">
        <v>103</v>
      </c>
      <c r="G105" s="60"/>
      <c r="H105" s="61" t="s">
        <v>2</v>
      </c>
      <c r="I105" s="59"/>
      <c r="J105" s="58" t="s">
        <v>3</v>
      </c>
      <c r="K105" s="59"/>
      <c r="L105" s="58" t="s">
        <v>103</v>
      </c>
      <c r="M105" s="60"/>
      <c r="N105" s="61" t="s">
        <v>2</v>
      </c>
      <c r="O105" s="59"/>
      <c r="P105" s="58" t="s">
        <v>3</v>
      </c>
      <c r="Q105" s="59"/>
      <c r="R105" s="58" t="s">
        <v>103</v>
      </c>
      <c r="S105" s="60"/>
      <c r="T105" s="61" t="s">
        <v>2</v>
      </c>
      <c r="U105" s="59"/>
      <c r="V105" s="58" t="s">
        <v>3</v>
      </c>
      <c r="W105" s="59"/>
      <c r="X105" s="58" t="s">
        <v>103</v>
      </c>
      <c r="Y105" s="60"/>
      <c r="Z105" s="61" t="s">
        <v>2</v>
      </c>
      <c r="AA105" s="59"/>
      <c r="AB105" s="58" t="s">
        <v>3</v>
      </c>
      <c r="AC105" s="59"/>
      <c r="AD105" s="58" t="s">
        <v>103</v>
      </c>
      <c r="AE105" s="60"/>
      <c r="AF105" s="61" t="s">
        <v>2</v>
      </c>
      <c r="AG105" s="59"/>
      <c r="AH105" s="58" t="s">
        <v>3</v>
      </c>
      <c r="AI105" s="59"/>
      <c r="AJ105" s="58" t="s">
        <v>103</v>
      </c>
      <c r="AK105" s="60"/>
      <c r="AL105" s="50"/>
      <c r="AM105" s="105" t="s">
        <v>101</v>
      </c>
      <c r="AN105" s="106"/>
      <c r="AO105" s="105" t="s">
        <v>163</v>
      </c>
      <c r="AP105" s="106"/>
      <c r="AQ105" s="105" t="s">
        <v>164</v>
      </c>
      <c r="AR105" s="106"/>
      <c r="AS105" s="105" t="s">
        <v>165</v>
      </c>
      <c r="AT105" s="106"/>
      <c r="AU105" s="50"/>
      <c r="AV105" s="10" t="s">
        <v>104</v>
      </c>
      <c r="AW105" s="50"/>
      <c r="AX105" s="50"/>
      <c r="AY105" s="10" t="s">
        <v>105</v>
      </c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</row>
    <row r="106" spans="1:91" ht="14.25" customHeight="1" x14ac:dyDescent="0.35">
      <c r="A106" s="87" t="s">
        <v>102</v>
      </c>
      <c r="B106" s="63" t="s">
        <v>106</v>
      </c>
      <c r="C106" s="63" t="s">
        <v>107</v>
      </c>
      <c r="D106" s="63" t="s">
        <v>106</v>
      </c>
      <c r="E106" s="63" t="s">
        <v>107</v>
      </c>
      <c r="F106" s="63" t="s">
        <v>106</v>
      </c>
      <c r="G106" s="64" t="s">
        <v>107</v>
      </c>
      <c r="H106" s="65" t="s">
        <v>106</v>
      </c>
      <c r="I106" s="63" t="s">
        <v>107</v>
      </c>
      <c r="J106" s="63" t="s">
        <v>106</v>
      </c>
      <c r="K106" s="63" t="s">
        <v>107</v>
      </c>
      <c r="L106" s="63" t="s">
        <v>106</v>
      </c>
      <c r="M106" s="64" t="s">
        <v>107</v>
      </c>
      <c r="N106" s="65" t="s">
        <v>106</v>
      </c>
      <c r="O106" s="63" t="s">
        <v>107</v>
      </c>
      <c r="P106" s="63" t="s">
        <v>106</v>
      </c>
      <c r="Q106" s="63" t="s">
        <v>107</v>
      </c>
      <c r="R106" s="63" t="s">
        <v>106</v>
      </c>
      <c r="S106" s="64" t="s">
        <v>107</v>
      </c>
      <c r="T106" s="65" t="s">
        <v>106</v>
      </c>
      <c r="U106" s="63" t="s">
        <v>107</v>
      </c>
      <c r="V106" s="63" t="s">
        <v>106</v>
      </c>
      <c r="W106" s="63" t="s">
        <v>107</v>
      </c>
      <c r="X106" s="63" t="s">
        <v>106</v>
      </c>
      <c r="Y106" s="64" t="s">
        <v>107</v>
      </c>
      <c r="Z106" s="65" t="s">
        <v>106</v>
      </c>
      <c r="AA106" s="63" t="s">
        <v>107</v>
      </c>
      <c r="AB106" s="63" t="s">
        <v>106</v>
      </c>
      <c r="AC106" s="63" t="s">
        <v>107</v>
      </c>
      <c r="AD106" s="63" t="s">
        <v>106</v>
      </c>
      <c r="AE106" s="64" t="s">
        <v>107</v>
      </c>
      <c r="AF106" s="65" t="s">
        <v>106</v>
      </c>
      <c r="AG106" s="63" t="s">
        <v>107</v>
      </c>
      <c r="AH106" s="63" t="s">
        <v>106</v>
      </c>
      <c r="AI106" s="63" t="s">
        <v>107</v>
      </c>
      <c r="AJ106" s="63" t="s">
        <v>106</v>
      </c>
      <c r="AK106" s="64" t="s">
        <v>107</v>
      </c>
      <c r="AL106" s="50"/>
      <c r="AM106" s="63" t="s">
        <v>106</v>
      </c>
      <c r="AN106" s="63" t="s">
        <v>107</v>
      </c>
      <c r="AO106" s="63" t="s">
        <v>106</v>
      </c>
      <c r="AP106" s="63" t="s">
        <v>107</v>
      </c>
      <c r="AQ106" s="63" t="s">
        <v>106</v>
      </c>
      <c r="AR106" s="63" t="s">
        <v>107</v>
      </c>
      <c r="AS106" s="63" t="s">
        <v>106</v>
      </c>
      <c r="AT106" s="63" t="s">
        <v>107</v>
      </c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</row>
    <row r="107" spans="1:91" ht="14.25" customHeight="1" x14ac:dyDescent="0.35">
      <c r="A107" s="67" t="s">
        <v>4</v>
      </c>
      <c r="B107" s="72">
        <v>545568</v>
      </c>
      <c r="C107" s="47">
        <v>545568</v>
      </c>
      <c r="D107" s="69">
        <v>799306</v>
      </c>
      <c r="E107" s="47">
        <v>799306</v>
      </c>
      <c r="F107" s="70">
        <v>68.260000000000005</v>
      </c>
      <c r="G107" s="71">
        <v>68.260000000000005</v>
      </c>
      <c r="H107" s="72">
        <v>212068</v>
      </c>
      <c r="I107" s="47">
        <v>212068</v>
      </c>
      <c r="J107" s="69">
        <v>236692</v>
      </c>
      <c r="K107" s="47">
        <v>236692</v>
      </c>
      <c r="L107" s="70">
        <v>89.6</v>
      </c>
      <c r="M107" s="71">
        <v>89.6</v>
      </c>
      <c r="N107" s="72">
        <v>333500</v>
      </c>
      <c r="O107" s="47">
        <v>333500</v>
      </c>
      <c r="P107" s="69">
        <v>562614</v>
      </c>
      <c r="Q107" s="47">
        <v>562614</v>
      </c>
      <c r="R107" s="70">
        <v>59.28</v>
      </c>
      <c r="S107" s="71">
        <v>59.28</v>
      </c>
      <c r="T107" s="72">
        <v>314066</v>
      </c>
      <c r="U107" s="47">
        <v>314066</v>
      </c>
      <c r="V107" s="69">
        <v>538098</v>
      </c>
      <c r="W107" s="47">
        <v>538098</v>
      </c>
      <c r="X107" s="70">
        <v>58.37</v>
      </c>
      <c r="Y107" s="71">
        <v>58.37</v>
      </c>
      <c r="Z107" s="72">
        <v>231502</v>
      </c>
      <c r="AA107" s="47">
        <v>231502</v>
      </c>
      <c r="AB107" s="69">
        <v>261209</v>
      </c>
      <c r="AC107" s="47">
        <v>261209</v>
      </c>
      <c r="AD107" s="70">
        <v>88.63</v>
      </c>
      <c r="AE107" s="71">
        <v>88.63</v>
      </c>
      <c r="AF107" s="72">
        <v>324617</v>
      </c>
      <c r="AG107" s="47">
        <v>324617</v>
      </c>
      <c r="AH107" s="69">
        <v>549925</v>
      </c>
      <c r="AI107" s="47">
        <v>549925</v>
      </c>
      <c r="AJ107" s="70">
        <v>59.03</v>
      </c>
      <c r="AK107" s="71">
        <v>59.03</v>
      </c>
      <c r="AL107" s="52">
        <v>45679</v>
      </c>
      <c r="AM107" s="107">
        <v>70</v>
      </c>
      <c r="AN107" s="107">
        <v>70</v>
      </c>
      <c r="AO107" s="107">
        <v>30</v>
      </c>
      <c r="AP107" s="107">
        <v>30</v>
      </c>
      <c r="AQ107" s="107">
        <v>33</v>
      </c>
      <c r="AR107" s="107">
        <v>33</v>
      </c>
      <c r="AS107" s="107">
        <v>67</v>
      </c>
      <c r="AT107" s="107">
        <v>67</v>
      </c>
      <c r="AU107" s="50"/>
      <c r="AV107" s="76">
        <v>545568</v>
      </c>
      <c r="AW107" s="76" t="s">
        <v>65</v>
      </c>
      <c r="AX107" s="50"/>
      <c r="AY107" s="76">
        <v>799306</v>
      </c>
      <c r="AZ107" s="76" t="s">
        <v>65</v>
      </c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</row>
    <row r="108" spans="1:91" ht="14.25" customHeight="1" x14ac:dyDescent="0.35">
      <c r="A108" s="67" t="s">
        <v>5</v>
      </c>
      <c r="B108" s="72">
        <v>534332</v>
      </c>
      <c r="C108" s="47">
        <v>1079901</v>
      </c>
      <c r="D108" s="69">
        <v>773919</v>
      </c>
      <c r="E108" s="47">
        <v>1573226</v>
      </c>
      <c r="F108" s="70">
        <v>69.040000000000006</v>
      </c>
      <c r="G108" s="71">
        <v>68.64</v>
      </c>
      <c r="H108" s="72">
        <v>221335</v>
      </c>
      <c r="I108" s="47">
        <v>433404</v>
      </c>
      <c r="J108" s="69">
        <v>247152</v>
      </c>
      <c r="K108" s="47">
        <v>483844</v>
      </c>
      <c r="L108" s="70">
        <v>89.55</v>
      </c>
      <c r="M108" s="71">
        <v>89.58</v>
      </c>
      <c r="N108" s="72">
        <v>312997</v>
      </c>
      <c r="O108" s="47">
        <v>646497</v>
      </c>
      <c r="P108" s="69">
        <v>526768</v>
      </c>
      <c r="Q108" s="47">
        <v>1089382</v>
      </c>
      <c r="R108" s="70">
        <v>59.42</v>
      </c>
      <c r="S108" s="71">
        <v>59.35</v>
      </c>
      <c r="T108" s="72">
        <v>292929</v>
      </c>
      <c r="U108" s="47">
        <v>606995</v>
      </c>
      <c r="V108" s="69">
        <v>501421</v>
      </c>
      <c r="W108" s="47">
        <v>1039519</v>
      </c>
      <c r="X108" s="70">
        <v>58.42</v>
      </c>
      <c r="Y108" s="71">
        <v>58.39</v>
      </c>
      <c r="Z108" s="72">
        <v>241403</v>
      </c>
      <c r="AA108" s="47">
        <v>472906</v>
      </c>
      <c r="AB108" s="69">
        <v>272498</v>
      </c>
      <c r="AC108" s="47">
        <v>533707</v>
      </c>
      <c r="AD108" s="70">
        <v>88.59</v>
      </c>
      <c r="AE108" s="71">
        <v>88.61</v>
      </c>
      <c r="AF108" s="72">
        <v>303778</v>
      </c>
      <c r="AG108" s="47">
        <v>628395</v>
      </c>
      <c r="AH108" s="69">
        <v>513598</v>
      </c>
      <c r="AI108" s="47">
        <v>1063523</v>
      </c>
      <c r="AJ108" s="70">
        <v>59.15</v>
      </c>
      <c r="AK108" s="71">
        <v>59.09</v>
      </c>
      <c r="AL108" s="52">
        <v>45710</v>
      </c>
      <c r="AM108" s="107">
        <v>68</v>
      </c>
      <c r="AN108" s="107">
        <v>69</v>
      </c>
      <c r="AO108" s="107">
        <v>32</v>
      </c>
      <c r="AP108" s="107">
        <v>31</v>
      </c>
      <c r="AQ108" s="107">
        <v>35</v>
      </c>
      <c r="AR108" s="107">
        <v>34</v>
      </c>
      <c r="AS108" s="107">
        <v>65</v>
      </c>
      <c r="AT108" s="107">
        <v>66</v>
      </c>
      <c r="AU108" s="50"/>
      <c r="AV108" s="76">
        <v>534332</v>
      </c>
      <c r="AW108" s="76" t="s">
        <v>65</v>
      </c>
      <c r="AX108" s="50"/>
      <c r="AY108" s="76">
        <v>773919</v>
      </c>
      <c r="AZ108" s="76" t="s">
        <v>65</v>
      </c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</row>
    <row r="109" spans="1:91" ht="14.25" customHeight="1" x14ac:dyDescent="0.35">
      <c r="A109" s="67" t="s">
        <v>6</v>
      </c>
      <c r="B109" s="72">
        <v>346195</v>
      </c>
      <c r="C109" s="47">
        <v>1426095</v>
      </c>
      <c r="D109" s="69">
        <v>501426</v>
      </c>
      <c r="E109" s="47">
        <v>2074652</v>
      </c>
      <c r="F109" s="70">
        <v>69.040000000000006</v>
      </c>
      <c r="G109" s="71">
        <v>68.739999999999995</v>
      </c>
      <c r="H109" s="72">
        <v>141266</v>
      </c>
      <c r="I109" s="47">
        <v>574669</v>
      </c>
      <c r="J109" s="69">
        <v>156905</v>
      </c>
      <c r="K109" s="47">
        <v>640749</v>
      </c>
      <c r="L109" s="70">
        <v>90.03</v>
      </c>
      <c r="M109" s="71">
        <v>89.69</v>
      </c>
      <c r="N109" s="72">
        <v>204929</v>
      </c>
      <c r="O109" s="47">
        <v>851426</v>
      </c>
      <c r="P109" s="69">
        <v>344521</v>
      </c>
      <c r="Q109" s="47">
        <v>1433903</v>
      </c>
      <c r="R109" s="70">
        <v>59.48</v>
      </c>
      <c r="S109" s="71">
        <v>59.38</v>
      </c>
      <c r="T109" s="72">
        <v>191227</v>
      </c>
      <c r="U109" s="47">
        <v>798222</v>
      </c>
      <c r="V109" s="69">
        <v>327573</v>
      </c>
      <c r="W109" s="47">
        <v>1367092</v>
      </c>
      <c r="X109" s="70">
        <v>58.38</v>
      </c>
      <c r="Y109" s="71">
        <v>58.39</v>
      </c>
      <c r="Z109" s="72">
        <v>154968</v>
      </c>
      <c r="AA109" s="47">
        <v>627873</v>
      </c>
      <c r="AB109" s="69">
        <v>173853</v>
      </c>
      <c r="AC109" s="47">
        <v>707560</v>
      </c>
      <c r="AD109" s="70">
        <v>89.14</v>
      </c>
      <c r="AE109" s="71">
        <v>88.74</v>
      </c>
      <c r="AF109" s="72">
        <v>199369</v>
      </c>
      <c r="AG109" s="47">
        <v>827764</v>
      </c>
      <c r="AH109" s="69">
        <v>336578</v>
      </c>
      <c r="AI109" s="47">
        <v>1400101</v>
      </c>
      <c r="AJ109" s="70">
        <v>59.23</v>
      </c>
      <c r="AK109" s="71">
        <v>59.12</v>
      </c>
      <c r="AL109" s="52">
        <v>45738</v>
      </c>
      <c r="AM109" s="107">
        <v>69</v>
      </c>
      <c r="AN109" s="107">
        <v>69</v>
      </c>
      <c r="AO109" s="107">
        <v>31</v>
      </c>
      <c r="AP109" s="107">
        <v>31</v>
      </c>
      <c r="AQ109" s="107">
        <v>35</v>
      </c>
      <c r="AR109" s="107">
        <v>34</v>
      </c>
      <c r="AS109" s="107">
        <v>65</v>
      </c>
      <c r="AT109" s="107">
        <v>66</v>
      </c>
      <c r="AU109" s="50"/>
      <c r="AV109" s="76">
        <v>346195</v>
      </c>
      <c r="AW109" s="76" t="s">
        <v>65</v>
      </c>
      <c r="AX109" s="50"/>
      <c r="AY109" s="76">
        <v>501426</v>
      </c>
      <c r="AZ109" s="76" t="s">
        <v>65</v>
      </c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</row>
    <row r="110" spans="1:91" ht="14.25" customHeight="1" x14ac:dyDescent="0.35">
      <c r="A110" s="67" t="s">
        <v>7</v>
      </c>
      <c r="B110" s="72">
        <v>526801</v>
      </c>
      <c r="C110" s="47">
        <v>1952897</v>
      </c>
      <c r="D110" s="69">
        <v>761181</v>
      </c>
      <c r="E110" s="47">
        <v>2835833</v>
      </c>
      <c r="F110" s="70">
        <v>69.209999999999994</v>
      </c>
      <c r="G110" s="71">
        <v>68.87</v>
      </c>
      <c r="H110" s="72">
        <v>220781</v>
      </c>
      <c r="I110" s="47">
        <v>795450</v>
      </c>
      <c r="J110" s="69">
        <v>246606</v>
      </c>
      <c r="K110" s="47">
        <v>887355</v>
      </c>
      <c r="L110" s="70">
        <v>89.53</v>
      </c>
      <c r="M110" s="71">
        <v>89.64</v>
      </c>
      <c r="N110" s="72">
        <v>306021</v>
      </c>
      <c r="O110" s="47">
        <v>1157446</v>
      </c>
      <c r="P110" s="69">
        <v>514575</v>
      </c>
      <c r="Q110" s="47">
        <v>1948478</v>
      </c>
      <c r="R110" s="70">
        <v>59.47</v>
      </c>
      <c r="S110" s="71">
        <v>59.4</v>
      </c>
      <c r="T110" s="72">
        <v>286447</v>
      </c>
      <c r="U110" s="47">
        <v>1084669</v>
      </c>
      <c r="V110" s="69">
        <v>489901</v>
      </c>
      <c r="W110" s="47">
        <v>1856993</v>
      </c>
      <c r="X110" s="70">
        <v>58.47</v>
      </c>
      <c r="Y110" s="71">
        <v>58.41</v>
      </c>
      <c r="Z110" s="72">
        <v>240355</v>
      </c>
      <c r="AA110" s="47">
        <v>868228</v>
      </c>
      <c r="AB110" s="69">
        <v>271280</v>
      </c>
      <c r="AC110" s="47">
        <v>978840</v>
      </c>
      <c r="AD110" s="70">
        <v>88.6</v>
      </c>
      <c r="AE110" s="71">
        <v>88.7</v>
      </c>
      <c r="AF110" s="72">
        <v>297148</v>
      </c>
      <c r="AG110" s="47">
        <v>1124912</v>
      </c>
      <c r="AH110" s="69">
        <v>501900</v>
      </c>
      <c r="AI110" s="47">
        <v>1902001</v>
      </c>
      <c r="AJ110" s="70">
        <v>59.2</v>
      </c>
      <c r="AK110" s="71">
        <v>59.14</v>
      </c>
      <c r="AL110" s="52">
        <v>45769</v>
      </c>
      <c r="AM110" s="107">
        <v>68</v>
      </c>
      <c r="AN110" s="107">
        <v>69</v>
      </c>
      <c r="AO110" s="107">
        <v>32</v>
      </c>
      <c r="AP110" s="107">
        <v>31</v>
      </c>
      <c r="AQ110" s="107">
        <v>36</v>
      </c>
      <c r="AR110" s="107">
        <v>35</v>
      </c>
      <c r="AS110" s="107">
        <v>64</v>
      </c>
      <c r="AT110" s="107">
        <v>65</v>
      </c>
      <c r="AU110" s="50"/>
      <c r="AV110" s="76">
        <v>526801</v>
      </c>
      <c r="AW110" s="76" t="s">
        <v>65</v>
      </c>
      <c r="AX110" s="50"/>
      <c r="AY110" s="76">
        <v>761181</v>
      </c>
      <c r="AZ110" s="76" t="s">
        <v>65</v>
      </c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</row>
    <row r="111" spans="1:91" ht="14.25" customHeight="1" x14ac:dyDescent="0.35">
      <c r="A111" s="67" t="s">
        <v>8</v>
      </c>
      <c r="B111" s="72">
        <v>654616</v>
      </c>
      <c r="C111" s="47">
        <v>2607512</v>
      </c>
      <c r="D111" s="69">
        <v>961262</v>
      </c>
      <c r="E111" s="47">
        <v>3797095</v>
      </c>
      <c r="F111" s="70">
        <v>68.099999999999994</v>
      </c>
      <c r="G111" s="71">
        <v>68.67</v>
      </c>
      <c r="H111" s="72">
        <v>258111</v>
      </c>
      <c r="I111" s="47">
        <v>1053561</v>
      </c>
      <c r="J111" s="69">
        <v>290852</v>
      </c>
      <c r="K111" s="47">
        <v>1178207</v>
      </c>
      <c r="L111" s="70">
        <v>88.74</v>
      </c>
      <c r="M111" s="71">
        <v>89.42</v>
      </c>
      <c r="N111" s="72">
        <v>396505</v>
      </c>
      <c r="O111" s="47">
        <v>1553951</v>
      </c>
      <c r="P111" s="69">
        <v>670410</v>
      </c>
      <c r="Q111" s="47">
        <v>2618889</v>
      </c>
      <c r="R111" s="70">
        <v>59.14</v>
      </c>
      <c r="S111" s="71">
        <v>59.34</v>
      </c>
      <c r="T111" s="72">
        <v>376781</v>
      </c>
      <c r="U111" s="47">
        <v>1461450</v>
      </c>
      <c r="V111" s="69">
        <v>644464</v>
      </c>
      <c r="W111" s="47">
        <v>2501457</v>
      </c>
      <c r="X111" s="70">
        <v>58.46</v>
      </c>
      <c r="Y111" s="71">
        <v>58.42</v>
      </c>
      <c r="Z111" s="72">
        <v>277834</v>
      </c>
      <c r="AA111" s="47">
        <v>1146062</v>
      </c>
      <c r="AB111" s="69">
        <v>316798</v>
      </c>
      <c r="AC111" s="47">
        <v>1295638</v>
      </c>
      <c r="AD111" s="70">
        <v>87.7</v>
      </c>
      <c r="AE111" s="71">
        <v>88.46</v>
      </c>
      <c r="AF111" s="72">
        <v>385384</v>
      </c>
      <c r="AG111" s="47">
        <v>1510297</v>
      </c>
      <c r="AH111" s="69">
        <v>654524</v>
      </c>
      <c r="AI111" s="47">
        <v>2556525</v>
      </c>
      <c r="AJ111" s="70">
        <v>58.88</v>
      </c>
      <c r="AK111" s="71">
        <v>59.08</v>
      </c>
      <c r="AL111" s="52">
        <v>45799</v>
      </c>
      <c r="AM111" s="107">
        <v>70</v>
      </c>
      <c r="AN111" s="107">
        <v>69</v>
      </c>
      <c r="AO111" s="107">
        <v>30</v>
      </c>
      <c r="AP111" s="107">
        <v>31</v>
      </c>
      <c r="AQ111" s="107">
        <v>33</v>
      </c>
      <c r="AR111" s="107">
        <v>34</v>
      </c>
      <c r="AS111" s="107">
        <v>67</v>
      </c>
      <c r="AT111" s="107">
        <v>66</v>
      </c>
      <c r="AU111" s="50"/>
      <c r="AV111" s="76">
        <v>654616</v>
      </c>
      <c r="AW111" s="76" t="s">
        <v>65</v>
      </c>
      <c r="AX111" s="50"/>
      <c r="AY111" s="76">
        <v>961262</v>
      </c>
      <c r="AZ111" s="76" t="s">
        <v>65</v>
      </c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</row>
    <row r="112" spans="1:91" ht="14.25" customHeight="1" x14ac:dyDescent="0.35">
      <c r="A112" s="67" t="s">
        <v>9</v>
      </c>
      <c r="B112" s="72">
        <v>649207</v>
      </c>
      <c r="C112" s="47">
        <v>3256720</v>
      </c>
      <c r="D112" s="69">
        <v>950619</v>
      </c>
      <c r="E112" s="47">
        <v>4747714</v>
      </c>
      <c r="F112" s="70">
        <v>68.290000000000006</v>
      </c>
      <c r="G112" s="71">
        <v>68.599999999999994</v>
      </c>
      <c r="H112" s="72">
        <v>259895</v>
      </c>
      <c r="I112" s="47">
        <v>1313455</v>
      </c>
      <c r="J112" s="69">
        <v>292963</v>
      </c>
      <c r="K112" s="47">
        <v>1471169</v>
      </c>
      <c r="L112" s="70">
        <v>88.71</v>
      </c>
      <c r="M112" s="71">
        <v>89.28</v>
      </c>
      <c r="N112" s="72">
        <v>389313</v>
      </c>
      <c r="O112" s="47">
        <v>1943264</v>
      </c>
      <c r="P112" s="69">
        <v>657656</v>
      </c>
      <c r="Q112" s="47">
        <v>3276545</v>
      </c>
      <c r="R112" s="70">
        <v>59.2</v>
      </c>
      <c r="S112" s="71">
        <v>59.31</v>
      </c>
      <c r="T112" s="72">
        <v>370187</v>
      </c>
      <c r="U112" s="47">
        <v>1831637</v>
      </c>
      <c r="V112" s="69">
        <v>632539</v>
      </c>
      <c r="W112" s="47">
        <v>3133996</v>
      </c>
      <c r="X112" s="70">
        <v>58.52</v>
      </c>
      <c r="Y112" s="71">
        <v>58.44</v>
      </c>
      <c r="Z112" s="72">
        <v>279020</v>
      </c>
      <c r="AA112" s="47">
        <v>1425083</v>
      </c>
      <c r="AB112" s="69">
        <v>318080</v>
      </c>
      <c r="AC112" s="47">
        <v>1613719</v>
      </c>
      <c r="AD112" s="70">
        <v>87.72</v>
      </c>
      <c r="AE112" s="71">
        <v>88.31</v>
      </c>
      <c r="AF112" s="72">
        <v>378683</v>
      </c>
      <c r="AG112" s="47">
        <v>1888979</v>
      </c>
      <c r="AH112" s="69">
        <v>642470</v>
      </c>
      <c r="AI112" s="47">
        <v>3198995</v>
      </c>
      <c r="AJ112" s="70">
        <v>58.94</v>
      </c>
      <c r="AK112" s="71">
        <v>59.05</v>
      </c>
      <c r="AL112" s="52">
        <v>45830</v>
      </c>
      <c r="AM112" s="107">
        <v>69</v>
      </c>
      <c r="AN112" s="107">
        <v>69</v>
      </c>
      <c r="AO112" s="107">
        <v>31</v>
      </c>
      <c r="AP112" s="107">
        <v>31</v>
      </c>
      <c r="AQ112" s="107">
        <v>33</v>
      </c>
      <c r="AR112" s="107">
        <v>34</v>
      </c>
      <c r="AS112" s="107">
        <v>67</v>
      </c>
      <c r="AT112" s="107">
        <v>66</v>
      </c>
      <c r="AU112" s="50"/>
      <c r="AV112" s="76">
        <v>649207</v>
      </c>
      <c r="AW112" s="76" t="s">
        <v>65</v>
      </c>
      <c r="AX112" s="50"/>
      <c r="AY112" s="76">
        <v>950619</v>
      </c>
      <c r="AZ112" s="76" t="s">
        <v>65</v>
      </c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</row>
    <row r="113" spans="1:91" ht="14.25" customHeight="1" x14ac:dyDescent="0.35">
      <c r="A113" s="67" t="s">
        <v>10</v>
      </c>
      <c r="B113" s="72">
        <v>700811</v>
      </c>
      <c r="C113" s="47">
        <v>3957530</v>
      </c>
      <c r="D113" s="69">
        <v>1025821</v>
      </c>
      <c r="E113" s="47">
        <v>5773535</v>
      </c>
      <c r="F113" s="70">
        <v>68.319999999999993</v>
      </c>
      <c r="G113" s="71">
        <v>68.55</v>
      </c>
      <c r="H113" s="72">
        <v>280995</v>
      </c>
      <c r="I113" s="47">
        <v>1594451</v>
      </c>
      <c r="J113" s="69">
        <v>316866</v>
      </c>
      <c r="K113" s="47">
        <v>1788035</v>
      </c>
      <c r="L113" s="70">
        <v>88.68</v>
      </c>
      <c r="M113" s="71">
        <v>89.17</v>
      </c>
      <c r="N113" s="72">
        <v>419816</v>
      </c>
      <c r="O113" s="47">
        <v>2363080</v>
      </c>
      <c r="P113" s="69">
        <v>708955</v>
      </c>
      <c r="Q113" s="47">
        <v>3985500</v>
      </c>
      <c r="R113" s="70">
        <v>59.22</v>
      </c>
      <c r="S113" s="71">
        <v>59.29</v>
      </c>
      <c r="T113" s="72">
        <v>395058</v>
      </c>
      <c r="U113" s="47">
        <v>2226695</v>
      </c>
      <c r="V113" s="69">
        <v>674796</v>
      </c>
      <c r="W113" s="47">
        <v>3808791</v>
      </c>
      <c r="X113" s="70">
        <v>58.54</v>
      </c>
      <c r="Y113" s="71">
        <v>58.46</v>
      </c>
      <c r="Z113" s="72">
        <v>305753</v>
      </c>
      <c r="AA113" s="47">
        <v>1730835</v>
      </c>
      <c r="AB113" s="69">
        <v>351025</v>
      </c>
      <c r="AC113" s="47">
        <v>1964744</v>
      </c>
      <c r="AD113" s="70">
        <v>87.1</v>
      </c>
      <c r="AE113" s="71">
        <v>88.09</v>
      </c>
      <c r="AF113" s="72">
        <v>408362</v>
      </c>
      <c r="AG113" s="47">
        <v>2297341</v>
      </c>
      <c r="AH113" s="69">
        <v>692592</v>
      </c>
      <c r="AI113" s="47">
        <v>3891588</v>
      </c>
      <c r="AJ113" s="70">
        <v>58.96</v>
      </c>
      <c r="AK113" s="71">
        <v>59.03</v>
      </c>
      <c r="AL113" s="52">
        <v>45860</v>
      </c>
      <c r="AM113" s="107">
        <v>69</v>
      </c>
      <c r="AN113" s="107">
        <v>69</v>
      </c>
      <c r="AO113" s="107">
        <v>31</v>
      </c>
      <c r="AP113" s="107">
        <v>31</v>
      </c>
      <c r="AQ113" s="107">
        <v>34</v>
      </c>
      <c r="AR113" s="107">
        <v>34</v>
      </c>
      <c r="AS113" s="107">
        <v>66</v>
      </c>
      <c r="AT113" s="107">
        <v>66</v>
      </c>
      <c r="AU113" s="50"/>
      <c r="AV113" s="76">
        <v>700811</v>
      </c>
      <c r="AW113" s="76" t="s">
        <v>65</v>
      </c>
      <c r="AX113" s="50"/>
      <c r="AY113" s="76">
        <v>1025821</v>
      </c>
      <c r="AZ113" s="76" t="s">
        <v>65</v>
      </c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</row>
    <row r="114" spans="1:91" ht="14.25" customHeight="1" x14ac:dyDescent="0.35">
      <c r="A114" s="67" t="s">
        <v>11</v>
      </c>
      <c r="B114" s="72">
        <v>674190</v>
      </c>
      <c r="C114" s="47">
        <v>4631721</v>
      </c>
      <c r="D114" s="69">
        <v>994857</v>
      </c>
      <c r="E114" s="47">
        <v>6768392</v>
      </c>
      <c r="F114" s="70">
        <v>67.77</v>
      </c>
      <c r="G114" s="71">
        <v>68.430000000000007</v>
      </c>
      <c r="H114" s="72">
        <v>258303</v>
      </c>
      <c r="I114" s="47">
        <v>1852754</v>
      </c>
      <c r="J114" s="69">
        <v>291079</v>
      </c>
      <c r="K114" s="47">
        <v>2079114</v>
      </c>
      <c r="L114" s="70">
        <v>88.74</v>
      </c>
      <c r="M114" s="71">
        <v>89.11</v>
      </c>
      <c r="N114" s="72">
        <v>415887</v>
      </c>
      <c r="O114" s="47">
        <v>2778967</v>
      </c>
      <c r="P114" s="69">
        <v>703779</v>
      </c>
      <c r="Q114" s="47">
        <v>4689279</v>
      </c>
      <c r="R114" s="70">
        <v>59.09</v>
      </c>
      <c r="S114" s="71">
        <v>59.26</v>
      </c>
      <c r="T114" s="72">
        <v>396167</v>
      </c>
      <c r="U114" s="47">
        <v>2622862</v>
      </c>
      <c r="V114" s="69">
        <v>677837</v>
      </c>
      <c r="W114" s="47">
        <v>4486628</v>
      </c>
      <c r="X114" s="70">
        <v>58.45</v>
      </c>
      <c r="Y114" s="71">
        <v>58.46</v>
      </c>
      <c r="Z114" s="72">
        <v>278023</v>
      </c>
      <c r="AA114" s="47">
        <v>2008859</v>
      </c>
      <c r="AB114" s="69">
        <v>317020</v>
      </c>
      <c r="AC114" s="47">
        <v>2281764</v>
      </c>
      <c r="AD114" s="70">
        <v>87.7</v>
      </c>
      <c r="AE114" s="71">
        <v>88.04</v>
      </c>
      <c r="AF114" s="72">
        <v>404769</v>
      </c>
      <c r="AG114" s="47">
        <v>2702110</v>
      </c>
      <c r="AH114" s="69">
        <v>687896</v>
      </c>
      <c r="AI114" s="47">
        <v>4579483</v>
      </c>
      <c r="AJ114" s="70">
        <v>58.84</v>
      </c>
      <c r="AK114" s="71">
        <v>59</v>
      </c>
      <c r="AL114" s="52">
        <v>45891</v>
      </c>
      <c r="AM114" s="107">
        <v>71</v>
      </c>
      <c r="AN114" s="107">
        <v>69</v>
      </c>
      <c r="AO114" s="107">
        <v>29</v>
      </c>
      <c r="AP114" s="107">
        <v>31</v>
      </c>
      <c r="AQ114" s="107">
        <v>32</v>
      </c>
      <c r="AR114" s="107">
        <v>34</v>
      </c>
      <c r="AS114" s="107">
        <v>68</v>
      </c>
      <c r="AT114" s="107">
        <v>66</v>
      </c>
      <c r="AU114" s="50"/>
      <c r="AV114" s="76">
        <v>674190</v>
      </c>
      <c r="AW114" s="76" t="s">
        <v>65</v>
      </c>
      <c r="AX114" s="50"/>
      <c r="AY114" s="76">
        <v>994857</v>
      </c>
      <c r="AZ114" s="76" t="s">
        <v>65</v>
      </c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</row>
    <row r="115" spans="1:91" ht="14.25" customHeight="1" x14ac:dyDescent="0.35">
      <c r="A115" s="67" t="s">
        <v>12</v>
      </c>
      <c r="B115" s="72">
        <v>704370</v>
      </c>
      <c r="C115" s="47">
        <v>5336091</v>
      </c>
      <c r="D115" s="69">
        <v>1024618</v>
      </c>
      <c r="E115" s="47">
        <v>7793010</v>
      </c>
      <c r="F115" s="70">
        <v>68.739999999999995</v>
      </c>
      <c r="G115" s="71">
        <v>68.47</v>
      </c>
      <c r="H115" s="72">
        <v>286727</v>
      </c>
      <c r="I115" s="47">
        <v>2139481</v>
      </c>
      <c r="J115" s="69">
        <v>320875</v>
      </c>
      <c r="K115" s="47">
        <v>2399989</v>
      </c>
      <c r="L115" s="70">
        <v>89.36</v>
      </c>
      <c r="M115" s="71">
        <v>89.15</v>
      </c>
      <c r="N115" s="72">
        <v>417643</v>
      </c>
      <c r="O115" s="47">
        <v>3196610</v>
      </c>
      <c r="P115" s="69">
        <v>703742</v>
      </c>
      <c r="Q115" s="47">
        <v>5393021</v>
      </c>
      <c r="R115" s="70">
        <v>59.35</v>
      </c>
      <c r="S115" s="71">
        <v>59.27</v>
      </c>
      <c r="T115" s="72">
        <v>393547</v>
      </c>
      <c r="U115" s="47">
        <v>3016409</v>
      </c>
      <c r="V115" s="69">
        <v>673232</v>
      </c>
      <c r="W115" s="47">
        <v>5159861</v>
      </c>
      <c r="X115" s="70">
        <v>58.46</v>
      </c>
      <c r="Y115" s="71">
        <v>58.46</v>
      </c>
      <c r="Z115" s="72">
        <v>310823</v>
      </c>
      <c r="AA115" s="47">
        <v>2319682</v>
      </c>
      <c r="AB115" s="69">
        <v>351385</v>
      </c>
      <c r="AC115" s="47">
        <v>2633149</v>
      </c>
      <c r="AD115" s="70">
        <v>88.46</v>
      </c>
      <c r="AE115" s="71">
        <v>88.1</v>
      </c>
      <c r="AF115" s="72">
        <v>406512</v>
      </c>
      <c r="AG115" s="47">
        <v>3108622</v>
      </c>
      <c r="AH115" s="69">
        <v>687841</v>
      </c>
      <c r="AI115" s="47">
        <v>5267324</v>
      </c>
      <c r="AJ115" s="70">
        <v>59.1</v>
      </c>
      <c r="AK115" s="71">
        <v>59.02</v>
      </c>
      <c r="AL115" s="52">
        <v>45922</v>
      </c>
      <c r="AM115" s="107">
        <v>69</v>
      </c>
      <c r="AN115" s="107">
        <v>69</v>
      </c>
      <c r="AO115" s="107">
        <v>31</v>
      </c>
      <c r="AP115" s="107">
        <v>31</v>
      </c>
      <c r="AQ115" s="107">
        <v>34</v>
      </c>
      <c r="AR115" s="107">
        <v>34</v>
      </c>
      <c r="AS115" s="107">
        <v>66</v>
      </c>
      <c r="AT115" s="107">
        <v>66</v>
      </c>
      <c r="AU115" s="50"/>
      <c r="AV115" s="76">
        <v>704370</v>
      </c>
      <c r="AW115" s="76" t="s">
        <v>65</v>
      </c>
      <c r="AX115" s="50"/>
      <c r="AY115" s="76">
        <v>1024618</v>
      </c>
      <c r="AZ115" s="76" t="s">
        <v>65</v>
      </c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</row>
    <row r="116" spans="1:91" ht="14.25" customHeight="1" x14ac:dyDescent="0.35">
      <c r="A116" s="67" t="s">
        <v>13</v>
      </c>
      <c r="B116" s="72">
        <v>764956</v>
      </c>
      <c r="C116" s="47">
        <v>6101047</v>
      </c>
      <c r="D116" s="69">
        <v>1100671</v>
      </c>
      <c r="E116" s="47">
        <v>8893681</v>
      </c>
      <c r="F116" s="70">
        <v>69.5</v>
      </c>
      <c r="G116" s="71">
        <v>68.599999999999994</v>
      </c>
      <c r="H116" s="72">
        <v>328561</v>
      </c>
      <c r="I116" s="47">
        <v>2468042</v>
      </c>
      <c r="J116" s="69">
        <v>367685</v>
      </c>
      <c r="K116" s="47">
        <v>2767674</v>
      </c>
      <c r="L116" s="70">
        <v>89.36</v>
      </c>
      <c r="M116" s="71">
        <v>89.17</v>
      </c>
      <c r="N116" s="72">
        <v>436396</v>
      </c>
      <c r="O116" s="47">
        <v>3633006</v>
      </c>
      <c r="P116" s="69">
        <v>732986</v>
      </c>
      <c r="Q116" s="47">
        <v>6126007</v>
      </c>
      <c r="R116" s="70">
        <v>59.54</v>
      </c>
      <c r="S116" s="71">
        <v>59.3</v>
      </c>
      <c r="T116" s="72">
        <v>398445</v>
      </c>
      <c r="U116" s="47">
        <v>3414855</v>
      </c>
      <c r="V116" s="69">
        <v>680147</v>
      </c>
      <c r="W116" s="47">
        <v>5840008</v>
      </c>
      <c r="X116" s="70">
        <v>58.58</v>
      </c>
      <c r="Y116" s="71">
        <v>58.47</v>
      </c>
      <c r="Z116" s="72">
        <v>366511</v>
      </c>
      <c r="AA116" s="47">
        <v>2686193</v>
      </c>
      <c r="AB116" s="69">
        <v>420523</v>
      </c>
      <c r="AC116" s="47">
        <v>3053672</v>
      </c>
      <c r="AD116" s="70">
        <v>87.16</v>
      </c>
      <c r="AE116" s="71">
        <v>87.97</v>
      </c>
      <c r="AF116" s="72">
        <v>422471</v>
      </c>
      <c r="AG116" s="47">
        <v>3531093</v>
      </c>
      <c r="AH116" s="69">
        <v>713094</v>
      </c>
      <c r="AI116" s="47">
        <v>5980417</v>
      </c>
      <c r="AJ116" s="70">
        <v>59.24</v>
      </c>
      <c r="AK116" s="71">
        <v>59.04</v>
      </c>
      <c r="AL116" s="52">
        <v>45952</v>
      </c>
      <c r="AM116" s="107">
        <v>67</v>
      </c>
      <c r="AN116" s="107">
        <v>69</v>
      </c>
      <c r="AO116" s="107">
        <v>33</v>
      </c>
      <c r="AP116" s="107">
        <v>31</v>
      </c>
      <c r="AQ116" s="107">
        <v>38</v>
      </c>
      <c r="AR116" s="107">
        <v>34</v>
      </c>
      <c r="AS116" s="107">
        <v>62</v>
      </c>
      <c r="AT116" s="107">
        <v>66</v>
      </c>
      <c r="AU116" s="50"/>
      <c r="AV116" s="76">
        <v>764956</v>
      </c>
      <c r="AW116" s="76" t="s">
        <v>65</v>
      </c>
      <c r="AX116" s="50"/>
      <c r="AY116" s="76">
        <v>1100671</v>
      </c>
      <c r="AZ116" s="76" t="s">
        <v>65</v>
      </c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</row>
    <row r="117" spans="1:91" ht="14.25" customHeight="1" x14ac:dyDescent="0.35">
      <c r="A117" s="67" t="s">
        <v>14</v>
      </c>
      <c r="B117" s="72">
        <v>716174</v>
      </c>
      <c r="C117" s="47">
        <v>6817222</v>
      </c>
      <c r="D117" s="69">
        <v>1030459</v>
      </c>
      <c r="E117" s="47">
        <v>9924139</v>
      </c>
      <c r="F117" s="70">
        <v>69.5</v>
      </c>
      <c r="G117" s="71">
        <v>68.69</v>
      </c>
      <c r="H117" s="72">
        <v>307300</v>
      </c>
      <c r="I117" s="47">
        <v>2775342</v>
      </c>
      <c r="J117" s="69">
        <v>343549</v>
      </c>
      <c r="K117" s="47">
        <v>3111223</v>
      </c>
      <c r="L117" s="70">
        <v>89.45</v>
      </c>
      <c r="M117" s="71">
        <v>89.2</v>
      </c>
      <c r="N117" s="72">
        <v>408874</v>
      </c>
      <c r="O117" s="47">
        <v>4041880</v>
      </c>
      <c r="P117" s="69">
        <v>686910</v>
      </c>
      <c r="Q117" s="47">
        <v>6812917</v>
      </c>
      <c r="R117" s="70">
        <v>59.52</v>
      </c>
      <c r="S117" s="71">
        <v>59.33</v>
      </c>
      <c r="T117" s="72">
        <v>381455</v>
      </c>
      <c r="U117" s="47">
        <v>3796309</v>
      </c>
      <c r="V117" s="69">
        <v>651836</v>
      </c>
      <c r="W117" s="47">
        <v>6491844</v>
      </c>
      <c r="X117" s="70">
        <v>58.52</v>
      </c>
      <c r="Y117" s="71">
        <v>58.48</v>
      </c>
      <c r="Z117" s="72">
        <v>334720</v>
      </c>
      <c r="AA117" s="47">
        <v>3020912</v>
      </c>
      <c r="AB117" s="69">
        <v>378623</v>
      </c>
      <c r="AC117" s="47">
        <v>3432296</v>
      </c>
      <c r="AD117" s="70">
        <v>88.4</v>
      </c>
      <c r="AE117" s="71">
        <v>88.01</v>
      </c>
      <c r="AF117" s="72">
        <v>395091</v>
      </c>
      <c r="AG117" s="47">
        <v>3926184</v>
      </c>
      <c r="AH117" s="69">
        <v>667219</v>
      </c>
      <c r="AI117" s="47">
        <v>6647636</v>
      </c>
      <c r="AJ117" s="70">
        <v>59.21</v>
      </c>
      <c r="AK117" s="71">
        <v>59.06</v>
      </c>
      <c r="AL117" s="52">
        <v>45983</v>
      </c>
      <c r="AM117" s="107">
        <v>67</v>
      </c>
      <c r="AN117" s="107">
        <v>69</v>
      </c>
      <c r="AO117" s="107">
        <v>33</v>
      </c>
      <c r="AP117" s="107">
        <v>31</v>
      </c>
      <c r="AQ117" s="107">
        <v>37</v>
      </c>
      <c r="AR117" s="107">
        <v>35</v>
      </c>
      <c r="AS117" s="107">
        <v>63</v>
      </c>
      <c r="AT117" s="107">
        <v>65</v>
      </c>
      <c r="AU117" s="50"/>
      <c r="AV117" s="76">
        <v>716174</v>
      </c>
      <c r="AW117" s="76" t="s">
        <v>65</v>
      </c>
      <c r="AX117" s="50"/>
      <c r="AY117" s="76">
        <v>1030459</v>
      </c>
      <c r="AZ117" s="76" t="s">
        <v>65</v>
      </c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</row>
    <row r="118" spans="1:91" ht="14.25" customHeight="1" x14ac:dyDescent="0.35">
      <c r="A118" s="67" t="s">
        <v>15</v>
      </c>
      <c r="B118" s="82">
        <v>699524</v>
      </c>
      <c r="C118" s="78">
        <v>7516746</v>
      </c>
      <c r="D118" s="79">
        <v>1007228</v>
      </c>
      <c r="E118" s="78">
        <v>10931367</v>
      </c>
      <c r="F118" s="80">
        <v>69.45</v>
      </c>
      <c r="G118" s="81">
        <v>68.760000000000005</v>
      </c>
      <c r="H118" s="82">
        <v>299476</v>
      </c>
      <c r="I118" s="78">
        <v>3074818</v>
      </c>
      <c r="J118" s="79">
        <v>334618</v>
      </c>
      <c r="K118" s="78">
        <v>3445840</v>
      </c>
      <c r="L118" s="80">
        <v>89.5</v>
      </c>
      <c r="M118" s="81">
        <v>89.23</v>
      </c>
      <c r="N118" s="82">
        <v>400048</v>
      </c>
      <c r="O118" s="78">
        <v>4441928</v>
      </c>
      <c r="P118" s="79">
        <v>672610</v>
      </c>
      <c r="Q118" s="78">
        <v>7485527</v>
      </c>
      <c r="R118" s="80">
        <v>59.48</v>
      </c>
      <c r="S118" s="81">
        <v>59.34</v>
      </c>
      <c r="T118" s="82">
        <v>369586</v>
      </c>
      <c r="U118" s="78">
        <v>4165895</v>
      </c>
      <c r="V118" s="79">
        <v>631935</v>
      </c>
      <c r="W118" s="78">
        <v>7123779</v>
      </c>
      <c r="X118" s="80">
        <v>58.48</v>
      </c>
      <c r="Y118" s="81">
        <v>58.48</v>
      </c>
      <c r="Z118" s="82">
        <v>329938</v>
      </c>
      <c r="AA118" s="78">
        <v>3350851</v>
      </c>
      <c r="AB118" s="79">
        <v>375293</v>
      </c>
      <c r="AC118" s="78">
        <v>3807589</v>
      </c>
      <c r="AD118" s="80">
        <v>87.91</v>
      </c>
      <c r="AE118" s="81">
        <v>88</v>
      </c>
      <c r="AF118" s="82">
        <v>386960</v>
      </c>
      <c r="AG118" s="78">
        <v>4313144</v>
      </c>
      <c r="AH118" s="79">
        <v>653913</v>
      </c>
      <c r="AI118" s="78">
        <v>7301550</v>
      </c>
      <c r="AJ118" s="80">
        <v>59.18</v>
      </c>
      <c r="AK118" s="81">
        <v>59.07</v>
      </c>
      <c r="AL118" s="52">
        <v>46013</v>
      </c>
      <c r="AM118" s="107">
        <v>67</v>
      </c>
      <c r="AN118" s="107">
        <v>68</v>
      </c>
      <c r="AO118" s="107">
        <v>33</v>
      </c>
      <c r="AP118" s="107">
        <v>32</v>
      </c>
      <c r="AQ118" s="107">
        <v>37</v>
      </c>
      <c r="AR118" s="107">
        <v>35</v>
      </c>
      <c r="AS118" s="107">
        <v>63</v>
      </c>
      <c r="AT118" s="107">
        <v>65</v>
      </c>
      <c r="AU118" s="50"/>
      <c r="AV118" s="76">
        <v>699524</v>
      </c>
      <c r="AW118" s="76" t="s">
        <v>65</v>
      </c>
      <c r="AX118" s="50"/>
      <c r="AY118" s="76">
        <v>1007228</v>
      </c>
      <c r="AZ118" s="76" t="s">
        <v>65</v>
      </c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</row>
    <row r="119" spans="1:91" ht="14.25" customHeight="1" x14ac:dyDescent="0.35">
      <c r="A119" s="50"/>
      <c r="B119" s="50"/>
      <c r="C119" s="50"/>
      <c r="D119" s="50"/>
      <c r="E119" s="50"/>
      <c r="F119" s="10">
        <v>0</v>
      </c>
      <c r="G119" s="10">
        <v>0</v>
      </c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10" t="s">
        <v>138</v>
      </c>
      <c r="AN119" s="50"/>
      <c r="AO119" s="50"/>
      <c r="AP119" s="46"/>
      <c r="AQ119" s="50"/>
      <c r="AR119" s="50"/>
      <c r="AS119" s="46"/>
      <c r="AT119" s="50"/>
      <c r="AU119" s="50"/>
      <c r="AV119" s="46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</row>
    <row r="120" spans="1:91" ht="14.25" customHeight="1" x14ac:dyDescent="0.35">
      <c r="A120" s="50"/>
      <c r="B120" s="50"/>
      <c r="C120" s="50"/>
      <c r="D120" s="50"/>
      <c r="E120" s="50"/>
      <c r="F120" s="50"/>
      <c r="G120" s="55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49"/>
      <c r="X120" s="50"/>
      <c r="Y120" s="50"/>
      <c r="Z120" s="50"/>
      <c r="AA120" s="50"/>
      <c r="AB120" s="50"/>
      <c r="AC120" s="49"/>
      <c r="AD120" s="50"/>
      <c r="AE120" s="50"/>
      <c r="AF120" s="50"/>
      <c r="AG120" s="50"/>
      <c r="AH120" s="50"/>
      <c r="AI120" s="50"/>
      <c r="AJ120" s="50"/>
      <c r="AK120" s="50"/>
      <c r="AL120" s="50"/>
      <c r="AM120" s="10" t="s">
        <v>141</v>
      </c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</row>
    <row r="121" spans="1:91" ht="14.25" customHeight="1" x14ac:dyDescent="0.35">
      <c r="A121" s="50"/>
      <c r="B121" s="50"/>
      <c r="C121" s="50"/>
      <c r="D121" s="50"/>
      <c r="E121" s="50"/>
      <c r="F121" s="50"/>
      <c r="G121" s="50"/>
      <c r="H121" s="76"/>
      <c r="I121" s="46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10"/>
      <c r="AG121" s="50"/>
      <c r="AH121" s="50"/>
      <c r="AI121" s="50"/>
      <c r="AJ121" s="50"/>
      <c r="AK121" s="50"/>
      <c r="AL121" s="50"/>
      <c r="AM121" s="10" t="s">
        <v>142</v>
      </c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</row>
    <row r="122" spans="1:91" ht="14.25" customHeight="1" x14ac:dyDescent="0.35">
      <c r="A122" s="50"/>
      <c r="B122" s="50"/>
      <c r="C122" s="50"/>
      <c r="D122" s="50"/>
      <c r="E122" s="50"/>
      <c r="F122" s="50"/>
      <c r="G122" s="50"/>
      <c r="H122" s="76"/>
      <c r="I122" s="46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1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  <c r="BW122" s="50"/>
      <c r="BX122" s="50"/>
      <c r="BY122" s="50"/>
      <c r="BZ122" s="50"/>
      <c r="CA122" s="50"/>
      <c r="CB122" s="50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</row>
    <row r="123" spans="1:91" ht="14.25" customHeight="1" x14ac:dyDescent="0.35">
      <c r="A123" s="50"/>
      <c r="B123" s="50"/>
      <c r="C123" s="50"/>
      <c r="D123" s="50"/>
      <c r="E123" s="50"/>
      <c r="F123" s="50"/>
      <c r="G123" s="50"/>
      <c r="H123" s="46"/>
      <c r="I123" s="46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</row>
    <row r="124" spans="1:91" ht="14.25" customHeight="1" x14ac:dyDescent="0.35">
      <c r="A124" s="50"/>
      <c r="B124" s="50"/>
      <c r="C124" s="50"/>
      <c r="D124" s="50"/>
      <c r="E124" s="50"/>
      <c r="F124" s="50"/>
      <c r="G124" s="50"/>
      <c r="H124" s="46"/>
      <c r="I124" s="46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</row>
    <row r="125" spans="1:91" ht="14.25" customHeight="1" x14ac:dyDescent="0.35">
      <c r="A125" s="50"/>
      <c r="B125" s="50"/>
      <c r="C125" s="50"/>
      <c r="D125" s="50"/>
      <c r="E125" s="50"/>
      <c r="F125" s="50"/>
      <c r="G125" s="50"/>
      <c r="H125" s="46"/>
      <c r="I125" s="46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</row>
    <row r="126" spans="1:91" ht="14.25" customHeight="1" x14ac:dyDescent="0.35">
      <c r="A126" s="50"/>
      <c r="B126" s="50"/>
      <c r="C126" s="50"/>
      <c r="D126" s="50"/>
      <c r="E126" s="50"/>
      <c r="F126" s="50"/>
      <c r="G126" s="50"/>
      <c r="H126" s="46"/>
      <c r="I126" s="46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</row>
    <row r="127" spans="1:91" ht="14.25" customHeight="1" x14ac:dyDescent="0.35">
      <c r="A127" s="50"/>
      <c r="B127" s="50"/>
      <c r="C127" s="50"/>
      <c r="D127" s="50"/>
      <c r="E127" s="50"/>
      <c r="F127" s="50"/>
      <c r="G127" s="50"/>
      <c r="H127" s="46"/>
      <c r="I127" s="46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</row>
    <row r="128" spans="1:91" ht="14.25" customHeight="1" x14ac:dyDescent="0.35">
      <c r="A128" s="50"/>
      <c r="B128" s="50"/>
      <c r="C128" s="50"/>
      <c r="D128" s="50"/>
      <c r="E128" s="50"/>
      <c r="F128" s="50"/>
      <c r="G128" s="50"/>
      <c r="H128" s="46"/>
      <c r="I128" s="46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  <c r="BW128" s="50"/>
      <c r="BX128" s="50"/>
      <c r="BY128" s="50"/>
      <c r="BZ128" s="50"/>
      <c r="CA128" s="50"/>
      <c r="CB128" s="50"/>
      <c r="CC128" s="50"/>
      <c r="CD128" s="50"/>
      <c r="CE128" s="50"/>
      <c r="CF128" s="50"/>
      <c r="CG128" s="50"/>
      <c r="CH128" s="50"/>
      <c r="CI128" s="50"/>
      <c r="CJ128" s="50"/>
      <c r="CK128" s="50"/>
      <c r="CL128" s="50"/>
      <c r="CM128" s="50"/>
    </row>
    <row r="129" spans="1:91" ht="14.25" customHeight="1" x14ac:dyDescent="0.35">
      <c r="A129" s="50"/>
      <c r="B129" s="50"/>
      <c r="C129" s="50"/>
      <c r="D129" s="50"/>
      <c r="E129" s="50"/>
      <c r="F129" s="50"/>
      <c r="G129" s="50"/>
      <c r="H129" s="46"/>
      <c r="I129" s="46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</row>
    <row r="130" spans="1:91" ht="14.25" customHeight="1" x14ac:dyDescent="0.35">
      <c r="A130" s="50"/>
      <c r="B130" s="50"/>
      <c r="C130" s="50"/>
      <c r="D130" s="50"/>
      <c r="E130" s="50"/>
      <c r="F130" s="50"/>
      <c r="G130" s="50"/>
      <c r="H130" s="46"/>
      <c r="I130" s="46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</row>
    <row r="131" spans="1:91" ht="14.25" customHeight="1" x14ac:dyDescent="0.35">
      <c r="A131" s="50"/>
      <c r="B131" s="50"/>
      <c r="C131" s="50"/>
      <c r="D131" s="50"/>
      <c r="E131" s="50"/>
      <c r="F131" s="50"/>
      <c r="G131" s="50"/>
      <c r="H131" s="46"/>
      <c r="I131" s="46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</row>
    <row r="132" spans="1:91" ht="14.25" customHeight="1" x14ac:dyDescent="0.35">
      <c r="A132" s="50"/>
      <c r="B132" s="50"/>
      <c r="C132" s="50"/>
      <c r="D132" s="50"/>
      <c r="E132" s="50"/>
      <c r="F132" s="50"/>
      <c r="G132" s="50"/>
      <c r="H132" s="46"/>
      <c r="I132" s="46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</row>
    <row r="133" spans="1:91" ht="14.25" customHeight="1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</row>
    <row r="134" spans="1:91" ht="14.25" customHeight="1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</row>
    <row r="135" spans="1:91" ht="14.25" customHeight="1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</row>
    <row r="136" spans="1:91" ht="14.25" customHeight="1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</row>
    <row r="137" spans="1:91" ht="14.25" customHeight="1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</row>
    <row r="138" spans="1:91" ht="14.25" customHeight="1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</row>
    <row r="139" spans="1:91" ht="14.25" customHeight="1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</row>
    <row r="140" spans="1:91" ht="14.25" customHeight="1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</row>
    <row r="141" spans="1:91" ht="14.25" customHeight="1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</row>
    <row r="142" spans="1:91" ht="14.25" customHeight="1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</row>
    <row r="143" spans="1:91" ht="14.25" customHeight="1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  <c r="CE143" s="50"/>
      <c r="CF143" s="50"/>
      <c r="CG143" s="50"/>
      <c r="CH143" s="50"/>
      <c r="CI143" s="50"/>
      <c r="CJ143" s="50"/>
      <c r="CK143" s="50"/>
      <c r="CL143" s="50"/>
      <c r="CM143" s="50"/>
    </row>
    <row r="144" spans="1:91" ht="14.25" customHeight="1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  <c r="CM144" s="50"/>
    </row>
    <row r="145" spans="1:91" ht="14.25" customHeight="1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  <c r="CE145" s="50"/>
      <c r="CF145" s="50"/>
      <c r="CG145" s="50"/>
      <c r="CH145" s="50"/>
      <c r="CI145" s="50"/>
      <c r="CJ145" s="50"/>
      <c r="CK145" s="50"/>
      <c r="CL145" s="50"/>
      <c r="CM145" s="50"/>
    </row>
    <row r="146" spans="1:91" ht="14.25" customHeight="1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  <c r="CM146" s="50"/>
    </row>
    <row r="147" spans="1:91" ht="14.25" customHeight="1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D147" s="50"/>
      <c r="CE147" s="50"/>
      <c r="CF147" s="50"/>
      <c r="CG147" s="50"/>
      <c r="CH147" s="50"/>
      <c r="CI147" s="50"/>
      <c r="CJ147" s="50"/>
      <c r="CK147" s="50"/>
      <c r="CL147" s="50"/>
      <c r="CM147" s="50"/>
    </row>
    <row r="148" spans="1:91" ht="14.25" customHeight="1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  <c r="BO148" s="50"/>
      <c r="BP148" s="50"/>
      <c r="BQ148" s="50"/>
      <c r="BR148" s="50"/>
      <c r="BS148" s="50"/>
      <c r="BT148" s="50"/>
      <c r="BU148" s="50"/>
      <c r="BV148" s="50"/>
      <c r="BW148" s="50"/>
      <c r="BX148" s="50"/>
      <c r="BY148" s="50"/>
      <c r="BZ148" s="50"/>
      <c r="CA148" s="50"/>
      <c r="CB148" s="50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</row>
    <row r="149" spans="1:91" ht="14.25" customHeight="1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  <c r="BW149" s="50"/>
      <c r="BX149" s="50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</row>
    <row r="150" spans="1:91" ht="14.25" customHeight="1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0"/>
      <c r="BT150" s="50"/>
      <c r="BU150" s="50"/>
      <c r="BV150" s="50"/>
      <c r="BW150" s="50"/>
      <c r="BX150" s="50"/>
      <c r="BY150" s="50"/>
      <c r="BZ150" s="50"/>
      <c r="CA150" s="50"/>
      <c r="CB150" s="50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  <c r="CM150" s="50"/>
    </row>
    <row r="151" spans="1:91" ht="14.25" customHeight="1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  <c r="CM151" s="50"/>
    </row>
    <row r="152" spans="1:91" ht="14.25" customHeight="1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50"/>
      <c r="BW152" s="50"/>
      <c r="BX152" s="50"/>
      <c r="BY152" s="50"/>
      <c r="BZ152" s="50"/>
      <c r="CA152" s="50"/>
      <c r="CB152" s="50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  <c r="CM152" s="50"/>
    </row>
    <row r="153" spans="1:91" ht="14.25" customHeight="1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0"/>
      <c r="BT153" s="50"/>
      <c r="BU153" s="50"/>
      <c r="BV153" s="50"/>
      <c r="BW153" s="50"/>
      <c r="BX153" s="50"/>
      <c r="BY153" s="50"/>
      <c r="BZ153" s="50"/>
      <c r="CA153" s="50"/>
      <c r="CB153" s="50"/>
      <c r="CC153" s="50"/>
      <c r="CD153" s="50"/>
      <c r="CE153" s="50"/>
      <c r="CF153" s="50"/>
      <c r="CG153" s="50"/>
      <c r="CH153" s="50"/>
      <c r="CI153" s="50"/>
      <c r="CJ153" s="50"/>
      <c r="CK153" s="50"/>
      <c r="CL153" s="50"/>
      <c r="CM153" s="50"/>
    </row>
    <row r="154" spans="1:91" ht="14.25" customHeight="1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  <c r="BW154" s="50"/>
      <c r="BX154" s="50"/>
      <c r="BY154" s="50"/>
      <c r="BZ154" s="50"/>
      <c r="CA154" s="50"/>
      <c r="CB154" s="50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  <c r="CM154" s="50"/>
    </row>
    <row r="155" spans="1:91" ht="14.25" customHeight="1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50"/>
      <c r="BL155" s="50"/>
      <c r="BM155" s="50"/>
      <c r="BN155" s="50"/>
      <c r="BO155" s="50"/>
      <c r="BP155" s="50"/>
      <c r="BQ155" s="50"/>
      <c r="BR155" s="50"/>
      <c r="BS155" s="50"/>
      <c r="BT155" s="50"/>
      <c r="BU155" s="50"/>
      <c r="BV155" s="50"/>
      <c r="BW155" s="50"/>
      <c r="BX155" s="50"/>
      <c r="BY155" s="50"/>
      <c r="BZ155" s="50"/>
      <c r="CA155" s="50"/>
      <c r="CB155" s="50"/>
      <c r="CC155" s="50"/>
      <c r="CD155" s="50"/>
      <c r="CE155" s="50"/>
      <c r="CF155" s="50"/>
      <c r="CG155" s="50"/>
      <c r="CH155" s="50"/>
      <c r="CI155" s="50"/>
      <c r="CJ155" s="50"/>
      <c r="CK155" s="50"/>
      <c r="CL155" s="50"/>
      <c r="CM155" s="50"/>
    </row>
    <row r="156" spans="1:91" ht="14.25" customHeight="1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  <c r="BW156" s="50"/>
      <c r="BX156" s="50"/>
      <c r="BY156" s="50"/>
      <c r="BZ156" s="50"/>
      <c r="CA156" s="50"/>
      <c r="CB156" s="50"/>
      <c r="CC156" s="50"/>
      <c r="CD156" s="50"/>
      <c r="CE156" s="50"/>
      <c r="CF156" s="50"/>
      <c r="CG156" s="50"/>
      <c r="CH156" s="50"/>
      <c r="CI156" s="50"/>
      <c r="CJ156" s="50"/>
      <c r="CK156" s="50"/>
      <c r="CL156" s="50"/>
      <c r="CM156" s="50"/>
    </row>
    <row r="157" spans="1:91" ht="14.25" customHeight="1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0"/>
      <c r="BT157" s="50"/>
      <c r="BU157" s="50"/>
      <c r="BV157" s="50"/>
      <c r="BW157" s="50"/>
      <c r="BX157" s="50"/>
      <c r="BY157" s="50"/>
      <c r="BZ157" s="50"/>
      <c r="CA157" s="50"/>
      <c r="CB157" s="50"/>
      <c r="CC157" s="50"/>
      <c r="CD157" s="50"/>
      <c r="CE157" s="50"/>
      <c r="CF157" s="50"/>
      <c r="CG157" s="50"/>
      <c r="CH157" s="50"/>
      <c r="CI157" s="50"/>
      <c r="CJ157" s="50"/>
      <c r="CK157" s="50"/>
      <c r="CL157" s="50"/>
      <c r="CM157" s="50"/>
    </row>
    <row r="158" spans="1:91" ht="14.25" customHeight="1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</row>
    <row r="159" spans="1:91" ht="14.25" customHeight="1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  <c r="CE159" s="50"/>
      <c r="CF159" s="50"/>
      <c r="CG159" s="50"/>
      <c r="CH159" s="50"/>
      <c r="CI159" s="50"/>
      <c r="CJ159" s="50"/>
      <c r="CK159" s="50"/>
      <c r="CL159" s="50"/>
      <c r="CM159" s="50"/>
    </row>
    <row r="160" spans="1:91" ht="14.25" customHeight="1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  <c r="BW160" s="50"/>
      <c r="BX160" s="50"/>
      <c r="BY160" s="50"/>
      <c r="BZ160" s="50"/>
      <c r="CA160" s="50"/>
      <c r="CB160" s="50"/>
      <c r="CC160" s="50"/>
      <c r="CD160" s="50"/>
      <c r="CE160" s="50"/>
      <c r="CF160" s="50"/>
      <c r="CG160" s="50"/>
      <c r="CH160" s="50"/>
      <c r="CI160" s="50"/>
      <c r="CJ160" s="50"/>
      <c r="CK160" s="50"/>
      <c r="CL160" s="50"/>
      <c r="CM160" s="50"/>
    </row>
    <row r="161" spans="1:91" ht="14.25" customHeight="1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  <c r="CB161" s="50"/>
      <c r="CC161" s="50"/>
      <c r="CD161" s="50"/>
      <c r="CE161" s="50"/>
      <c r="CF161" s="50"/>
      <c r="CG161" s="50"/>
      <c r="CH161" s="50"/>
      <c r="CI161" s="50"/>
      <c r="CJ161" s="50"/>
      <c r="CK161" s="50"/>
      <c r="CL161" s="50"/>
      <c r="CM161" s="50"/>
    </row>
    <row r="162" spans="1:91" ht="14.25" customHeight="1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  <c r="BW162" s="50"/>
      <c r="BX162" s="50"/>
      <c r="BY162" s="50"/>
      <c r="BZ162" s="50"/>
      <c r="CA162" s="50"/>
      <c r="CB162" s="50"/>
      <c r="CC162" s="50"/>
      <c r="CD162" s="50"/>
      <c r="CE162" s="50"/>
      <c r="CF162" s="50"/>
      <c r="CG162" s="50"/>
      <c r="CH162" s="50"/>
      <c r="CI162" s="50"/>
      <c r="CJ162" s="50"/>
      <c r="CK162" s="50"/>
      <c r="CL162" s="50"/>
      <c r="CM162" s="50"/>
    </row>
    <row r="163" spans="1:91" ht="14.25" customHeight="1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</row>
    <row r="164" spans="1:91" ht="14.25" customHeight="1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  <c r="CE164" s="50"/>
      <c r="CF164" s="50"/>
      <c r="CG164" s="50"/>
      <c r="CH164" s="50"/>
      <c r="CI164" s="50"/>
      <c r="CJ164" s="50"/>
      <c r="CK164" s="50"/>
      <c r="CL164" s="50"/>
      <c r="CM164" s="50"/>
    </row>
    <row r="165" spans="1:91" ht="14.25" customHeight="1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  <c r="CM165" s="50"/>
    </row>
    <row r="166" spans="1:91" ht="14.25" customHeight="1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</row>
    <row r="167" spans="1:91" ht="14.25" customHeight="1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</row>
    <row r="168" spans="1:91" ht="14.25" customHeight="1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0"/>
      <c r="BT168" s="50"/>
      <c r="BU168" s="50"/>
      <c r="BV168" s="50"/>
      <c r="BW168" s="50"/>
      <c r="BX168" s="50"/>
      <c r="BY168" s="50"/>
      <c r="BZ168" s="50"/>
      <c r="CA168" s="50"/>
      <c r="CB168" s="50"/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  <c r="CM168" s="50"/>
    </row>
    <row r="169" spans="1:91" ht="14.25" customHeight="1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</row>
    <row r="170" spans="1:91" ht="14.25" customHeight="1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</row>
    <row r="171" spans="1:91" ht="14.25" customHeight="1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  <c r="CM171" s="50"/>
    </row>
    <row r="172" spans="1:91" ht="14.25" customHeight="1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</row>
    <row r="173" spans="1:91" ht="14.25" customHeight="1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  <c r="CM173" s="50"/>
    </row>
    <row r="174" spans="1:91" ht="14.25" customHeight="1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</row>
    <row r="175" spans="1:91" ht="14.25" customHeight="1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</row>
    <row r="176" spans="1:91" ht="14.25" customHeight="1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  <c r="BW176" s="50"/>
      <c r="BX176" s="50"/>
      <c r="BY176" s="50"/>
      <c r="BZ176" s="50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</row>
    <row r="177" spans="1:91" ht="14.25" customHeight="1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  <c r="BW177" s="50"/>
      <c r="BX177" s="50"/>
      <c r="BY177" s="50"/>
      <c r="BZ177" s="50"/>
      <c r="CA177" s="50"/>
      <c r="CB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  <c r="CM177" s="50"/>
    </row>
    <row r="178" spans="1:91" ht="14.25" customHeight="1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  <c r="BW178" s="50"/>
      <c r="BX178" s="50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</row>
    <row r="179" spans="1:91" ht="14.25" customHeight="1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</row>
    <row r="180" spans="1:91" ht="14.25" customHeight="1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  <c r="BW180" s="50"/>
      <c r="BX180" s="50"/>
      <c r="BY180" s="50"/>
      <c r="BZ180" s="50"/>
      <c r="CA180" s="50"/>
      <c r="CB180" s="50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  <c r="CM180" s="50"/>
    </row>
    <row r="181" spans="1:91" ht="14.25" customHeight="1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0"/>
      <c r="BT181" s="50"/>
      <c r="BU181" s="50"/>
      <c r="BV181" s="50"/>
      <c r="BW181" s="50"/>
      <c r="BX181" s="50"/>
      <c r="BY181" s="50"/>
      <c r="BZ181" s="50"/>
      <c r="CA181" s="50"/>
      <c r="CB181" s="50"/>
      <c r="CC181" s="50"/>
      <c r="CD181" s="50"/>
      <c r="CE181" s="50"/>
      <c r="CF181" s="50"/>
      <c r="CG181" s="50"/>
      <c r="CH181" s="50"/>
      <c r="CI181" s="50"/>
      <c r="CJ181" s="50"/>
      <c r="CK181" s="50"/>
      <c r="CL181" s="50"/>
      <c r="CM181" s="50"/>
    </row>
    <row r="182" spans="1:91" ht="14.25" customHeight="1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50"/>
      <c r="BW182" s="50"/>
      <c r="BX182" s="50"/>
      <c r="BY182" s="50"/>
      <c r="BZ182" s="50"/>
      <c r="CA182" s="50"/>
      <c r="CB182" s="50"/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  <c r="CM182" s="50"/>
    </row>
    <row r="183" spans="1:91" ht="14.25" customHeight="1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  <c r="BW183" s="50"/>
      <c r="BX183" s="50"/>
      <c r="BY183" s="50"/>
      <c r="BZ183" s="50"/>
      <c r="CA183" s="50"/>
      <c r="CB183" s="50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  <c r="CM183" s="50"/>
    </row>
    <row r="184" spans="1:91" ht="14.25" customHeight="1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</row>
    <row r="185" spans="1:91" ht="14.25" customHeight="1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  <c r="BW185" s="50"/>
      <c r="BX185" s="50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</row>
    <row r="186" spans="1:91" ht="14.25" customHeight="1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  <c r="CM186" s="50"/>
    </row>
    <row r="187" spans="1:91" ht="14.25" customHeight="1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</row>
    <row r="188" spans="1:91" ht="14.25" customHeight="1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</row>
    <row r="189" spans="1:91" ht="14.25" customHeight="1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</row>
    <row r="190" spans="1:91" ht="14.25" customHeight="1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  <c r="CM190" s="50"/>
    </row>
    <row r="191" spans="1:91" ht="14.25" customHeight="1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  <c r="CM191" s="50"/>
    </row>
    <row r="192" spans="1:91" ht="14.25" customHeight="1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  <c r="CM192" s="50"/>
    </row>
    <row r="193" spans="1:91" ht="14.25" customHeight="1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</row>
    <row r="194" spans="1:91" ht="14.25" customHeight="1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</row>
    <row r="195" spans="1:91" ht="14.25" customHeight="1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0"/>
      <c r="CE195" s="50"/>
      <c r="CF195" s="50"/>
      <c r="CG195" s="50"/>
      <c r="CH195" s="50"/>
      <c r="CI195" s="50"/>
      <c r="CJ195" s="50"/>
      <c r="CK195" s="50"/>
      <c r="CL195" s="50"/>
      <c r="CM195" s="50"/>
    </row>
    <row r="196" spans="1:91" ht="14.25" customHeight="1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  <c r="BW196" s="50"/>
      <c r="BX196" s="50"/>
      <c r="BY196" s="50"/>
      <c r="BZ196" s="50"/>
      <c r="CA196" s="50"/>
      <c r="CB196" s="50"/>
      <c r="CC196" s="50"/>
      <c r="CD196" s="50"/>
      <c r="CE196" s="50"/>
      <c r="CF196" s="50"/>
      <c r="CG196" s="50"/>
      <c r="CH196" s="50"/>
      <c r="CI196" s="50"/>
      <c r="CJ196" s="50"/>
      <c r="CK196" s="50"/>
      <c r="CL196" s="50"/>
      <c r="CM196" s="50"/>
    </row>
    <row r="197" spans="1:91" ht="14.25" customHeight="1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  <c r="BW197" s="50"/>
      <c r="BX197" s="50"/>
      <c r="BY197" s="50"/>
      <c r="BZ197" s="50"/>
      <c r="CA197" s="50"/>
      <c r="CB197" s="50"/>
      <c r="CC197" s="50"/>
      <c r="CD197" s="50"/>
      <c r="CE197" s="50"/>
      <c r="CF197" s="50"/>
      <c r="CG197" s="50"/>
      <c r="CH197" s="50"/>
      <c r="CI197" s="50"/>
      <c r="CJ197" s="50"/>
      <c r="CK197" s="50"/>
      <c r="CL197" s="50"/>
      <c r="CM197" s="50"/>
    </row>
    <row r="198" spans="1:91" ht="14.25" customHeight="1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  <c r="BW198" s="50"/>
      <c r="BX198" s="50"/>
      <c r="BY198" s="50"/>
      <c r="BZ198" s="50"/>
      <c r="CA198" s="50"/>
      <c r="CB198" s="50"/>
      <c r="CC198" s="50"/>
      <c r="CD198" s="50"/>
      <c r="CE198" s="50"/>
      <c r="CF198" s="50"/>
      <c r="CG198" s="50"/>
      <c r="CH198" s="50"/>
      <c r="CI198" s="50"/>
      <c r="CJ198" s="50"/>
      <c r="CK198" s="50"/>
      <c r="CL198" s="50"/>
      <c r="CM198" s="50"/>
    </row>
    <row r="199" spans="1:91" ht="14.25" customHeight="1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  <c r="BW199" s="50"/>
      <c r="BX199" s="50"/>
      <c r="BY199" s="50"/>
      <c r="BZ199" s="50"/>
      <c r="CA199" s="50"/>
      <c r="CB199" s="50"/>
      <c r="CC199" s="50"/>
      <c r="CD199" s="50"/>
      <c r="CE199" s="50"/>
      <c r="CF199" s="50"/>
      <c r="CG199" s="50"/>
      <c r="CH199" s="50"/>
      <c r="CI199" s="50"/>
      <c r="CJ199" s="50"/>
      <c r="CK199" s="50"/>
      <c r="CL199" s="50"/>
      <c r="CM199" s="50"/>
    </row>
    <row r="200" spans="1:91" ht="14.25" customHeight="1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</row>
    <row r="201" spans="1:91" ht="14.25" customHeight="1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  <c r="CM201" s="50"/>
    </row>
    <row r="202" spans="1:91" ht="14.25" customHeight="1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  <c r="CM202" s="50"/>
    </row>
    <row r="203" spans="1:91" ht="14.25" customHeight="1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  <c r="CM203" s="50"/>
    </row>
    <row r="204" spans="1:91" ht="14.25" customHeight="1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  <c r="BW204" s="50"/>
      <c r="BX204" s="50"/>
      <c r="BY204" s="50"/>
      <c r="BZ204" s="50"/>
      <c r="CA204" s="50"/>
      <c r="CB204" s="50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  <c r="CM204" s="50"/>
    </row>
    <row r="205" spans="1:91" ht="14.25" customHeight="1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  <c r="BW205" s="50"/>
      <c r="BX205" s="50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</row>
    <row r="206" spans="1:91" ht="14.25" customHeight="1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  <c r="BW206" s="50"/>
      <c r="BX206" s="50"/>
      <c r="BY206" s="50"/>
      <c r="BZ206" s="50"/>
      <c r="CA206" s="50"/>
      <c r="CB206" s="50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  <c r="CM206" s="50"/>
    </row>
    <row r="207" spans="1:91" ht="14.25" customHeight="1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  <c r="CM207" s="50"/>
    </row>
    <row r="208" spans="1:91" ht="14.25" customHeight="1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  <c r="BW208" s="50"/>
      <c r="BX208" s="50"/>
      <c r="BY208" s="50"/>
      <c r="BZ208" s="50"/>
      <c r="CA208" s="50"/>
      <c r="CB208" s="50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  <c r="CM208" s="50"/>
    </row>
    <row r="209" spans="1:91" ht="14.25" customHeight="1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  <c r="BW209" s="50"/>
      <c r="BX209" s="50"/>
      <c r="BY209" s="50"/>
      <c r="BZ209" s="50"/>
      <c r="CA209" s="50"/>
      <c r="CB209" s="50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  <c r="CM209" s="50"/>
    </row>
    <row r="210" spans="1:91" ht="14.25" customHeight="1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  <c r="BW210" s="50"/>
      <c r="BX210" s="50"/>
      <c r="BY210" s="50"/>
      <c r="BZ210" s="50"/>
      <c r="CA210" s="50"/>
      <c r="CB210" s="50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  <c r="CM210" s="50"/>
    </row>
    <row r="211" spans="1:91" ht="14.25" customHeight="1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  <c r="BW211" s="50"/>
      <c r="BX211" s="50"/>
      <c r="BY211" s="50"/>
      <c r="BZ211" s="50"/>
      <c r="CA211" s="50"/>
      <c r="CB211" s="50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  <c r="CM211" s="50"/>
    </row>
    <row r="212" spans="1:91" ht="14.25" customHeight="1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0"/>
      <c r="BV212" s="50"/>
      <c r="BW212" s="50"/>
      <c r="BX212" s="50"/>
      <c r="BY212" s="50"/>
      <c r="BZ212" s="50"/>
      <c r="CA212" s="50"/>
      <c r="CB212" s="50"/>
      <c r="CC212" s="50"/>
      <c r="CD212" s="50"/>
      <c r="CE212" s="50"/>
      <c r="CF212" s="50"/>
      <c r="CG212" s="50"/>
      <c r="CH212" s="50"/>
      <c r="CI212" s="50"/>
      <c r="CJ212" s="50"/>
      <c r="CK212" s="50"/>
      <c r="CL212" s="50"/>
      <c r="CM212" s="50"/>
    </row>
    <row r="213" spans="1:91" ht="14.25" customHeight="1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50"/>
      <c r="BW213" s="50"/>
      <c r="BX213" s="50"/>
      <c r="BY213" s="50"/>
      <c r="BZ213" s="50"/>
      <c r="CA213" s="50"/>
      <c r="CB213" s="50"/>
      <c r="CC213" s="50"/>
      <c r="CD213" s="50"/>
      <c r="CE213" s="50"/>
      <c r="CF213" s="50"/>
      <c r="CG213" s="50"/>
      <c r="CH213" s="50"/>
      <c r="CI213" s="50"/>
      <c r="CJ213" s="50"/>
      <c r="CK213" s="50"/>
      <c r="CL213" s="50"/>
      <c r="CM213" s="50"/>
    </row>
    <row r="214" spans="1:91" ht="14.25" customHeight="1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  <c r="CM214" s="50"/>
    </row>
    <row r="215" spans="1:91" ht="14.25" customHeight="1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  <c r="BW215" s="50"/>
      <c r="BX215" s="50"/>
      <c r="BY215" s="50"/>
      <c r="BZ215" s="50"/>
      <c r="CA215" s="50"/>
      <c r="CB215" s="50"/>
      <c r="CC215" s="50"/>
      <c r="CD215" s="50"/>
      <c r="CE215" s="50"/>
      <c r="CF215" s="50"/>
      <c r="CG215" s="50"/>
      <c r="CH215" s="50"/>
      <c r="CI215" s="50"/>
      <c r="CJ215" s="50"/>
      <c r="CK215" s="50"/>
      <c r="CL215" s="50"/>
      <c r="CM215" s="50"/>
    </row>
    <row r="216" spans="1:91" ht="14.25" customHeight="1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</row>
    <row r="217" spans="1:91" ht="14.25" customHeight="1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</row>
    <row r="218" spans="1:91" ht="14.25" customHeight="1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  <c r="BW218" s="50"/>
      <c r="BX218" s="50"/>
      <c r="BY218" s="50"/>
      <c r="BZ218" s="50"/>
      <c r="CA218" s="50"/>
      <c r="CB218" s="50"/>
      <c r="CC218" s="50"/>
      <c r="CD218" s="50"/>
      <c r="CE218" s="50"/>
      <c r="CF218" s="50"/>
      <c r="CG218" s="50"/>
      <c r="CH218" s="50"/>
      <c r="CI218" s="50"/>
      <c r="CJ218" s="50"/>
      <c r="CK218" s="50"/>
      <c r="CL218" s="50"/>
      <c r="CM218" s="50"/>
    </row>
    <row r="219" spans="1:91" ht="14.25" customHeight="1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  <c r="CE219" s="50"/>
      <c r="CF219" s="50"/>
      <c r="CG219" s="50"/>
      <c r="CH219" s="50"/>
      <c r="CI219" s="50"/>
      <c r="CJ219" s="50"/>
      <c r="CK219" s="50"/>
      <c r="CL219" s="50"/>
      <c r="CM219" s="50"/>
    </row>
    <row r="220" spans="1:91" ht="14.25" customHeight="1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  <c r="CB220" s="50"/>
      <c r="CC220" s="50"/>
      <c r="CD220" s="50"/>
      <c r="CE220" s="50"/>
      <c r="CF220" s="50"/>
      <c r="CG220" s="50"/>
      <c r="CH220" s="50"/>
      <c r="CI220" s="50"/>
      <c r="CJ220" s="50"/>
      <c r="CK220" s="50"/>
      <c r="CL220" s="50"/>
      <c r="CM220" s="50"/>
    </row>
    <row r="221" spans="1:91" ht="14.25" customHeight="1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0"/>
      <c r="CE221" s="50"/>
      <c r="CF221" s="50"/>
      <c r="CG221" s="50"/>
      <c r="CH221" s="50"/>
      <c r="CI221" s="50"/>
      <c r="CJ221" s="50"/>
      <c r="CK221" s="50"/>
      <c r="CL221" s="50"/>
      <c r="CM221" s="50"/>
    </row>
    <row r="222" spans="1:91" ht="14.25" customHeight="1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  <c r="BW222" s="50"/>
      <c r="BX222" s="50"/>
      <c r="BY222" s="50"/>
      <c r="BZ222" s="50"/>
      <c r="CA222" s="50"/>
      <c r="CB222" s="50"/>
      <c r="CC222" s="50"/>
      <c r="CD222" s="50"/>
      <c r="CE222" s="50"/>
      <c r="CF222" s="50"/>
      <c r="CG222" s="50"/>
      <c r="CH222" s="50"/>
      <c r="CI222" s="50"/>
      <c r="CJ222" s="50"/>
      <c r="CK222" s="50"/>
      <c r="CL222" s="50"/>
      <c r="CM222" s="50"/>
    </row>
    <row r="223" spans="1:91" ht="14.25" customHeight="1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  <c r="BW223" s="50"/>
      <c r="BX223" s="50"/>
      <c r="BY223" s="50"/>
      <c r="BZ223" s="50"/>
      <c r="CA223" s="50"/>
      <c r="CB223" s="50"/>
      <c r="CC223" s="50"/>
      <c r="CD223" s="50"/>
      <c r="CE223" s="50"/>
      <c r="CF223" s="50"/>
      <c r="CG223" s="50"/>
      <c r="CH223" s="50"/>
      <c r="CI223" s="50"/>
      <c r="CJ223" s="50"/>
      <c r="CK223" s="50"/>
      <c r="CL223" s="50"/>
      <c r="CM223" s="50"/>
    </row>
    <row r="224" spans="1:91" ht="14.25" customHeight="1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  <c r="BW224" s="50"/>
      <c r="BX224" s="50"/>
      <c r="BY224" s="50"/>
      <c r="BZ224" s="50"/>
      <c r="CA224" s="50"/>
      <c r="CB224" s="50"/>
      <c r="CC224" s="50"/>
      <c r="CD224" s="50"/>
      <c r="CE224" s="50"/>
      <c r="CF224" s="50"/>
      <c r="CG224" s="50"/>
      <c r="CH224" s="50"/>
      <c r="CI224" s="50"/>
      <c r="CJ224" s="50"/>
      <c r="CK224" s="50"/>
      <c r="CL224" s="50"/>
      <c r="CM224" s="50"/>
    </row>
    <row r="225" spans="1:91" ht="14.25" customHeight="1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/>
      <c r="CD225" s="50"/>
      <c r="CE225" s="50"/>
      <c r="CF225" s="50"/>
      <c r="CG225" s="50"/>
      <c r="CH225" s="50"/>
      <c r="CI225" s="50"/>
      <c r="CJ225" s="50"/>
      <c r="CK225" s="50"/>
      <c r="CL225" s="50"/>
      <c r="CM225" s="50"/>
    </row>
    <row r="226" spans="1:91" ht="14.25" customHeight="1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  <c r="CB226" s="50"/>
      <c r="CC226" s="50"/>
      <c r="CD226" s="50"/>
      <c r="CE226" s="50"/>
      <c r="CF226" s="50"/>
      <c r="CG226" s="50"/>
      <c r="CH226" s="50"/>
      <c r="CI226" s="50"/>
      <c r="CJ226" s="50"/>
      <c r="CK226" s="50"/>
      <c r="CL226" s="50"/>
      <c r="CM226" s="50"/>
    </row>
    <row r="227" spans="1:91" ht="14.25" customHeight="1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  <c r="CM227" s="50"/>
    </row>
    <row r="228" spans="1:91" ht="14.25" customHeight="1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  <c r="BW228" s="50"/>
      <c r="BX228" s="50"/>
      <c r="BY228" s="50"/>
      <c r="BZ228" s="50"/>
      <c r="CA228" s="50"/>
      <c r="CB228" s="50"/>
      <c r="CC228" s="50"/>
      <c r="CD228" s="50"/>
      <c r="CE228" s="50"/>
      <c r="CF228" s="50"/>
      <c r="CG228" s="50"/>
      <c r="CH228" s="50"/>
      <c r="CI228" s="50"/>
      <c r="CJ228" s="50"/>
      <c r="CK228" s="50"/>
      <c r="CL228" s="50"/>
      <c r="CM228" s="50"/>
    </row>
    <row r="229" spans="1:91" ht="14.25" customHeight="1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0"/>
      <c r="BV229" s="50"/>
      <c r="BW229" s="50"/>
      <c r="BX229" s="50"/>
      <c r="BY229" s="50"/>
      <c r="BZ229" s="50"/>
      <c r="CA229" s="50"/>
      <c r="CB229" s="50"/>
      <c r="CC229" s="50"/>
      <c r="CD229" s="50"/>
      <c r="CE229" s="50"/>
      <c r="CF229" s="50"/>
      <c r="CG229" s="50"/>
      <c r="CH229" s="50"/>
      <c r="CI229" s="50"/>
      <c r="CJ229" s="50"/>
      <c r="CK229" s="50"/>
      <c r="CL229" s="50"/>
      <c r="CM229" s="50"/>
    </row>
    <row r="230" spans="1:91" ht="14.25" customHeight="1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0"/>
      <c r="BV230" s="50"/>
      <c r="BW230" s="50"/>
      <c r="BX230" s="50"/>
      <c r="BY230" s="50"/>
      <c r="BZ230" s="50"/>
      <c r="CA230" s="50"/>
      <c r="CB230" s="50"/>
      <c r="CC230" s="50"/>
      <c r="CD230" s="50"/>
      <c r="CE230" s="50"/>
      <c r="CF230" s="50"/>
      <c r="CG230" s="50"/>
      <c r="CH230" s="50"/>
      <c r="CI230" s="50"/>
      <c r="CJ230" s="50"/>
      <c r="CK230" s="50"/>
      <c r="CL230" s="50"/>
      <c r="CM230" s="50"/>
    </row>
    <row r="231" spans="1:91" ht="14.25" customHeight="1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  <c r="BW231" s="50"/>
      <c r="BX231" s="50"/>
      <c r="BY231" s="50"/>
      <c r="BZ231" s="50"/>
      <c r="CA231" s="50"/>
      <c r="CB231" s="50"/>
      <c r="CC231" s="50"/>
      <c r="CD231" s="50"/>
      <c r="CE231" s="50"/>
      <c r="CF231" s="50"/>
      <c r="CG231" s="50"/>
      <c r="CH231" s="50"/>
      <c r="CI231" s="50"/>
      <c r="CJ231" s="50"/>
      <c r="CK231" s="50"/>
      <c r="CL231" s="50"/>
      <c r="CM231" s="50"/>
    </row>
    <row r="232" spans="1:91" ht="14.25" customHeight="1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  <c r="BW232" s="50"/>
      <c r="BX232" s="50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50"/>
    </row>
    <row r="233" spans="1:91" ht="14.25" customHeight="1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50"/>
      <c r="BW233" s="50"/>
      <c r="BX233" s="50"/>
      <c r="BY233" s="50"/>
      <c r="BZ233" s="50"/>
      <c r="CA233" s="50"/>
      <c r="CB233" s="50"/>
      <c r="CC233" s="50"/>
      <c r="CD233" s="50"/>
      <c r="CE233" s="50"/>
      <c r="CF233" s="50"/>
      <c r="CG233" s="50"/>
      <c r="CH233" s="50"/>
      <c r="CI233" s="50"/>
      <c r="CJ233" s="50"/>
      <c r="CK233" s="50"/>
      <c r="CL233" s="50"/>
      <c r="CM233" s="50"/>
    </row>
    <row r="234" spans="1:91" ht="14.25" customHeight="1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  <c r="BW234" s="50"/>
      <c r="BX234" s="50"/>
      <c r="BY234" s="50"/>
      <c r="BZ234" s="50"/>
      <c r="CA234" s="50"/>
      <c r="CB234" s="50"/>
      <c r="CC234" s="50"/>
      <c r="CD234" s="50"/>
      <c r="CE234" s="50"/>
      <c r="CF234" s="50"/>
      <c r="CG234" s="50"/>
      <c r="CH234" s="50"/>
      <c r="CI234" s="50"/>
      <c r="CJ234" s="50"/>
      <c r="CK234" s="50"/>
      <c r="CL234" s="50"/>
      <c r="CM234" s="50"/>
    </row>
    <row r="235" spans="1:91" ht="14.25" customHeight="1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0"/>
      <c r="CE235" s="50"/>
      <c r="CF235" s="50"/>
      <c r="CG235" s="50"/>
      <c r="CH235" s="50"/>
      <c r="CI235" s="50"/>
      <c r="CJ235" s="50"/>
      <c r="CK235" s="50"/>
      <c r="CL235" s="50"/>
      <c r="CM235" s="50"/>
    </row>
    <row r="236" spans="1:91" ht="14.25" customHeight="1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</row>
    <row r="237" spans="1:91" ht="14.25" customHeight="1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  <c r="BT237" s="50"/>
      <c r="BU237" s="50"/>
      <c r="BV237" s="50"/>
      <c r="BW237" s="50"/>
      <c r="BX237" s="50"/>
      <c r="BY237" s="50"/>
      <c r="BZ237" s="50"/>
      <c r="CA237" s="50"/>
      <c r="CB237" s="50"/>
      <c r="CC237" s="50"/>
      <c r="CD237" s="50"/>
      <c r="CE237" s="50"/>
      <c r="CF237" s="50"/>
      <c r="CG237" s="50"/>
      <c r="CH237" s="50"/>
      <c r="CI237" s="50"/>
      <c r="CJ237" s="50"/>
      <c r="CK237" s="50"/>
      <c r="CL237" s="50"/>
      <c r="CM237" s="50"/>
    </row>
    <row r="238" spans="1:91" ht="14.25" customHeight="1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50"/>
      <c r="BW238" s="50"/>
      <c r="BX238" s="50"/>
      <c r="BY238" s="50"/>
      <c r="BZ238" s="50"/>
      <c r="CA238" s="50"/>
      <c r="CB238" s="50"/>
      <c r="CC238" s="50"/>
      <c r="CD238" s="50"/>
      <c r="CE238" s="50"/>
      <c r="CF238" s="50"/>
      <c r="CG238" s="50"/>
      <c r="CH238" s="50"/>
      <c r="CI238" s="50"/>
      <c r="CJ238" s="50"/>
      <c r="CK238" s="50"/>
      <c r="CL238" s="50"/>
      <c r="CM238" s="50"/>
    </row>
    <row r="239" spans="1:91" ht="14.25" customHeight="1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</row>
    <row r="240" spans="1:91" ht="14.25" customHeight="1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  <c r="BT240" s="50"/>
      <c r="BU240" s="50"/>
      <c r="BV240" s="50"/>
      <c r="BW240" s="50"/>
      <c r="BX240" s="50"/>
      <c r="BY240" s="50"/>
      <c r="BZ240" s="50"/>
      <c r="CA240" s="50"/>
      <c r="CB240" s="50"/>
      <c r="CC240" s="50"/>
      <c r="CD240" s="50"/>
      <c r="CE240" s="50"/>
      <c r="CF240" s="50"/>
      <c r="CG240" s="50"/>
      <c r="CH240" s="50"/>
      <c r="CI240" s="50"/>
      <c r="CJ240" s="50"/>
      <c r="CK240" s="50"/>
      <c r="CL240" s="50"/>
      <c r="CM240" s="50"/>
    </row>
    <row r="241" spans="1:91" ht="14.25" customHeight="1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  <c r="BT241" s="50"/>
      <c r="BU241" s="50"/>
      <c r="BV241" s="50"/>
      <c r="BW241" s="50"/>
      <c r="BX241" s="50"/>
      <c r="BY241" s="50"/>
      <c r="BZ241" s="50"/>
      <c r="CA241" s="50"/>
      <c r="CB241" s="50"/>
      <c r="CC241" s="50"/>
      <c r="CD241" s="50"/>
      <c r="CE241" s="50"/>
      <c r="CF241" s="50"/>
      <c r="CG241" s="50"/>
      <c r="CH241" s="50"/>
      <c r="CI241" s="50"/>
      <c r="CJ241" s="50"/>
      <c r="CK241" s="50"/>
      <c r="CL241" s="50"/>
      <c r="CM241" s="50"/>
    </row>
    <row r="242" spans="1:91" ht="14.25" customHeight="1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D242" s="50"/>
      <c r="CE242" s="50"/>
      <c r="CF242" s="50"/>
      <c r="CG242" s="50"/>
      <c r="CH242" s="50"/>
      <c r="CI242" s="50"/>
      <c r="CJ242" s="50"/>
      <c r="CK242" s="50"/>
      <c r="CL242" s="50"/>
      <c r="CM242" s="50"/>
    </row>
    <row r="243" spans="1:91" ht="14.25" customHeight="1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D243" s="50"/>
      <c r="CE243" s="50"/>
      <c r="CF243" s="50"/>
      <c r="CG243" s="50"/>
      <c r="CH243" s="50"/>
      <c r="CI243" s="50"/>
      <c r="CJ243" s="50"/>
      <c r="CK243" s="50"/>
      <c r="CL243" s="50"/>
      <c r="CM243" s="50"/>
    </row>
    <row r="244" spans="1:91" ht="14.25" customHeight="1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  <c r="CB244" s="50"/>
      <c r="CC244" s="50"/>
      <c r="CD244" s="50"/>
      <c r="CE244" s="50"/>
      <c r="CF244" s="50"/>
      <c r="CG244" s="50"/>
      <c r="CH244" s="50"/>
      <c r="CI244" s="50"/>
      <c r="CJ244" s="50"/>
      <c r="CK244" s="50"/>
      <c r="CL244" s="50"/>
      <c r="CM244" s="50"/>
    </row>
    <row r="245" spans="1:91" ht="14.25" customHeight="1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  <c r="CM245" s="50"/>
    </row>
    <row r="246" spans="1:91" ht="14.25" customHeight="1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  <c r="BW246" s="50"/>
      <c r="BX246" s="50"/>
      <c r="BY246" s="50"/>
      <c r="BZ246" s="50"/>
      <c r="CA246" s="50"/>
      <c r="CB246" s="50"/>
      <c r="CC246" s="50"/>
      <c r="CD246" s="50"/>
      <c r="CE246" s="50"/>
      <c r="CF246" s="50"/>
      <c r="CG246" s="50"/>
      <c r="CH246" s="50"/>
      <c r="CI246" s="50"/>
      <c r="CJ246" s="50"/>
      <c r="CK246" s="50"/>
      <c r="CL246" s="50"/>
      <c r="CM246" s="50"/>
    </row>
    <row r="247" spans="1:91" ht="14.25" customHeight="1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  <c r="CE247" s="50"/>
      <c r="CF247" s="50"/>
      <c r="CG247" s="50"/>
      <c r="CH247" s="50"/>
      <c r="CI247" s="50"/>
      <c r="CJ247" s="50"/>
      <c r="CK247" s="50"/>
      <c r="CL247" s="50"/>
      <c r="CM247" s="50"/>
    </row>
    <row r="248" spans="1:91" ht="14.25" customHeight="1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  <c r="CM248" s="50"/>
    </row>
    <row r="249" spans="1:91" ht="14.25" customHeight="1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</row>
    <row r="250" spans="1:91" ht="14.25" customHeight="1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  <c r="CM250" s="50"/>
    </row>
    <row r="251" spans="1:91" ht="14.25" customHeight="1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  <c r="CM251" s="50"/>
    </row>
    <row r="252" spans="1:91" ht="14.25" customHeight="1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  <c r="CM252" s="50"/>
    </row>
    <row r="253" spans="1:91" ht="14.25" customHeight="1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  <c r="CE253" s="50"/>
      <c r="CF253" s="50"/>
      <c r="CG253" s="50"/>
      <c r="CH253" s="50"/>
      <c r="CI253" s="50"/>
      <c r="CJ253" s="50"/>
      <c r="CK253" s="50"/>
      <c r="CL253" s="50"/>
      <c r="CM253" s="50"/>
    </row>
    <row r="254" spans="1:91" ht="14.25" customHeight="1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  <c r="CM254" s="50"/>
    </row>
    <row r="255" spans="1:91" ht="14.25" customHeight="1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  <c r="CM255" s="50"/>
    </row>
    <row r="256" spans="1:91" ht="14.25" customHeight="1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  <c r="CE256" s="50"/>
      <c r="CF256" s="50"/>
      <c r="CG256" s="50"/>
      <c r="CH256" s="50"/>
      <c r="CI256" s="50"/>
      <c r="CJ256" s="50"/>
      <c r="CK256" s="50"/>
      <c r="CL256" s="50"/>
      <c r="CM256" s="50"/>
    </row>
    <row r="257" spans="1:91" ht="14.25" customHeight="1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  <c r="CM257" s="50"/>
    </row>
    <row r="258" spans="1:91" ht="14.25" customHeight="1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  <c r="CM258" s="50"/>
    </row>
    <row r="259" spans="1:91" ht="14.25" customHeight="1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  <c r="CE259" s="50"/>
      <c r="CF259" s="50"/>
      <c r="CG259" s="50"/>
      <c r="CH259" s="50"/>
      <c r="CI259" s="50"/>
      <c r="CJ259" s="50"/>
      <c r="CK259" s="50"/>
      <c r="CL259" s="50"/>
      <c r="CM259" s="50"/>
    </row>
    <row r="260" spans="1:91" ht="14.25" customHeight="1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  <c r="BW260" s="50"/>
      <c r="BX260" s="50"/>
      <c r="BY260" s="50"/>
      <c r="BZ260" s="50"/>
      <c r="CA260" s="50"/>
      <c r="CB260" s="50"/>
      <c r="CC260" s="50"/>
      <c r="CD260" s="50"/>
      <c r="CE260" s="50"/>
      <c r="CF260" s="50"/>
      <c r="CG260" s="50"/>
      <c r="CH260" s="50"/>
      <c r="CI260" s="50"/>
      <c r="CJ260" s="50"/>
      <c r="CK260" s="50"/>
      <c r="CL260" s="50"/>
      <c r="CM260" s="50"/>
    </row>
    <row r="261" spans="1:91" ht="14.25" customHeight="1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  <c r="BW261" s="50"/>
      <c r="BX261" s="50"/>
      <c r="BY261" s="50"/>
      <c r="BZ261" s="50"/>
      <c r="CA261" s="50"/>
      <c r="CB261" s="50"/>
      <c r="CC261" s="50"/>
      <c r="CD261" s="50"/>
      <c r="CE261" s="50"/>
      <c r="CF261" s="50"/>
      <c r="CG261" s="50"/>
      <c r="CH261" s="50"/>
      <c r="CI261" s="50"/>
      <c r="CJ261" s="50"/>
      <c r="CK261" s="50"/>
      <c r="CL261" s="50"/>
      <c r="CM261" s="50"/>
    </row>
    <row r="262" spans="1:91" ht="14.25" customHeight="1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  <c r="BW262" s="50"/>
      <c r="BX262" s="50"/>
      <c r="BY262" s="50"/>
      <c r="BZ262" s="50"/>
      <c r="CA262" s="50"/>
      <c r="CB262" s="50"/>
      <c r="CC262" s="50"/>
      <c r="CD262" s="50"/>
      <c r="CE262" s="50"/>
      <c r="CF262" s="50"/>
      <c r="CG262" s="50"/>
      <c r="CH262" s="50"/>
      <c r="CI262" s="50"/>
      <c r="CJ262" s="50"/>
      <c r="CK262" s="50"/>
      <c r="CL262" s="50"/>
      <c r="CM262" s="50"/>
    </row>
    <row r="263" spans="1:91" ht="14.25" customHeight="1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0"/>
      <c r="CE263" s="50"/>
      <c r="CF263" s="50"/>
      <c r="CG263" s="50"/>
      <c r="CH263" s="50"/>
      <c r="CI263" s="50"/>
      <c r="CJ263" s="50"/>
      <c r="CK263" s="50"/>
      <c r="CL263" s="50"/>
      <c r="CM263" s="50"/>
    </row>
    <row r="264" spans="1:91" ht="14.25" customHeight="1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  <c r="BT264" s="50"/>
      <c r="BU264" s="50"/>
      <c r="BV264" s="50"/>
      <c r="BW264" s="50"/>
      <c r="BX264" s="50"/>
      <c r="BY264" s="50"/>
      <c r="BZ264" s="50"/>
      <c r="CA264" s="50"/>
      <c r="CB264" s="50"/>
      <c r="CC264" s="50"/>
      <c r="CD264" s="50"/>
      <c r="CE264" s="50"/>
      <c r="CF264" s="50"/>
      <c r="CG264" s="50"/>
      <c r="CH264" s="50"/>
      <c r="CI264" s="50"/>
      <c r="CJ264" s="50"/>
      <c r="CK264" s="50"/>
      <c r="CL264" s="50"/>
      <c r="CM264" s="50"/>
    </row>
    <row r="265" spans="1:91" ht="14.25" customHeight="1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  <c r="BO265" s="50"/>
      <c r="BP265" s="50"/>
      <c r="BQ265" s="50"/>
      <c r="BR265" s="50"/>
      <c r="BS265" s="50"/>
      <c r="BT265" s="50"/>
      <c r="BU265" s="50"/>
      <c r="BV265" s="50"/>
      <c r="BW265" s="50"/>
      <c r="BX265" s="50"/>
      <c r="BY265" s="50"/>
      <c r="BZ265" s="50"/>
      <c r="CA265" s="50"/>
      <c r="CB265" s="50"/>
      <c r="CC265" s="50"/>
      <c r="CD265" s="50"/>
      <c r="CE265" s="50"/>
      <c r="CF265" s="50"/>
      <c r="CG265" s="50"/>
      <c r="CH265" s="50"/>
      <c r="CI265" s="50"/>
      <c r="CJ265" s="50"/>
      <c r="CK265" s="50"/>
      <c r="CL265" s="50"/>
      <c r="CM265" s="50"/>
    </row>
    <row r="266" spans="1:91" ht="14.25" customHeight="1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  <c r="BS266" s="50"/>
      <c r="BT266" s="50"/>
      <c r="BU266" s="50"/>
      <c r="BV266" s="50"/>
      <c r="BW266" s="50"/>
      <c r="BX266" s="50"/>
      <c r="BY266" s="50"/>
      <c r="BZ266" s="50"/>
      <c r="CA266" s="50"/>
      <c r="CB266" s="50"/>
      <c r="CC266" s="50"/>
      <c r="CD266" s="50"/>
      <c r="CE266" s="50"/>
      <c r="CF266" s="50"/>
      <c r="CG266" s="50"/>
      <c r="CH266" s="50"/>
      <c r="CI266" s="50"/>
      <c r="CJ266" s="50"/>
      <c r="CK266" s="50"/>
      <c r="CL266" s="50"/>
      <c r="CM266" s="50"/>
    </row>
    <row r="267" spans="1:91" ht="14.25" customHeight="1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  <c r="BW267" s="50"/>
      <c r="BX267" s="50"/>
      <c r="BY267" s="50"/>
      <c r="BZ267" s="50"/>
      <c r="CA267" s="50"/>
      <c r="CB267" s="50"/>
      <c r="CC267" s="50"/>
      <c r="CD267" s="50"/>
      <c r="CE267" s="50"/>
      <c r="CF267" s="50"/>
      <c r="CG267" s="50"/>
      <c r="CH267" s="50"/>
      <c r="CI267" s="50"/>
      <c r="CJ267" s="50"/>
      <c r="CK267" s="50"/>
      <c r="CL267" s="50"/>
      <c r="CM267" s="50"/>
    </row>
    <row r="268" spans="1:91" ht="14.25" customHeight="1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0"/>
      <c r="BT268" s="50"/>
      <c r="BU268" s="50"/>
      <c r="BV268" s="50"/>
      <c r="BW268" s="50"/>
      <c r="BX268" s="50"/>
      <c r="BY268" s="50"/>
      <c r="BZ268" s="50"/>
      <c r="CA268" s="50"/>
      <c r="CB268" s="50"/>
      <c r="CC268" s="50"/>
      <c r="CD268" s="50"/>
      <c r="CE268" s="50"/>
      <c r="CF268" s="50"/>
      <c r="CG268" s="50"/>
      <c r="CH268" s="50"/>
      <c r="CI268" s="50"/>
      <c r="CJ268" s="50"/>
      <c r="CK268" s="50"/>
      <c r="CL268" s="50"/>
      <c r="CM268" s="50"/>
    </row>
    <row r="269" spans="1:91" ht="14.25" customHeight="1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  <c r="BW269" s="50"/>
      <c r="BX269" s="50"/>
      <c r="BY269" s="50"/>
      <c r="BZ269" s="50"/>
      <c r="CA269" s="50"/>
      <c r="CB269" s="50"/>
      <c r="CC269" s="50"/>
      <c r="CD269" s="50"/>
      <c r="CE269" s="50"/>
      <c r="CF269" s="50"/>
      <c r="CG269" s="50"/>
      <c r="CH269" s="50"/>
      <c r="CI269" s="50"/>
      <c r="CJ269" s="50"/>
      <c r="CK269" s="50"/>
      <c r="CL269" s="50"/>
      <c r="CM269" s="50"/>
    </row>
    <row r="270" spans="1:91" ht="14.25" customHeight="1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  <c r="BW270" s="50"/>
      <c r="BX270" s="50"/>
      <c r="BY270" s="50"/>
      <c r="BZ270" s="50"/>
      <c r="CA270" s="50"/>
      <c r="CB270" s="50"/>
      <c r="CC270" s="50"/>
      <c r="CD270" s="50"/>
      <c r="CE270" s="50"/>
      <c r="CF270" s="50"/>
      <c r="CG270" s="50"/>
      <c r="CH270" s="50"/>
      <c r="CI270" s="50"/>
      <c r="CJ270" s="50"/>
      <c r="CK270" s="50"/>
      <c r="CL270" s="50"/>
      <c r="CM270" s="50"/>
    </row>
    <row r="271" spans="1:91" ht="14.25" customHeight="1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  <c r="BW271" s="50"/>
      <c r="BX271" s="50"/>
      <c r="BY271" s="50"/>
      <c r="BZ271" s="50"/>
      <c r="CA271" s="50"/>
      <c r="CB271" s="50"/>
      <c r="CC271" s="50"/>
      <c r="CD271" s="50"/>
      <c r="CE271" s="50"/>
      <c r="CF271" s="50"/>
      <c r="CG271" s="50"/>
      <c r="CH271" s="50"/>
      <c r="CI271" s="50"/>
      <c r="CJ271" s="50"/>
      <c r="CK271" s="50"/>
      <c r="CL271" s="50"/>
      <c r="CM271" s="50"/>
    </row>
    <row r="272" spans="1:91" ht="14.25" customHeight="1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  <c r="BW272" s="50"/>
      <c r="BX272" s="50"/>
      <c r="BY272" s="50"/>
      <c r="BZ272" s="50"/>
      <c r="CA272" s="50"/>
      <c r="CB272" s="50"/>
      <c r="CC272" s="50"/>
      <c r="CD272" s="50"/>
      <c r="CE272" s="50"/>
      <c r="CF272" s="50"/>
      <c r="CG272" s="50"/>
      <c r="CH272" s="50"/>
      <c r="CI272" s="50"/>
      <c r="CJ272" s="50"/>
      <c r="CK272" s="50"/>
      <c r="CL272" s="50"/>
      <c r="CM272" s="50"/>
    </row>
    <row r="273" spans="1:91" ht="14.25" customHeight="1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  <c r="BW273" s="50"/>
      <c r="BX273" s="50"/>
      <c r="BY273" s="50"/>
      <c r="BZ273" s="50"/>
      <c r="CA273" s="50"/>
      <c r="CB273" s="50"/>
      <c r="CC273" s="50"/>
      <c r="CD273" s="50"/>
      <c r="CE273" s="50"/>
      <c r="CF273" s="50"/>
      <c r="CG273" s="50"/>
      <c r="CH273" s="50"/>
      <c r="CI273" s="50"/>
      <c r="CJ273" s="50"/>
      <c r="CK273" s="50"/>
      <c r="CL273" s="50"/>
      <c r="CM273" s="50"/>
    </row>
    <row r="274" spans="1:91" ht="14.25" customHeight="1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  <c r="BW274" s="50"/>
      <c r="BX274" s="50"/>
      <c r="BY274" s="50"/>
      <c r="BZ274" s="50"/>
      <c r="CA274" s="50"/>
      <c r="CB274" s="50"/>
      <c r="CC274" s="50"/>
      <c r="CD274" s="50"/>
      <c r="CE274" s="50"/>
      <c r="CF274" s="50"/>
      <c r="CG274" s="50"/>
      <c r="CH274" s="50"/>
      <c r="CI274" s="50"/>
      <c r="CJ274" s="50"/>
      <c r="CK274" s="50"/>
      <c r="CL274" s="50"/>
      <c r="CM274" s="50"/>
    </row>
    <row r="275" spans="1:91" ht="14.25" customHeight="1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  <c r="BW275" s="50"/>
      <c r="BX275" s="50"/>
      <c r="BY275" s="50"/>
      <c r="BZ275" s="50"/>
      <c r="CA275" s="50"/>
      <c r="CB275" s="50"/>
      <c r="CC275" s="50"/>
      <c r="CD275" s="50"/>
      <c r="CE275" s="50"/>
      <c r="CF275" s="50"/>
      <c r="CG275" s="50"/>
      <c r="CH275" s="50"/>
      <c r="CI275" s="50"/>
      <c r="CJ275" s="50"/>
      <c r="CK275" s="50"/>
      <c r="CL275" s="50"/>
      <c r="CM275" s="50"/>
    </row>
    <row r="276" spans="1:91" ht="14.25" customHeight="1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  <c r="BW276" s="50"/>
      <c r="BX276" s="50"/>
      <c r="BY276" s="50"/>
      <c r="BZ276" s="50"/>
      <c r="CA276" s="50"/>
      <c r="CB276" s="50"/>
      <c r="CC276" s="50"/>
      <c r="CD276" s="50"/>
      <c r="CE276" s="50"/>
      <c r="CF276" s="50"/>
      <c r="CG276" s="50"/>
      <c r="CH276" s="50"/>
      <c r="CI276" s="50"/>
      <c r="CJ276" s="50"/>
      <c r="CK276" s="50"/>
      <c r="CL276" s="50"/>
      <c r="CM276" s="50"/>
    </row>
    <row r="277" spans="1:91" ht="14.25" customHeight="1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  <c r="CM277" s="50"/>
    </row>
    <row r="278" spans="1:91" ht="14.25" customHeight="1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  <c r="BW278" s="50"/>
      <c r="BX278" s="50"/>
      <c r="BY278" s="50"/>
      <c r="BZ278" s="50"/>
      <c r="CA278" s="50"/>
      <c r="CB278" s="50"/>
      <c r="CC278" s="50"/>
      <c r="CD278" s="50"/>
      <c r="CE278" s="50"/>
      <c r="CF278" s="50"/>
      <c r="CG278" s="50"/>
      <c r="CH278" s="50"/>
      <c r="CI278" s="50"/>
      <c r="CJ278" s="50"/>
      <c r="CK278" s="50"/>
      <c r="CL278" s="50"/>
      <c r="CM278" s="50"/>
    </row>
    <row r="279" spans="1:91" ht="14.25" customHeight="1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  <c r="BW279" s="50"/>
      <c r="BX279" s="50"/>
      <c r="BY279" s="50"/>
      <c r="BZ279" s="50"/>
      <c r="CA279" s="50"/>
      <c r="CB279" s="50"/>
      <c r="CC279" s="50"/>
      <c r="CD279" s="50"/>
      <c r="CE279" s="50"/>
      <c r="CF279" s="50"/>
      <c r="CG279" s="50"/>
      <c r="CH279" s="50"/>
      <c r="CI279" s="50"/>
      <c r="CJ279" s="50"/>
      <c r="CK279" s="50"/>
      <c r="CL279" s="50"/>
      <c r="CM279" s="50"/>
    </row>
    <row r="280" spans="1:91" ht="14.25" customHeight="1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  <c r="BW280" s="50"/>
      <c r="BX280" s="50"/>
      <c r="BY280" s="50"/>
      <c r="BZ280" s="50"/>
      <c r="CA280" s="50"/>
      <c r="CB280" s="50"/>
      <c r="CC280" s="50"/>
      <c r="CD280" s="50"/>
      <c r="CE280" s="50"/>
      <c r="CF280" s="50"/>
      <c r="CG280" s="50"/>
      <c r="CH280" s="50"/>
      <c r="CI280" s="50"/>
      <c r="CJ280" s="50"/>
      <c r="CK280" s="50"/>
      <c r="CL280" s="50"/>
      <c r="CM280" s="50"/>
    </row>
    <row r="281" spans="1:91" ht="14.25" customHeight="1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  <c r="BW281" s="50"/>
      <c r="BX281" s="50"/>
      <c r="BY281" s="50"/>
      <c r="BZ281" s="50"/>
      <c r="CA281" s="50"/>
      <c r="CB281" s="50"/>
      <c r="CC281" s="50"/>
      <c r="CD281" s="50"/>
      <c r="CE281" s="50"/>
      <c r="CF281" s="50"/>
      <c r="CG281" s="50"/>
      <c r="CH281" s="50"/>
      <c r="CI281" s="50"/>
      <c r="CJ281" s="50"/>
      <c r="CK281" s="50"/>
      <c r="CL281" s="50"/>
      <c r="CM281" s="50"/>
    </row>
    <row r="282" spans="1:91" ht="14.25" customHeight="1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  <c r="BW282" s="50"/>
      <c r="BX282" s="50"/>
      <c r="BY282" s="50"/>
      <c r="BZ282" s="50"/>
      <c r="CA282" s="50"/>
      <c r="CB282" s="50"/>
      <c r="CC282" s="50"/>
      <c r="CD282" s="50"/>
      <c r="CE282" s="50"/>
      <c r="CF282" s="50"/>
      <c r="CG282" s="50"/>
      <c r="CH282" s="50"/>
      <c r="CI282" s="50"/>
      <c r="CJ282" s="50"/>
      <c r="CK282" s="50"/>
      <c r="CL282" s="50"/>
      <c r="CM282" s="50"/>
    </row>
    <row r="283" spans="1:91" ht="14.25" customHeight="1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  <c r="BW283" s="50"/>
      <c r="BX283" s="50"/>
      <c r="BY283" s="50"/>
      <c r="BZ283" s="50"/>
      <c r="CA283" s="50"/>
      <c r="CB283" s="50"/>
      <c r="CC283" s="50"/>
      <c r="CD283" s="50"/>
      <c r="CE283" s="50"/>
      <c r="CF283" s="50"/>
      <c r="CG283" s="50"/>
      <c r="CH283" s="50"/>
      <c r="CI283" s="50"/>
      <c r="CJ283" s="50"/>
      <c r="CK283" s="50"/>
      <c r="CL283" s="50"/>
      <c r="CM283" s="50"/>
    </row>
    <row r="284" spans="1:91" ht="14.25" customHeight="1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  <c r="BW284" s="50"/>
      <c r="BX284" s="50"/>
      <c r="BY284" s="50"/>
      <c r="BZ284" s="50"/>
      <c r="CA284" s="50"/>
      <c r="CB284" s="50"/>
      <c r="CC284" s="50"/>
      <c r="CD284" s="50"/>
      <c r="CE284" s="50"/>
      <c r="CF284" s="50"/>
      <c r="CG284" s="50"/>
      <c r="CH284" s="50"/>
      <c r="CI284" s="50"/>
      <c r="CJ284" s="50"/>
      <c r="CK284" s="50"/>
      <c r="CL284" s="50"/>
      <c r="CM284" s="50"/>
    </row>
    <row r="285" spans="1:91" ht="14.25" customHeight="1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  <c r="BW285" s="50"/>
      <c r="BX285" s="50"/>
      <c r="BY285" s="50"/>
      <c r="BZ285" s="50"/>
      <c r="CA285" s="50"/>
      <c r="CB285" s="50"/>
      <c r="CC285" s="50"/>
      <c r="CD285" s="50"/>
      <c r="CE285" s="50"/>
      <c r="CF285" s="50"/>
      <c r="CG285" s="50"/>
      <c r="CH285" s="50"/>
      <c r="CI285" s="50"/>
      <c r="CJ285" s="50"/>
      <c r="CK285" s="50"/>
      <c r="CL285" s="50"/>
      <c r="CM285" s="50"/>
    </row>
    <row r="286" spans="1:91" ht="14.25" customHeight="1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  <c r="BW286" s="50"/>
      <c r="BX286" s="50"/>
      <c r="BY286" s="50"/>
      <c r="BZ286" s="50"/>
      <c r="CA286" s="50"/>
      <c r="CB286" s="50"/>
      <c r="CC286" s="50"/>
      <c r="CD286" s="50"/>
      <c r="CE286" s="50"/>
      <c r="CF286" s="50"/>
      <c r="CG286" s="50"/>
      <c r="CH286" s="50"/>
      <c r="CI286" s="50"/>
      <c r="CJ286" s="50"/>
      <c r="CK286" s="50"/>
      <c r="CL286" s="50"/>
      <c r="CM286" s="50"/>
    </row>
    <row r="287" spans="1:91" ht="14.25" customHeight="1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  <c r="BW287" s="50"/>
      <c r="BX287" s="50"/>
      <c r="BY287" s="50"/>
      <c r="BZ287" s="50"/>
      <c r="CA287" s="50"/>
      <c r="CB287" s="50"/>
      <c r="CC287" s="50"/>
      <c r="CD287" s="50"/>
      <c r="CE287" s="50"/>
      <c r="CF287" s="50"/>
      <c r="CG287" s="50"/>
      <c r="CH287" s="50"/>
      <c r="CI287" s="50"/>
      <c r="CJ287" s="50"/>
      <c r="CK287" s="50"/>
      <c r="CL287" s="50"/>
      <c r="CM287" s="50"/>
    </row>
    <row r="288" spans="1:91" ht="14.25" customHeight="1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0"/>
      <c r="BT288" s="50"/>
      <c r="BU288" s="50"/>
      <c r="BV288" s="50"/>
      <c r="BW288" s="50"/>
      <c r="BX288" s="50"/>
      <c r="BY288" s="50"/>
      <c r="BZ288" s="50"/>
      <c r="CA288" s="50"/>
      <c r="CB288" s="50"/>
      <c r="CC288" s="50"/>
      <c r="CD288" s="50"/>
      <c r="CE288" s="50"/>
      <c r="CF288" s="50"/>
      <c r="CG288" s="50"/>
      <c r="CH288" s="50"/>
      <c r="CI288" s="50"/>
      <c r="CJ288" s="50"/>
      <c r="CK288" s="50"/>
      <c r="CL288" s="50"/>
      <c r="CM288" s="50"/>
    </row>
    <row r="289" spans="1:91" ht="14.25" customHeight="1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0"/>
      <c r="BT289" s="50"/>
      <c r="BU289" s="50"/>
      <c r="BV289" s="50"/>
      <c r="BW289" s="50"/>
      <c r="BX289" s="50"/>
      <c r="BY289" s="50"/>
      <c r="BZ289" s="50"/>
      <c r="CA289" s="50"/>
      <c r="CB289" s="50"/>
      <c r="CC289" s="50"/>
      <c r="CD289" s="50"/>
      <c r="CE289" s="50"/>
      <c r="CF289" s="50"/>
      <c r="CG289" s="50"/>
      <c r="CH289" s="50"/>
      <c r="CI289" s="50"/>
      <c r="CJ289" s="50"/>
      <c r="CK289" s="50"/>
      <c r="CL289" s="50"/>
      <c r="CM289" s="50"/>
    </row>
    <row r="290" spans="1:91" ht="14.25" customHeight="1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0"/>
      <c r="BT290" s="50"/>
      <c r="BU290" s="50"/>
      <c r="BV290" s="50"/>
      <c r="BW290" s="50"/>
      <c r="BX290" s="50"/>
      <c r="BY290" s="50"/>
      <c r="BZ290" s="50"/>
      <c r="CA290" s="50"/>
      <c r="CB290" s="50"/>
      <c r="CC290" s="50"/>
      <c r="CD290" s="50"/>
      <c r="CE290" s="50"/>
      <c r="CF290" s="50"/>
      <c r="CG290" s="50"/>
      <c r="CH290" s="50"/>
      <c r="CI290" s="50"/>
      <c r="CJ290" s="50"/>
      <c r="CK290" s="50"/>
      <c r="CL290" s="50"/>
      <c r="CM290" s="50"/>
    </row>
    <row r="291" spans="1:91" ht="14.25" customHeight="1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0"/>
      <c r="BT291" s="50"/>
      <c r="BU291" s="50"/>
      <c r="BV291" s="50"/>
      <c r="BW291" s="50"/>
      <c r="BX291" s="50"/>
      <c r="BY291" s="50"/>
      <c r="BZ291" s="50"/>
      <c r="CA291" s="50"/>
      <c r="CB291" s="50"/>
      <c r="CC291" s="50"/>
      <c r="CD291" s="50"/>
      <c r="CE291" s="50"/>
      <c r="CF291" s="50"/>
      <c r="CG291" s="50"/>
      <c r="CH291" s="50"/>
      <c r="CI291" s="50"/>
      <c r="CJ291" s="50"/>
      <c r="CK291" s="50"/>
      <c r="CL291" s="50"/>
      <c r="CM291" s="50"/>
    </row>
    <row r="292" spans="1:91" ht="14.25" customHeight="1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0"/>
      <c r="BT292" s="50"/>
      <c r="BU292" s="50"/>
      <c r="BV292" s="50"/>
      <c r="BW292" s="50"/>
      <c r="BX292" s="50"/>
      <c r="BY292" s="50"/>
      <c r="BZ292" s="50"/>
      <c r="CA292" s="50"/>
      <c r="CB292" s="50"/>
      <c r="CC292" s="50"/>
      <c r="CD292" s="50"/>
      <c r="CE292" s="50"/>
      <c r="CF292" s="50"/>
      <c r="CG292" s="50"/>
      <c r="CH292" s="50"/>
      <c r="CI292" s="50"/>
      <c r="CJ292" s="50"/>
      <c r="CK292" s="50"/>
      <c r="CL292" s="50"/>
      <c r="CM292" s="50"/>
    </row>
    <row r="293" spans="1:91" ht="14.25" customHeight="1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  <c r="BT293" s="50"/>
      <c r="BU293" s="50"/>
      <c r="BV293" s="50"/>
      <c r="BW293" s="50"/>
      <c r="BX293" s="50"/>
      <c r="BY293" s="50"/>
      <c r="BZ293" s="50"/>
      <c r="CA293" s="50"/>
      <c r="CB293" s="50"/>
      <c r="CC293" s="50"/>
      <c r="CD293" s="50"/>
      <c r="CE293" s="50"/>
      <c r="CF293" s="50"/>
      <c r="CG293" s="50"/>
      <c r="CH293" s="50"/>
      <c r="CI293" s="50"/>
      <c r="CJ293" s="50"/>
      <c r="CK293" s="50"/>
      <c r="CL293" s="50"/>
      <c r="CM293" s="50"/>
    </row>
    <row r="294" spans="1:91" ht="14.25" customHeight="1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0"/>
      <c r="BT294" s="50"/>
      <c r="BU294" s="50"/>
      <c r="BV294" s="50"/>
      <c r="BW294" s="50"/>
      <c r="BX294" s="50"/>
      <c r="BY294" s="50"/>
      <c r="BZ294" s="50"/>
      <c r="CA294" s="50"/>
      <c r="CB294" s="50"/>
      <c r="CC294" s="50"/>
      <c r="CD294" s="50"/>
      <c r="CE294" s="50"/>
      <c r="CF294" s="50"/>
      <c r="CG294" s="50"/>
      <c r="CH294" s="50"/>
      <c r="CI294" s="50"/>
      <c r="CJ294" s="50"/>
      <c r="CK294" s="50"/>
      <c r="CL294" s="50"/>
      <c r="CM294" s="50"/>
    </row>
    <row r="295" spans="1:91" ht="14.25" customHeight="1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0"/>
      <c r="BT295" s="50"/>
      <c r="BU295" s="50"/>
      <c r="BV295" s="50"/>
      <c r="BW295" s="50"/>
      <c r="BX295" s="50"/>
      <c r="BY295" s="50"/>
      <c r="BZ295" s="50"/>
      <c r="CA295" s="50"/>
      <c r="CB295" s="50"/>
      <c r="CC295" s="50"/>
      <c r="CD295" s="50"/>
      <c r="CE295" s="50"/>
      <c r="CF295" s="50"/>
      <c r="CG295" s="50"/>
      <c r="CH295" s="50"/>
      <c r="CI295" s="50"/>
      <c r="CJ295" s="50"/>
      <c r="CK295" s="50"/>
      <c r="CL295" s="50"/>
      <c r="CM295" s="50"/>
    </row>
    <row r="296" spans="1:91" ht="14.25" customHeight="1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  <c r="BT296" s="50"/>
      <c r="BU296" s="50"/>
      <c r="BV296" s="50"/>
      <c r="BW296" s="50"/>
      <c r="BX296" s="50"/>
      <c r="BY296" s="50"/>
      <c r="BZ296" s="50"/>
      <c r="CA296" s="50"/>
      <c r="CB296" s="50"/>
      <c r="CC296" s="50"/>
      <c r="CD296" s="50"/>
      <c r="CE296" s="50"/>
      <c r="CF296" s="50"/>
      <c r="CG296" s="50"/>
      <c r="CH296" s="50"/>
      <c r="CI296" s="50"/>
      <c r="CJ296" s="50"/>
      <c r="CK296" s="50"/>
      <c r="CL296" s="50"/>
      <c r="CM296" s="50"/>
    </row>
    <row r="297" spans="1:91" ht="14.25" customHeight="1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0"/>
      <c r="BT297" s="50"/>
      <c r="BU297" s="50"/>
      <c r="BV297" s="50"/>
      <c r="BW297" s="50"/>
      <c r="BX297" s="50"/>
      <c r="BY297" s="50"/>
      <c r="BZ297" s="50"/>
      <c r="CA297" s="50"/>
      <c r="CB297" s="50"/>
      <c r="CC297" s="50"/>
      <c r="CD297" s="50"/>
      <c r="CE297" s="50"/>
      <c r="CF297" s="50"/>
      <c r="CG297" s="50"/>
      <c r="CH297" s="50"/>
      <c r="CI297" s="50"/>
      <c r="CJ297" s="50"/>
      <c r="CK297" s="50"/>
      <c r="CL297" s="50"/>
      <c r="CM297" s="50"/>
    </row>
    <row r="298" spans="1:91" ht="14.25" customHeight="1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  <c r="BT298" s="50"/>
      <c r="BU298" s="50"/>
      <c r="BV298" s="50"/>
      <c r="BW298" s="50"/>
      <c r="BX298" s="50"/>
      <c r="BY298" s="50"/>
      <c r="BZ298" s="50"/>
      <c r="CA298" s="50"/>
      <c r="CB298" s="50"/>
      <c r="CC298" s="50"/>
      <c r="CD298" s="50"/>
      <c r="CE298" s="50"/>
      <c r="CF298" s="50"/>
      <c r="CG298" s="50"/>
      <c r="CH298" s="50"/>
      <c r="CI298" s="50"/>
      <c r="CJ298" s="50"/>
      <c r="CK298" s="50"/>
      <c r="CL298" s="50"/>
      <c r="CM298" s="50"/>
    </row>
    <row r="299" spans="1:91" ht="14.25" customHeight="1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  <c r="BT299" s="50"/>
      <c r="BU299" s="50"/>
      <c r="BV299" s="50"/>
      <c r="BW299" s="50"/>
      <c r="BX299" s="50"/>
      <c r="BY299" s="50"/>
      <c r="BZ299" s="50"/>
      <c r="CA299" s="50"/>
      <c r="CB299" s="50"/>
      <c r="CC299" s="50"/>
      <c r="CD299" s="50"/>
      <c r="CE299" s="50"/>
      <c r="CF299" s="50"/>
      <c r="CG299" s="50"/>
      <c r="CH299" s="50"/>
      <c r="CI299" s="50"/>
      <c r="CJ299" s="50"/>
      <c r="CK299" s="50"/>
      <c r="CL299" s="50"/>
      <c r="CM299" s="50"/>
    </row>
    <row r="300" spans="1:91" ht="14.25" customHeight="1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  <c r="BT300" s="50"/>
      <c r="BU300" s="50"/>
      <c r="BV300" s="50"/>
      <c r="BW300" s="50"/>
      <c r="BX300" s="50"/>
      <c r="BY300" s="50"/>
      <c r="BZ300" s="50"/>
      <c r="CA300" s="50"/>
      <c r="CB300" s="50"/>
      <c r="CC300" s="50"/>
      <c r="CD300" s="50"/>
      <c r="CE300" s="50"/>
      <c r="CF300" s="50"/>
      <c r="CG300" s="50"/>
      <c r="CH300" s="50"/>
      <c r="CI300" s="50"/>
      <c r="CJ300" s="50"/>
      <c r="CK300" s="50"/>
      <c r="CL300" s="50"/>
      <c r="CM300" s="50"/>
    </row>
    <row r="301" spans="1:91" ht="14.25" customHeight="1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  <c r="BW301" s="50"/>
      <c r="BX301" s="50"/>
      <c r="BY301" s="50"/>
      <c r="BZ301" s="50"/>
      <c r="CA301" s="50"/>
      <c r="CB301" s="50"/>
      <c r="CC301" s="50"/>
      <c r="CD301" s="50"/>
      <c r="CE301" s="50"/>
      <c r="CF301" s="50"/>
      <c r="CG301" s="50"/>
      <c r="CH301" s="50"/>
      <c r="CI301" s="50"/>
      <c r="CJ301" s="50"/>
      <c r="CK301" s="50"/>
      <c r="CL301" s="50"/>
      <c r="CM301" s="50"/>
    </row>
    <row r="302" spans="1:91" ht="14.25" customHeight="1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  <c r="BW302" s="50"/>
      <c r="BX302" s="50"/>
      <c r="BY302" s="50"/>
      <c r="BZ302" s="50"/>
      <c r="CA302" s="50"/>
      <c r="CB302" s="50"/>
      <c r="CC302" s="50"/>
      <c r="CD302" s="50"/>
      <c r="CE302" s="50"/>
      <c r="CF302" s="50"/>
      <c r="CG302" s="50"/>
      <c r="CH302" s="50"/>
      <c r="CI302" s="50"/>
      <c r="CJ302" s="50"/>
      <c r="CK302" s="50"/>
      <c r="CL302" s="50"/>
      <c r="CM302" s="50"/>
    </row>
    <row r="303" spans="1:91" ht="14.25" customHeight="1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  <c r="BW303" s="50"/>
      <c r="BX303" s="50"/>
      <c r="BY303" s="50"/>
      <c r="BZ303" s="50"/>
      <c r="CA303" s="50"/>
      <c r="CB303" s="50"/>
      <c r="CC303" s="50"/>
      <c r="CD303" s="50"/>
      <c r="CE303" s="50"/>
      <c r="CF303" s="50"/>
      <c r="CG303" s="50"/>
      <c r="CH303" s="50"/>
      <c r="CI303" s="50"/>
      <c r="CJ303" s="50"/>
      <c r="CK303" s="50"/>
      <c r="CL303" s="50"/>
      <c r="CM303" s="50"/>
    </row>
    <row r="304" spans="1:91" ht="14.25" customHeight="1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  <c r="BW304" s="50"/>
      <c r="BX304" s="50"/>
      <c r="BY304" s="50"/>
      <c r="BZ304" s="50"/>
      <c r="CA304" s="50"/>
      <c r="CB304" s="50"/>
      <c r="CC304" s="50"/>
      <c r="CD304" s="50"/>
      <c r="CE304" s="50"/>
      <c r="CF304" s="50"/>
      <c r="CG304" s="50"/>
      <c r="CH304" s="50"/>
      <c r="CI304" s="50"/>
      <c r="CJ304" s="50"/>
      <c r="CK304" s="50"/>
      <c r="CL304" s="50"/>
      <c r="CM304" s="50"/>
    </row>
    <row r="305" spans="1:91" ht="14.25" customHeight="1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  <c r="BW305" s="50"/>
      <c r="BX305" s="50"/>
      <c r="BY305" s="50"/>
      <c r="BZ305" s="50"/>
      <c r="CA305" s="50"/>
      <c r="CB305" s="50"/>
      <c r="CC305" s="50"/>
      <c r="CD305" s="50"/>
      <c r="CE305" s="50"/>
      <c r="CF305" s="50"/>
      <c r="CG305" s="50"/>
      <c r="CH305" s="50"/>
      <c r="CI305" s="50"/>
      <c r="CJ305" s="50"/>
      <c r="CK305" s="50"/>
      <c r="CL305" s="50"/>
      <c r="CM305" s="50"/>
    </row>
    <row r="306" spans="1:91" ht="14.25" customHeight="1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  <c r="BW306" s="50"/>
      <c r="BX306" s="50"/>
      <c r="BY306" s="50"/>
      <c r="BZ306" s="50"/>
      <c r="CA306" s="50"/>
      <c r="CB306" s="50"/>
      <c r="CC306" s="50"/>
      <c r="CD306" s="50"/>
      <c r="CE306" s="50"/>
      <c r="CF306" s="50"/>
      <c r="CG306" s="50"/>
      <c r="CH306" s="50"/>
      <c r="CI306" s="50"/>
      <c r="CJ306" s="50"/>
      <c r="CK306" s="50"/>
      <c r="CL306" s="50"/>
      <c r="CM306" s="50"/>
    </row>
    <row r="307" spans="1:91" ht="14.25" customHeight="1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  <c r="BW307" s="50"/>
      <c r="BX307" s="50"/>
      <c r="BY307" s="50"/>
      <c r="BZ307" s="50"/>
      <c r="CA307" s="50"/>
      <c r="CB307" s="50"/>
      <c r="CC307" s="50"/>
      <c r="CD307" s="50"/>
      <c r="CE307" s="50"/>
      <c r="CF307" s="50"/>
      <c r="CG307" s="50"/>
      <c r="CH307" s="50"/>
      <c r="CI307" s="50"/>
      <c r="CJ307" s="50"/>
      <c r="CK307" s="50"/>
      <c r="CL307" s="50"/>
      <c r="CM307" s="50"/>
    </row>
    <row r="308" spans="1:91" ht="14.25" customHeight="1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  <c r="BW308" s="50"/>
      <c r="BX308" s="50"/>
      <c r="BY308" s="50"/>
      <c r="BZ308" s="50"/>
      <c r="CA308" s="50"/>
      <c r="CB308" s="50"/>
      <c r="CC308" s="50"/>
      <c r="CD308" s="50"/>
      <c r="CE308" s="50"/>
      <c r="CF308" s="50"/>
      <c r="CG308" s="50"/>
      <c r="CH308" s="50"/>
      <c r="CI308" s="50"/>
      <c r="CJ308" s="50"/>
      <c r="CK308" s="50"/>
      <c r="CL308" s="50"/>
      <c r="CM308" s="50"/>
    </row>
    <row r="309" spans="1:91" ht="14.25" customHeight="1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  <c r="BW309" s="50"/>
      <c r="BX309" s="50"/>
      <c r="BY309" s="50"/>
      <c r="BZ309" s="50"/>
      <c r="CA309" s="50"/>
      <c r="CB309" s="50"/>
      <c r="CC309" s="50"/>
      <c r="CD309" s="50"/>
      <c r="CE309" s="50"/>
      <c r="CF309" s="50"/>
      <c r="CG309" s="50"/>
      <c r="CH309" s="50"/>
      <c r="CI309" s="50"/>
      <c r="CJ309" s="50"/>
      <c r="CK309" s="50"/>
      <c r="CL309" s="50"/>
      <c r="CM309" s="50"/>
    </row>
    <row r="310" spans="1:91" ht="14.25" customHeight="1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  <c r="BW310" s="50"/>
      <c r="BX310" s="50"/>
      <c r="BY310" s="50"/>
      <c r="BZ310" s="50"/>
      <c r="CA310" s="50"/>
      <c r="CB310" s="50"/>
      <c r="CC310" s="50"/>
      <c r="CD310" s="50"/>
      <c r="CE310" s="50"/>
      <c r="CF310" s="50"/>
      <c r="CG310" s="50"/>
      <c r="CH310" s="50"/>
      <c r="CI310" s="50"/>
      <c r="CJ310" s="50"/>
      <c r="CK310" s="50"/>
      <c r="CL310" s="50"/>
      <c r="CM310" s="50"/>
    </row>
    <row r="311" spans="1:91" ht="14.25" customHeight="1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  <c r="BW311" s="50"/>
      <c r="BX311" s="50"/>
      <c r="BY311" s="50"/>
      <c r="BZ311" s="50"/>
      <c r="CA311" s="50"/>
      <c r="CB311" s="50"/>
      <c r="CC311" s="50"/>
      <c r="CD311" s="50"/>
      <c r="CE311" s="50"/>
      <c r="CF311" s="50"/>
      <c r="CG311" s="50"/>
      <c r="CH311" s="50"/>
      <c r="CI311" s="50"/>
      <c r="CJ311" s="50"/>
      <c r="CK311" s="50"/>
      <c r="CL311" s="50"/>
      <c r="CM311" s="50"/>
    </row>
    <row r="312" spans="1:91" ht="14.25" customHeight="1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  <c r="BW312" s="50"/>
      <c r="BX312" s="50"/>
      <c r="BY312" s="50"/>
      <c r="BZ312" s="50"/>
      <c r="CA312" s="50"/>
      <c r="CB312" s="50"/>
      <c r="CC312" s="50"/>
      <c r="CD312" s="50"/>
      <c r="CE312" s="50"/>
      <c r="CF312" s="50"/>
      <c r="CG312" s="50"/>
      <c r="CH312" s="50"/>
      <c r="CI312" s="50"/>
      <c r="CJ312" s="50"/>
      <c r="CK312" s="50"/>
      <c r="CL312" s="50"/>
      <c r="CM312" s="50"/>
    </row>
    <row r="313" spans="1:91" ht="14.25" customHeight="1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  <c r="BW313" s="50"/>
      <c r="BX313" s="50"/>
      <c r="BY313" s="50"/>
      <c r="BZ313" s="50"/>
      <c r="CA313" s="50"/>
      <c r="CB313" s="50"/>
      <c r="CC313" s="50"/>
      <c r="CD313" s="50"/>
      <c r="CE313" s="50"/>
      <c r="CF313" s="50"/>
      <c r="CG313" s="50"/>
      <c r="CH313" s="50"/>
      <c r="CI313" s="50"/>
      <c r="CJ313" s="50"/>
      <c r="CK313" s="50"/>
      <c r="CL313" s="50"/>
      <c r="CM313" s="50"/>
    </row>
    <row r="314" spans="1:91" ht="14.25" customHeight="1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  <c r="BW314" s="50"/>
      <c r="BX314" s="50"/>
      <c r="BY314" s="50"/>
      <c r="BZ314" s="50"/>
      <c r="CA314" s="50"/>
      <c r="CB314" s="50"/>
      <c r="CC314" s="50"/>
      <c r="CD314" s="50"/>
      <c r="CE314" s="50"/>
      <c r="CF314" s="50"/>
      <c r="CG314" s="50"/>
      <c r="CH314" s="50"/>
      <c r="CI314" s="50"/>
      <c r="CJ314" s="50"/>
      <c r="CK314" s="50"/>
      <c r="CL314" s="50"/>
      <c r="CM314" s="50"/>
    </row>
    <row r="315" spans="1:91" ht="14.25" customHeight="1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  <c r="BW315" s="50"/>
      <c r="BX315" s="50"/>
      <c r="BY315" s="50"/>
      <c r="BZ315" s="50"/>
      <c r="CA315" s="50"/>
      <c r="CB315" s="50"/>
      <c r="CC315" s="50"/>
      <c r="CD315" s="50"/>
      <c r="CE315" s="50"/>
      <c r="CF315" s="50"/>
      <c r="CG315" s="50"/>
      <c r="CH315" s="50"/>
      <c r="CI315" s="50"/>
      <c r="CJ315" s="50"/>
      <c r="CK315" s="50"/>
      <c r="CL315" s="50"/>
      <c r="CM315" s="50"/>
    </row>
    <row r="316" spans="1:91" ht="14.25" customHeight="1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0"/>
      <c r="BT316" s="50"/>
      <c r="BU316" s="50"/>
      <c r="BV316" s="50"/>
      <c r="BW316" s="50"/>
      <c r="BX316" s="50"/>
      <c r="BY316" s="50"/>
      <c r="BZ316" s="50"/>
      <c r="CA316" s="50"/>
      <c r="CB316" s="50"/>
      <c r="CC316" s="50"/>
      <c r="CD316" s="50"/>
      <c r="CE316" s="50"/>
      <c r="CF316" s="50"/>
      <c r="CG316" s="50"/>
      <c r="CH316" s="50"/>
      <c r="CI316" s="50"/>
      <c r="CJ316" s="50"/>
      <c r="CK316" s="50"/>
      <c r="CL316" s="50"/>
      <c r="CM316" s="50"/>
    </row>
    <row r="317" spans="1:91" ht="14.25" customHeight="1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  <c r="BT317" s="50"/>
      <c r="BU317" s="50"/>
      <c r="BV317" s="50"/>
      <c r="BW317" s="50"/>
      <c r="BX317" s="50"/>
      <c r="BY317" s="50"/>
      <c r="BZ317" s="50"/>
      <c r="CA317" s="50"/>
      <c r="CB317" s="50"/>
      <c r="CC317" s="50"/>
      <c r="CD317" s="50"/>
      <c r="CE317" s="50"/>
      <c r="CF317" s="50"/>
      <c r="CG317" s="50"/>
      <c r="CH317" s="50"/>
      <c r="CI317" s="50"/>
      <c r="CJ317" s="50"/>
      <c r="CK317" s="50"/>
      <c r="CL317" s="50"/>
      <c r="CM317" s="50"/>
    </row>
    <row r="318" spans="1:91" ht="14.25" customHeight="1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  <c r="BT318" s="50"/>
      <c r="BU318" s="50"/>
      <c r="BV318" s="50"/>
      <c r="BW318" s="50"/>
      <c r="BX318" s="50"/>
      <c r="BY318" s="50"/>
      <c r="BZ318" s="50"/>
      <c r="CA318" s="50"/>
      <c r="CB318" s="50"/>
      <c r="CC318" s="50"/>
      <c r="CD318" s="50"/>
      <c r="CE318" s="50"/>
      <c r="CF318" s="50"/>
      <c r="CG318" s="50"/>
      <c r="CH318" s="50"/>
      <c r="CI318" s="50"/>
      <c r="CJ318" s="50"/>
      <c r="CK318" s="50"/>
      <c r="CL318" s="50"/>
      <c r="CM318" s="50"/>
    </row>
    <row r="319" spans="1:91" ht="14.25" customHeight="1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  <c r="BT319" s="50"/>
      <c r="BU319" s="50"/>
      <c r="BV319" s="50"/>
      <c r="BW319" s="50"/>
      <c r="BX319" s="50"/>
      <c r="BY319" s="50"/>
      <c r="BZ319" s="50"/>
      <c r="CA319" s="50"/>
      <c r="CB319" s="50"/>
      <c r="CC319" s="50"/>
      <c r="CD319" s="50"/>
      <c r="CE319" s="50"/>
      <c r="CF319" s="50"/>
      <c r="CG319" s="50"/>
      <c r="CH319" s="50"/>
      <c r="CI319" s="50"/>
      <c r="CJ319" s="50"/>
      <c r="CK319" s="50"/>
      <c r="CL319" s="50"/>
      <c r="CM319" s="50"/>
    </row>
    <row r="320" spans="1:91" ht="14.25" customHeight="1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0"/>
      <c r="BT320" s="50"/>
      <c r="BU320" s="50"/>
      <c r="BV320" s="50"/>
      <c r="BW320" s="50"/>
      <c r="BX320" s="50"/>
      <c r="BY320" s="50"/>
      <c r="BZ320" s="50"/>
      <c r="CA320" s="50"/>
      <c r="CB320" s="50"/>
      <c r="CC320" s="50"/>
      <c r="CD320" s="50"/>
      <c r="CE320" s="50"/>
      <c r="CF320" s="50"/>
      <c r="CG320" s="50"/>
      <c r="CH320" s="50"/>
      <c r="CI320" s="50"/>
      <c r="CJ320" s="50"/>
      <c r="CK320" s="50"/>
      <c r="CL320" s="50"/>
      <c r="CM320" s="50"/>
    </row>
    <row r="321" spans="1:91" ht="14.25" customHeight="1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0"/>
      <c r="BT321" s="50"/>
      <c r="BU321" s="50"/>
      <c r="BV321" s="50"/>
      <c r="BW321" s="50"/>
      <c r="BX321" s="50"/>
      <c r="BY321" s="50"/>
      <c r="BZ321" s="50"/>
      <c r="CA321" s="50"/>
      <c r="CB321" s="50"/>
      <c r="CC321" s="50"/>
      <c r="CD321" s="50"/>
      <c r="CE321" s="50"/>
      <c r="CF321" s="50"/>
      <c r="CG321" s="50"/>
      <c r="CH321" s="50"/>
      <c r="CI321" s="50"/>
      <c r="CJ321" s="50"/>
      <c r="CK321" s="50"/>
      <c r="CL321" s="50"/>
      <c r="CM321" s="50"/>
    </row>
    <row r="322" spans="1:91" ht="14.25" customHeight="1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  <c r="BT322" s="50"/>
      <c r="BU322" s="50"/>
      <c r="BV322" s="50"/>
      <c r="BW322" s="50"/>
      <c r="BX322" s="50"/>
      <c r="BY322" s="50"/>
      <c r="BZ322" s="50"/>
      <c r="CA322" s="50"/>
      <c r="CB322" s="50"/>
      <c r="CC322" s="50"/>
      <c r="CD322" s="50"/>
      <c r="CE322" s="50"/>
      <c r="CF322" s="50"/>
      <c r="CG322" s="50"/>
      <c r="CH322" s="50"/>
      <c r="CI322" s="50"/>
      <c r="CJ322" s="50"/>
      <c r="CK322" s="50"/>
      <c r="CL322" s="50"/>
      <c r="CM322" s="50"/>
    </row>
    <row r="323" spans="1:91" ht="14.25" customHeight="1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  <c r="BT323" s="50"/>
      <c r="BU323" s="50"/>
      <c r="BV323" s="50"/>
      <c r="BW323" s="50"/>
      <c r="BX323" s="50"/>
      <c r="BY323" s="50"/>
      <c r="BZ323" s="50"/>
      <c r="CA323" s="50"/>
      <c r="CB323" s="50"/>
      <c r="CC323" s="50"/>
      <c r="CD323" s="50"/>
      <c r="CE323" s="50"/>
      <c r="CF323" s="50"/>
      <c r="CG323" s="50"/>
      <c r="CH323" s="50"/>
      <c r="CI323" s="50"/>
      <c r="CJ323" s="50"/>
      <c r="CK323" s="50"/>
      <c r="CL323" s="50"/>
      <c r="CM323" s="50"/>
    </row>
    <row r="324" spans="1:91" ht="14.25" customHeight="1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  <c r="BT324" s="50"/>
      <c r="BU324" s="50"/>
      <c r="BV324" s="50"/>
      <c r="BW324" s="50"/>
      <c r="BX324" s="50"/>
      <c r="BY324" s="50"/>
      <c r="BZ324" s="50"/>
      <c r="CA324" s="50"/>
      <c r="CB324" s="50"/>
      <c r="CC324" s="50"/>
      <c r="CD324" s="50"/>
      <c r="CE324" s="50"/>
      <c r="CF324" s="50"/>
      <c r="CG324" s="50"/>
      <c r="CH324" s="50"/>
      <c r="CI324" s="50"/>
      <c r="CJ324" s="50"/>
      <c r="CK324" s="50"/>
      <c r="CL324" s="50"/>
      <c r="CM324" s="50"/>
    </row>
    <row r="325" spans="1:91" ht="14.25" customHeight="1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  <c r="BT325" s="50"/>
      <c r="BU325" s="50"/>
      <c r="BV325" s="50"/>
      <c r="BW325" s="50"/>
      <c r="BX325" s="50"/>
      <c r="BY325" s="50"/>
      <c r="BZ325" s="50"/>
      <c r="CA325" s="50"/>
      <c r="CB325" s="50"/>
      <c r="CC325" s="50"/>
      <c r="CD325" s="50"/>
      <c r="CE325" s="50"/>
      <c r="CF325" s="50"/>
      <c r="CG325" s="50"/>
      <c r="CH325" s="50"/>
      <c r="CI325" s="50"/>
      <c r="CJ325" s="50"/>
      <c r="CK325" s="50"/>
      <c r="CL325" s="50"/>
      <c r="CM325" s="50"/>
    </row>
    <row r="326" spans="1:91" ht="14.25" customHeight="1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  <c r="BW326" s="50"/>
      <c r="BX326" s="50"/>
      <c r="BY326" s="50"/>
      <c r="BZ326" s="50"/>
      <c r="CA326" s="50"/>
      <c r="CB326" s="50"/>
      <c r="CC326" s="50"/>
      <c r="CD326" s="50"/>
      <c r="CE326" s="50"/>
      <c r="CF326" s="50"/>
      <c r="CG326" s="50"/>
      <c r="CH326" s="50"/>
      <c r="CI326" s="50"/>
      <c r="CJ326" s="50"/>
      <c r="CK326" s="50"/>
      <c r="CL326" s="50"/>
      <c r="CM326" s="50"/>
    </row>
    <row r="327" spans="1:91" ht="14.25" customHeight="1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  <c r="CM327" s="50"/>
    </row>
    <row r="328" spans="1:91" ht="14.25" customHeight="1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  <c r="BW328" s="50"/>
      <c r="BX328" s="50"/>
      <c r="BY328" s="50"/>
      <c r="BZ328" s="50"/>
      <c r="CA328" s="50"/>
      <c r="CB328" s="50"/>
      <c r="CC328" s="50"/>
      <c r="CD328" s="50"/>
      <c r="CE328" s="50"/>
      <c r="CF328" s="50"/>
      <c r="CG328" s="50"/>
      <c r="CH328" s="50"/>
      <c r="CI328" s="50"/>
      <c r="CJ328" s="50"/>
      <c r="CK328" s="50"/>
      <c r="CL328" s="50"/>
      <c r="CM328" s="50"/>
    </row>
    <row r="329" spans="1:91" ht="14.25" customHeight="1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  <c r="BW329" s="50"/>
      <c r="BX329" s="50"/>
      <c r="BY329" s="50"/>
      <c r="BZ329" s="50"/>
      <c r="CA329" s="50"/>
      <c r="CB329" s="50"/>
      <c r="CC329" s="50"/>
      <c r="CD329" s="50"/>
      <c r="CE329" s="50"/>
      <c r="CF329" s="50"/>
      <c r="CG329" s="50"/>
      <c r="CH329" s="50"/>
      <c r="CI329" s="50"/>
      <c r="CJ329" s="50"/>
      <c r="CK329" s="50"/>
      <c r="CL329" s="50"/>
      <c r="CM329" s="50"/>
    </row>
    <row r="330" spans="1:91" ht="14.25" customHeight="1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  <c r="BW330" s="50"/>
      <c r="BX330" s="50"/>
      <c r="BY330" s="50"/>
      <c r="BZ330" s="50"/>
      <c r="CA330" s="50"/>
      <c r="CB330" s="50"/>
      <c r="CC330" s="50"/>
      <c r="CD330" s="50"/>
      <c r="CE330" s="50"/>
      <c r="CF330" s="50"/>
      <c r="CG330" s="50"/>
      <c r="CH330" s="50"/>
      <c r="CI330" s="50"/>
      <c r="CJ330" s="50"/>
      <c r="CK330" s="50"/>
      <c r="CL330" s="50"/>
      <c r="CM330" s="50"/>
    </row>
    <row r="331" spans="1:91" ht="14.25" customHeight="1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  <c r="BW331" s="50"/>
      <c r="BX331" s="50"/>
      <c r="BY331" s="50"/>
      <c r="BZ331" s="50"/>
      <c r="CA331" s="50"/>
      <c r="CB331" s="50"/>
      <c r="CC331" s="50"/>
      <c r="CD331" s="50"/>
      <c r="CE331" s="50"/>
      <c r="CF331" s="50"/>
      <c r="CG331" s="50"/>
      <c r="CH331" s="50"/>
      <c r="CI331" s="50"/>
      <c r="CJ331" s="50"/>
      <c r="CK331" s="50"/>
      <c r="CL331" s="50"/>
      <c r="CM331" s="50"/>
    </row>
    <row r="332" spans="1:91" ht="14.25" customHeight="1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  <c r="BW332" s="50"/>
      <c r="BX332" s="50"/>
      <c r="BY332" s="50"/>
      <c r="BZ332" s="50"/>
      <c r="CA332" s="50"/>
      <c r="CB332" s="50"/>
      <c r="CC332" s="50"/>
      <c r="CD332" s="50"/>
      <c r="CE332" s="50"/>
      <c r="CF332" s="50"/>
      <c r="CG332" s="50"/>
      <c r="CH332" s="50"/>
      <c r="CI332" s="50"/>
      <c r="CJ332" s="50"/>
      <c r="CK332" s="50"/>
      <c r="CL332" s="50"/>
      <c r="CM332" s="50"/>
    </row>
    <row r="333" spans="1:91" ht="14.25" customHeight="1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  <c r="BT333" s="50"/>
      <c r="BU333" s="50"/>
      <c r="BV333" s="50"/>
      <c r="BW333" s="50"/>
      <c r="BX333" s="50"/>
      <c r="BY333" s="50"/>
      <c r="BZ333" s="50"/>
      <c r="CA333" s="50"/>
      <c r="CB333" s="50"/>
      <c r="CC333" s="50"/>
      <c r="CD333" s="50"/>
      <c r="CE333" s="50"/>
      <c r="CF333" s="50"/>
      <c r="CG333" s="50"/>
      <c r="CH333" s="50"/>
      <c r="CI333" s="50"/>
      <c r="CJ333" s="50"/>
      <c r="CK333" s="50"/>
      <c r="CL333" s="50"/>
      <c r="CM333" s="50"/>
    </row>
    <row r="334" spans="1:91" ht="14.25" customHeight="1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  <c r="BW334" s="50"/>
      <c r="BX334" s="50"/>
      <c r="BY334" s="50"/>
      <c r="BZ334" s="50"/>
      <c r="CA334" s="50"/>
      <c r="CB334" s="50"/>
      <c r="CC334" s="50"/>
      <c r="CD334" s="50"/>
      <c r="CE334" s="50"/>
      <c r="CF334" s="50"/>
      <c r="CG334" s="50"/>
      <c r="CH334" s="50"/>
      <c r="CI334" s="50"/>
      <c r="CJ334" s="50"/>
      <c r="CK334" s="50"/>
      <c r="CL334" s="50"/>
      <c r="CM334" s="50"/>
    </row>
    <row r="335" spans="1:91" ht="14.25" customHeight="1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  <c r="BT335" s="50"/>
      <c r="BU335" s="50"/>
      <c r="BV335" s="50"/>
      <c r="BW335" s="50"/>
      <c r="BX335" s="50"/>
      <c r="BY335" s="50"/>
      <c r="BZ335" s="50"/>
      <c r="CA335" s="50"/>
      <c r="CB335" s="50"/>
      <c r="CC335" s="50"/>
      <c r="CD335" s="50"/>
      <c r="CE335" s="50"/>
      <c r="CF335" s="50"/>
      <c r="CG335" s="50"/>
      <c r="CH335" s="50"/>
      <c r="CI335" s="50"/>
      <c r="CJ335" s="50"/>
      <c r="CK335" s="50"/>
      <c r="CL335" s="50"/>
      <c r="CM335" s="50"/>
    </row>
    <row r="336" spans="1:91" ht="14.25" customHeight="1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  <c r="BW336" s="50"/>
      <c r="BX336" s="50"/>
      <c r="BY336" s="50"/>
      <c r="BZ336" s="50"/>
      <c r="CA336" s="50"/>
      <c r="CB336" s="50"/>
      <c r="CC336" s="50"/>
      <c r="CD336" s="50"/>
      <c r="CE336" s="50"/>
      <c r="CF336" s="50"/>
      <c r="CG336" s="50"/>
      <c r="CH336" s="50"/>
      <c r="CI336" s="50"/>
      <c r="CJ336" s="50"/>
      <c r="CK336" s="50"/>
      <c r="CL336" s="50"/>
      <c r="CM336" s="50"/>
    </row>
    <row r="337" spans="1:91" ht="14.25" customHeight="1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  <c r="CB337" s="50"/>
      <c r="CC337" s="50"/>
      <c r="CD337" s="50"/>
      <c r="CE337" s="50"/>
      <c r="CF337" s="50"/>
      <c r="CG337" s="50"/>
      <c r="CH337" s="50"/>
      <c r="CI337" s="50"/>
      <c r="CJ337" s="50"/>
      <c r="CK337" s="50"/>
      <c r="CL337" s="50"/>
      <c r="CM337" s="50"/>
    </row>
    <row r="338" spans="1:91" ht="14.25" customHeight="1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  <c r="BW338" s="50"/>
      <c r="BX338" s="50"/>
      <c r="BY338" s="50"/>
      <c r="BZ338" s="50"/>
      <c r="CA338" s="50"/>
      <c r="CB338" s="50"/>
      <c r="CC338" s="50"/>
      <c r="CD338" s="50"/>
      <c r="CE338" s="50"/>
      <c r="CF338" s="50"/>
      <c r="CG338" s="50"/>
      <c r="CH338" s="50"/>
      <c r="CI338" s="50"/>
      <c r="CJ338" s="50"/>
      <c r="CK338" s="50"/>
      <c r="CL338" s="50"/>
      <c r="CM338" s="50"/>
    </row>
    <row r="339" spans="1:91" ht="14.25" customHeight="1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  <c r="BW339" s="50"/>
      <c r="BX339" s="50"/>
      <c r="BY339" s="50"/>
      <c r="BZ339" s="50"/>
      <c r="CA339" s="50"/>
      <c r="CB339" s="50"/>
      <c r="CC339" s="50"/>
      <c r="CD339" s="50"/>
      <c r="CE339" s="50"/>
      <c r="CF339" s="50"/>
      <c r="CG339" s="50"/>
      <c r="CH339" s="50"/>
      <c r="CI339" s="50"/>
      <c r="CJ339" s="50"/>
      <c r="CK339" s="50"/>
      <c r="CL339" s="50"/>
      <c r="CM339" s="50"/>
    </row>
    <row r="340" spans="1:91" ht="14.25" customHeight="1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  <c r="BW340" s="50"/>
      <c r="BX340" s="50"/>
      <c r="BY340" s="50"/>
      <c r="BZ340" s="50"/>
      <c r="CA340" s="50"/>
      <c r="CB340" s="50"/>
      <c r="CC340" s="50"/>
      <c r="CD340" s="50"/>
      <c r="CE340" s="50"/>
      <c r="CF340" s="50"/>
      <c r="CG340" s="50"/>
      <c r="CH340" s="50"/>
      <c r="CI340" s="50"/>
      <c r="CJ340" s="50"/>
      <c r="CK340" s="50"/>
      <c r="CL340" s="50"/>
      <c r="CM340" s="50"/>
    </row>
    <row r="341" spans="1:91" ht="14.25" customHeight="1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  <c r="BW341" s="50"/>
      <c r="BX341" s="50"/>
      <c r="BY341" s="50"/>
      <c r="BZ341" s="50"/>
      <c r="CA341" s="50"/>
      <c r="CB341" s="50"/>
      <c r="CC341" s="50"/>
      <c r="CD341" s="50"/>
      <c r="CE341" s="50"/>
      <c r="CF341" s="50"/>
      <c r="CG341" s="50"/>
      <c r="CH341" s="50"/>
      <c r="CI341" s="50"/>
      <c r="CJ341" s="50"/>
      <c r="CK341" s="50"/>
      <c r="CL341" s="50"/>
      <c r="CM341" s="50"/>
    </row>
    <row r="342" spans="1:91" ht="14.25" customHeight="1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  <c r="BW342" s="50"/>
      <c r="BX342" s="50"/>
      <c r="BY342" s="50"/>
      <c r="BZ342" s="50"/>
      <c r="CA342" s="50"/>
      <c r="CB342" s="50"/>
      <c r="CC342" s="50"/>
      <c r="CD342" s="50"/>
      <c r="CE342" s="50"/>
      <c r="CF342" s="50"/>
      <c r="CG342" s="50"/>
      <c r="CH342" s="50"/>
      <c r="CI342" s="50"/>
      <c r="CJ342" s="50"/>
      <c r="CK342" s="50"/>
      <c r="CL342" s="50"/>
      <c r="CM342" s="50"/>
    </row>
    <row r="343" spans="1:91" ht="14.25" customHeight="1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  <c r="BW343" s="50"/>
      <c r="BX343" s="50"/>
      <c r="BY343" s="50"/>
      <c r="BZ343" s="50"/>
      <c r="CA343" s="50"/>
      <c r="CB343" s="50"/>
      <c r="CC343" s="50"/>
      <c r="CD343" s="50"/>
      <c r="CE343" s="50"/>
      <c r="CF343" s="50"/>
      <c r="CG343" s="50"/>
      <c r="CH343" s="50"/>
      <c r="CI343" s="50"/>
      <c r="CJ343" s="50"/>
      <c r="CK343" s="50"/>
      <c r="CL343" s="50"/>
      <c r="CM343" s="50"/>
    </row>
    <row r="344" spans="1:91" ht="14.25" customHeight="1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  <c r="BT344" s="50"/>
      <c r="BU344" s="50"/>
      <c r="BV344" s="50"/>
      <c r="BW344" s="50"/>
      <c r="BX344" s="50"/>
      <c r="BY344" s="50"/>
      <c r="BZ344" s="50"/>
      <c r="CA344" s="50"/>
      <c r="CB344" s="50"/>
      <c r="CC344" s="50"/>
      <c r="CD344" s="50"/>
      <c r="CE344" s="50"/>
      <c r="CF344" s="50"/>
      <c r="CG344" s="50"/>
      <c r="CH344" s="50"/>
      <c r="CI344" s="50"/>
      <c r="CJ344" s="50"/>
      <c r="CK344" s="50"/>
      <c r="CL344" s="50"/>
      <c r="CM344" s="50"/>
    </row>
    <row r="345" spans="1:91" ht="14.25" customHeight="1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  <c r="BT345" s="50"/>
      <c r="BU345" s="50"/>
      <c r="BV345" s="50"/>
      <c r="BW345" s="50"/>
      <c r="BX345" s="50"/>
      <c r="BY345" s="50"/>
      <c r="BZ345" s="50"/>
      <c r="CA345" s="50"/>
      <c r="CB345" s="50"/>
      <c r="CC345" s="50"/>
      <c r="CD345" s="50"/>
      <c r="CE345" s="50"/>
      <c r="CF345" s="50"/>
      <c r="CG345" s="50"/>
      <c r="CH345" s="50"/>
      <c r="CI345" s="50"/>
      <c r="CJ345" s="50"/>
      <c r="CK345" s="50"/>
      <c r="CL345" s="50"/>
      <c r="CM345" s="50"/>
    </row>
    <row r="346" spans="1:91" ht="14.25" customHeight="1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  <c r="BT346" s="50"/>
      <c r="BU346" s="50"/>
      <c r="BV346" s="50"/>
      <c r="BW346" s="50"/>
      <c r="BX346" s="50"/>
      <c r="BY346" s="50"/>
      <c r="BZ346" s="50"/>
      <c r="CA346" s="50"/>
      <c r="CB346" s="50"/>
      <c r="CC346" s="50"/>
      <c r="CD346" s="50"/>
      <c r="CE346" s="50"/>
      <c r="CF346" s="50"/>
      <c r="CG346" s="50"/>
      <c r="CH346" s="50"/>
      <c r="CI346" s="50"/>
      <c r="CJ346" s="50"/>
      <c r="CK346" s="50"/>
      <c r="CL346" s="50"/>
      <c r="CM346" s="50"/>
    </row>
    <row r="347" spans="1:91" ht="14.25" customHeight="1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  <c r="BT347" s="50"/>
      <c r="BU347" s="50"/>
      <c r="BV347" s="50"/>
      <c r="BW347" s="50"/>
      <c r="BX347" s="50"/>
      <c r="BY347" s="50"/>
      <c r="BZ347" s="50"/>
      <c r="CA347" s="50"/>
      <c r="CB347" s="50"/>
      <c r="CC347" s="50"/>
      <c r="CD347" s="50"/>
      <c r="CE347" s="50"/>
      <c r="CF347" s="50"/>
      <c r="CG347" s="50"/>
      <c r="CH347" s="50"/>
      <c r="CI347" s="50"/>
      <c r="CJ347" s="50"/>
      <c r="CK347" s="50"/>
      <c r="CL347" s="50"/>
      <c r="CM347" s="50"/>
    </row>
    <row r="348" spans="1:91" ht="14.25" customHeight="1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  <c r="BT348" s="50"/>
      <c r="BU348" s="50"/>
      <c r="BV348" s="50"/>
      <c r="BW348" s="50"/>
      <c r="BX348" s="50"/>
      <c r="BY348" s="50"/>
      <c r="BZ348" s="50"/>
      <c r="CA348" s="50"/>
      <c r="CB348" s="50"/>
      <c r="CC348" s="50"/>
      <c r="CD348" s="50"/>
      <c r="CE348" s="50"/>
      <c r="CF348" s="50"/>
      <c r="CG348" s="50"/>
      <c r="CH348" s="50"/>
      <c r="CI348" s="50"/>
      <c r="CJ348" s="50"/>
      <c r="CK348" s="50"/>
      <c r="CL348" s="50"/>
      <c r="CM348" s="50"/>
    </row>
    <row r="349" spans="1:91" ht="14.25" customHeight="1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  <c r="BT349" s="50"/>
      <c r="BU349" s="50"/>
      <c r="BV349" s="50"/>
      <c r="BW349" s="50"/>
      <c r="BX349" s="50"/>
      <c r="BY349" s="50"/>
      <c r="BZ349" s="50"/>
      <c r="CA349" s="50"/>
      <c r="CB349" s="50"/>
      <c r="CC349" s="50"/>
      <c r="CD349" s="50"/>
      <c r="CE349" s="50"/>
      <c r="CF349" s="50"/>
      <c r="CG349" s="50"/>
      <c r="CH349" s="50"/>
      <c r="CI349" s="50"/>
      <c r="CJ349" s="50"/>
      <c r="CK349" s="50"/>
      <c r="CL349" s="50"/>
      <c r="CM349" s="50"/>
    </row>
    <row r="350" spans="1:91" ht="14.25" customHeight="1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  <c r="BT350" s="50"/>
      <c r="BU350" s="50"/>
      <c r="BV350" s="50"/>
      <c r="BW350" s="50"/>
      <c r="BX350" s="50"/>
      <c r="BY350" s="50"/>
      <c r="BZ350" s="50"/>
      <c r="CA350" s="50"/>
      <c r="CB350" s="50"/>
      <c r="CC350" s="50"/>
      <c r="CD350" s="50"/>
      <c r="CE350" s="50"/>
      <c r="CF350" s="50"/>
      <c r="CG350" s="50"/>
      <c r="CH350" s="50"/>
      <c r="CI350" s="50"/>
      <c r="CJ350" s="50"/>
      <c r="CK350" s="50"/>
      <c r="CL350" s="50"/>
      <c r="CM350" s="50"/>
    </row>
    <row r="351" spans="1:91" ht="14.25" customHeight="1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  <c r="BT351" s="50"/>
      <c r="BU351" s="50"/>
      <c r="BV351" s="50"/>
      <c r="BW351" s="50"/>
      <c r="BX351" s="50"/>
      <c r="BY351" s="50"/>
      <c r="BZ351" s="50"/>
      <c r="CA351" s="50"/>
      <c r="CB351" s="50"/>
      <c r="CC351" s="50"/>
      <c r="CD351" s="50"/>
      <c r="CE351" s="50"/>
      <c r="CF351" s="50"/>
      <c r="CG351" s="50"/>
      <c r="CH351" s="50"/>
      <c r="CI351" s="50"/>
      <c r="CJ351" s="50"/>
      <c r="CK351" s="50"/>
      <c r="CL351" s="50"/>
      <c r="CM351" s="50"/>
    </row>
    <row r="352" spans="1:91" ht="14.25" customHeight="1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  <c r="BT352" s="50"/>
      <c r="BU352" s="50"/>
      <c r="BV352" s="50"/>
      <c r="BW352" s="50"/>
      <c r="BX352" s="50"/>
      <c r="BY352" s="50"/>
      <c r="BZ352" s="50"/>
      <c r="CA352" s="50"/>
      <c r="CB352" s="50"/>
      <c r="CC352" s="50"/>
      <c r="CD352" s="50"/>
      <c r="CE352" s="50"/>
      <c r="CF352" s="50"/>
      <c r="CG352" s="50"/>
      <c r="CH352" s="50"/>
      <c r="CI352" s="50"/>
      <c r="CJ352" s="50"/>
      <c r="CK352" s="50"/>
      <c r="CL352" s="50"/>
      <c r="CM352" s="50"/>
    </row>
    <row r="353" spans="1:91" ht="14.25" customHeight="1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  <c r="BT353" s="50"/>
      <c r="BU353" s="50"/>
      <c r="BV353" s="50"/>
      <c r="BW353" s="50"/>
      <c r="BX353" s="50"/>
      <c r="BY353" s="50"/>
      <c r="BZ353" s="50"/>
      <c r="CA353" s="50"/>
      <c r="CB353" s="50"/>
      <c r="CC353" s="50"/>
      <c r="CD353" s="50"/>
      <c r="CE353" s="50"/>
      <c r="CF353" s="50"/>
      <c r="CG353" s="50"/>
      <c r="CH353" s="50"/>
      <c r="CI353" s="50"/>
      <c r="CJ353" s="50"/>
      <c r="CK353" s="50"/>
      <c r="CL353" s="50"/>
      <c r="CM353" s="50"/>
    </row>
    <row r="354" spans="1:91" ht="14.25" customHeight="1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  <c r="BW354" s="50"/>
      <c r="BX354" s="50"/>
      <c r="BY354" s="50"/>
      <c r="BZ354" s="50"/>
      <c r="CA354" s="50"/>
      <c r="CB354" s="50"/>
      <c r="CC354" s="50"/>
      <c r="CD354" s="50"/>
      <c r="CE354" s="50"/>
      <c r="CF354" s="50"/>
      <c r="CG354" s="50"/>
      <c r="CH354" s="50"/>
      <c r="CI354" s="50"/>
      <c r="CJ354" s="50"/>
      <c r="CK354" s="50"/>
      <c r="CL354" s="50"/>
      <c r="CM354" s="50"/>
    </row>
    <row r="355" spans="1:91" ht="14.25" customHeight="1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  <c r="CB355" s="50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  <c r="CM355" s="50"/>
    </row>
    <row r="356" spans="1:91" ht="14.25" customHeight="1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  <c r="BW356" s="50"/>
      <c r="BX356" s="50"/>
      <c r="BY356" s="50"/>
      <c r="BZ356" s="50"/>
      <c r="CA356" s="50"/>
      <c r="CB356" s="50"/>
      <c r="CC356" s="50"/>
      <c r="CD356" s="50"/>
      <c r="CE356" s="50"/>
      <c r="CF356" s="50"/>
      <c r="CG356" s="50"/>
      <c r="CH356" s="50"/>
      <c r="CI356" s="50"/>
      <c r="CJ356" s="50"/>
      <c r="CK356" s="50"/>
      <c r="CL356" s="50"/>
      <c r="CM356" s="50"/>
    </row>
    <row r="357" spans="1:91" ht="14.25" customHeight="1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  <c r="BW357" s="50"/>
      <c r="BX357" s="50"/>
      <c r="BY357" s="50"/>
      <c r="BZ357" s="50"/>
      <c r="CA357" s="50"/>
      <c r="CB357" s="50"/>
      <c r="CC357" s="50"/>
      <c r="CD357" s="50"/>
      <c r="CE357" s="50"/>
      <c r="CF357" s="50"/>
      <c r="CG357" s="50"/>
      <c r="CH357" s="50"/>
      <c r="CI357" s="50"/>
      <c r="CJ357" s="50"/>
      <c r="CK357" s="50"/>
      <c r="CL357" s="50"/>
      <c r="CM357" s="50"/>
    </row>
    <row r="358" spans="1:91" ht="14.25" customHeight="1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  <c r="CM358" s="50"/>
    </row>
    <row r="359" spans="1:91" ht="14.25" customHeight="1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  <c r="BW359" s="50"/>
      <c r="BX359" s="50"/>
      <c r="BY359" s="50"/>
      <c r="BZ359" s="50"/>
      <c r="CA359" s="50"/>
      <c r="CB359" s="50"/>
      <c r="CC359" s="50"/>
      <c r="CD359" s="50"/>
      <c r="CE359" s="50"/>
      <c r="CF359" s="50"/>
      <c r="CG359" s="50"/>
      <c r="CH359" s="50"/>
      <c r="CI359" s="50"/>
      <c r="CJ359" s="50"/>
      <c r="CK359" s="50"/>
      <c r="CL359" s="50"/>
      <c r="CM359" s="50"/>
    </row>
    <row r="360" spans="1:91" ht="14.25" customHeight="1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  <c r="CB360" s="50"/>
      <c r="CC360" s="50"/>
      <c r="CD360" s="50"/>
      <c r="CE360" s="50"/>
      <c r="CF360" s="50"/>
      <c r="CG360" s="50"/>
      <c r="CH360" s="50"/>
      <c r="CI360" s="50"/>
      <c r="CJ360" s="50"/>
      <c r="CK360" s="50"/>
      <c r="CL360" s="50"/>
      <c r="CM360" s="50"/>
    </row>
    <row r="361" spans="1:91" ht="14.25" customHeight="1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  <c r="BW361" s="50"/>
      <c r="BX361" s="50"/>
      <c r="BY361" s="50"/>
      <c r="BZ361" s="50"/>
      <c r="CA361" s="50"/>
      <c r="CB361" s="50"/>
      <c r="CC361" s="50"/>
      <c r="CD361" s="50"/>
      <c r="CE361" s="50"/>
      <c r="CF361" s="50"/>
      <c r="CG361" s="50"/>
      <c r="CH361" s="50"/>
      <c r="CI361" s="50"/>
      <c r="CJ361" s="50"/>
      <c r="CK361" s="50"/>
      <c r="CL361" s="50"/>
      <c r="CM361" s="50"/>
    </row>
    <row r="362" spans="1:91" ht="14.25" customHeight="1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  <c r="BW362" s="50"/>
      <c r="BX362" s="50"/>
      <c r="BY362" s="50"/>
      <c r="BZ362" s="50"/>
      <c r="CA362" s="50"/>
      <c r="CB362" s="50"/>
      <c r="CC362" s="50"/>
      <c r="CD362" s="50"/>
      <c r="CE362" s="50"/>
      <c r="CF362" s="50"/>
      <c r="CG362" s="50"/>
      <c r="CH362" s="50"/>
      <c r="CI362" s="50"/>
      <c r="CJ362" s="50"/>
      <c r="CK362" s="50"/>
      <c r="CL362" s="50"/>
      <c r="CM362" s="50"/>
    </row>
    <row r="363" spans="1:91" ht="14.25" customHeight="1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  <c r="BW363" s="50"/>
      <c r="BX363" s="50"/>
      <c r="BY363" s="50"/>
      <c r="BZ363" s="50"/>
      <c r="CA363" s="50"/>
      <c r="CB363" s="50"/>
      <c r="CC363" s="50"/>
      <c r="CD363" s="50"/>
      <c r="CE363" s="50"/>
      <c r="CF363" s="50"/>
      <c r="CG363" s="50"/>
      <c r="CH363" s="50"/>
      <c r="CI363" s="50"/>
      <c r="CJ363" s="50"/>
      <c r="CK363" s="50"/>
      <c r="CL363" s="50"/>
      <c r="CM363" s="50"/>
    </row>
    <row r="364" spans="1:91" ht="14.25" customHeight="1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  <c r="BW364" s="50"/>
      <c r="BX364" s="50"/>
      <c r="BY364" s="50"/>
      <c r="BZ364" s="50"/>
      <c r="CA364" s="50"/>
      <c r="CB364" s="50"/>
      <c r="CC364" s="50"/>
      <c r="CD364" s="50"/>
      <c r="CE364" s="50"/>
      <c r="CF364" s="50"/>
      <c r="CG364" s="50"/>
      <c r="CH364" s="50"/>
      <c r="CI364" s="50"/>
      <c r="CJ364" s="50"/>
      <c r="CK364" s="50"/>
      <c r="CL364" s="50"/>
      <c r="CM364" s="50"/>
    </row>
    <row r="365" spans="1:91" ht="14.25" customHeight="1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  <c r="BT365" s="50"/>
      <c r="BU365" s="50"/>
      <c r="BV365" s="50"/>
      <c r="BW365" s="50"/>
      <c r="BX365" s="50"/>
      <c r="BY365" s="50"/>
      <c r="BZ365" s="50"/>
      <c r="CA365" s="50"/>
      <c r="CB365" s="50"/>
      <c r="CC365" s="50"/>
      <c r="CD365" s="50"/>
      <c r="CE365" s="50"/>
      <c r="CF365" s="50"/>
      <c r="CG365" s="50"/>
      <c r="CH365" s="50"/>
      <c r="CI365" s="50"/>
      <c r="CJ365" s="50"/>
      <c r="CK365" s="50"/>
      <c r="CL365" s="50"/>
      <c r="CM365" s="50"/>
    </row>
    <row r="366" spans="1:91" ht="14.25" customHeight="1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  <c r="CB366" s="50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  <c r="CM366" s="50"/>
    </row>
    <row r="367" spans="1:91" ht="14.25" customHeight="1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  <c r="BT367" s="50"/>
      <c r="BU367" s="50"/>
      <c r="BV367" s="50"/>
      <c r="BW367" s="50"/>
      <c r="BX367" s="50"/>
      <c r="BY367" s="50"/>
      <c r="BZ367" s="50"/>
      <c r="CA367" s="50"/>
      <c r="CB367" s="50"/>
      <c r="CC367" s="50"/>
      <c r="CD367" s="50"/>
      <c r="CE367" s="50"/>
      <c r="CF367" s="50"/>
      <c r="CG367" s="50"/>
      <c r="CH367" s="50"/>
      <c r="CI367" s="50"/>
      <c r="CJ367" s="50"/>
      <c r="CK367" s="50"/>
      <c r="CL367" s="50"/>
      <c r="CM367" s="50"/>
    </row>
    <row r="368" spans="1:91" ht="14.25" customHeight="1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  <c r="BT368" s="50"/>
      <c r="BU368" s="50"/>
      <c r="BV368" s="50"/>
      <c r="BW368" s="50"/>
      <c r="BX368" s="50"/>
      <c r="BY368" s="50"/>
      <c r="BZ368" s="50"/>
      <c r="CA368" s="50"/>
      <c r="CB368" s="50"/>
      <c r="CC368" s="50"/>
      <c r="CD368" s="50"/>
      <c r="CE368" s="50"/>
      <c r="CF368" s="50"/>
      <c r="CG368" s="50"/>
      <c r="CH368" s="50"/>
      <c r="CI368" s="50"/>
      <c r="CJ368" s="50"/>
      <c r="CK368" s="50"/>
      <c r="CL368" s="50"/>
      <c r="CM368" s="50"/>
    </row>
    <row r="369" spans="1:91" ht="14.25" customHeight="1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  <c r="BT369" s="50"/>
      <c r="BU369" s="50"/>
      <c r="BV369" s="50"/>
      <c r="BW369" s="50"/>
      <c r="BX369" s="50"/>
      <c r="BY369" s="50"/>
      <c r="BZ369" s="50"/>
      <c r="CA369" s="50"/>
      <c r="CB369" s="50"/>
      <c r="CC369" s="50"/>
      <c r="CD369" s="50"/>
      <c r="CE369" s="50"/>
      <c r="CF369" s="50"/>
      <c r="CG369" s="50"/>
      <c r="CH369" s="50"/>
      <c r="CI369" s="50"/>
      <c r="CJ369" s="50"/>
      <c r="CK369" s="50"/>
      <c r="CL369" s="50"/>
      <c r="CM369" s="50"/>
    </row>
    <row r="370" spans="1:91" ht="14.25" customHeight="1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  <c r="BU370" s="50"/>
      <c r="BV370" s="50"/>
      <c r="BW370" s="50"/>
      <c r="BX370" s="50"/>
      <c r="BY370" s="50"/>
      <c r="BZ370" s="50"/>
      <c r="CA370" s="50"/>
      <c r="CB370" s="50"/>
      <c r="CC370" s="50"/>
      <c r="CD370" s="50"/>
      <c r="CE370" s="50"/>
      <c r="CF370" s="50"/>
      <c r="CG370" s="50"/>
      <c r="CH370" s="50"/>
      <c r="CI370" s="50"/>
      <c r="CJ370" s="50"/>
      <c r="CK370" s="50"/>
      <c r="CL370" s="50"/>
      <c r="CM370" s="50"/>
    </row>
    <row r="371" spans="1:91" ht="14.25" customHeight="1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  <c r="BT371" s="50"/>
      <c r="BU371" s="50"/>
      <c r="BV371" s="50"/>
      <c r="BW371" s="50"/>
      <c r="BX371" s="50"/>
      <c r="BY371" s="50"/>
      <c r="BZ371" s="50"/>
      <c r="CA371" s="50"/>
      <c r="CB371" s="50"/>
      <c r="CC371" s="50"/>
      <c r="CD371" s="50"/>
      <c r="CE371" s="50"/>
      <c r="CF371" s="50"/>
      <c r="CG371" s="50"/>
      <c r="CH371" s="50"/>
      <c r="CI371" s="50"/>
      <c r="CJ371" s="50"/>
      <c r="CK371" s="50"/>
      <c r="CL371" s="50"/>
      <c r="CM371" s="50"/>
    </row>
    <row r="372" spans="1:91" ht="14.25" customHeight="1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  <c r="BS372" s="50"/>
      <c r="BT372" s="50"/>
      <c r="BU372" s="50"/>
      <c r="BV372" s="50"/>
      <c r="BW372" s="50"/>
      <c r="BX372" s="50"/>
      <c r="BY372" s="50"/>
      <c r="BZ372" s="50"/>
      <c r="CA372" s="50"/>
      <c r="CB372" s="50"/>
      <c r="CC372" s="50"/>
      <c r="CD372" s="50"/>
      <c r="CE372" s="50"/>
      <c r="CF372" s="50"/>
      <c r="CG372" s="50"/>
      <c r="CH372" s="50"/>
      <c r="CI372" s="50"/>
      <c r="CJ372" s="50"/>
      <c r="CK372" s="50"/>
      <c r="CL372" s="50"/>
      <c r="CM372" s="50"/>
    </row>
    <row r="373" spans="1:91" ht="14.25" customHeight="1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  <c r="BS373" s="50"/>
      <c r="BT373" s="50"/>
      <c r="BU373" s="50"/>
      <c r="BV373" s="50"/>
      <c r="BW373" s="50"/>
      <c r="BX373" s="50"/>
      <c r="BY373" s="50"/>
      <c r="BZ373" s="50"/>
      <c r="CA373" s="50"/>
      <c r="CB373" s="50"/>
      <c r="CC373" s="50"/>
      <c r="CD373" s="50"/>
      <c r="CE373" s="50"/>
      <c r="CF373" s="50"/>
      <c r="CG373" s="50"/>
      <c r="CH373" s="50"/>
      <c r="CI373" s="50"/>
      <c r="CJ373" s="50"/>
      <c r="CK373" s="50"/>
      <c r="CL373" s="50"/>
      <c r="CM373" s="50"/>
    </row>
    <row r="374" spans="1:91" ht="14.25" customHeight="1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  <c r="BS374" s="50"/>
      <c r="BT374" s="50"/>
      <c r="BU374" s="50"/>
      <c r="BV374" s="50"/>
      <c r="BW374" s="50"/>
      <c r="BX374" s="50"/>
      <c r="BY374" s="50"/>
      <c r="BZ374" s="50"/>
      <c r="CA374" s="50"/>
      <c r="CB374" s="50"/>
      <c r="CC374" s="50"/>
      <c r="CD374" s="50"/>
      <c r="CE374" s="50"/>
      <c r="CF374" s="50"/>
      <c r="CG374" s="50"/>
      <c r="CH374" s="50"/>
      <c r="CI374" s="50"/>
      <c r="CJ374" s="50"/>
      <c r="CK374" s="50"/>
      <c r="CL374" s="50"/>
      <c r="CM374" s="50"/>
    </row>
    <row r="375" spans="1:91" ht="14.25" customHeight="1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0"/>
      <c r="BQ375" s="50"/>
      <c r="BR375" s="50"/>
      <c r="BS375" s="50"/>
      <c r="BT375" s="50"/>
      <c r="BU375" s="50"/>
      <c r="BV375" s="50"/>
      <c r="BW375" s="50"/>
      <c r="BX375" s="50"/>
      <c r="BY375" s="50"/>
      <c r="BZ375" s="50"/>
      <c r="CA375" s="50"/>
      <c r="CB375" s="50"/>
      <c r="CC375" s="50"/>
      <c r="CD375" s="50"/>
      <c r="CE375" s="50"/>
      <c r="CF375" s="50"/>
      <c r="CG375" s="50"/>
      <c r="CH375" s="50"/>
      <c r="CI375" s="50"/>
      <c r="CJ375" s="50"/>
      <c r="CK375" s="50"/>
      <c r="CL375" s="50"/>
      <c r="CM375" s="50"/>
    </row>
    <row r="376" spans="1:91" ht="14.25" customHeight="1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  <c r="BY376" s="50"/>
      <c r="BZ376" s="50"/>
      <c r="CA376" s="50"/>
      <c r="CB376" s="50"/>
      <c r="CC376" s="50"/>
      <c r="CD376" s="50"/>
      <c r="CE376" s="50"/>
      <c r="CF376" s="50"/>
      <c r="CG376" s="50"/>
      <c r="CH376" s="50"/>
      <c r="CI376" s="50"/>
      <c r="CJ376" s="50"/>
      <c r="CK376" s="50"/>
      <c r="CL376" s="50"/>
      <c r="CM376" s="50"/>
    </row>
    <row r="377" spans="1:91" ht="14.25" customHeight="1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  <c r="BS377" s="50"/>
      <c r="BT377" s="50"/>
      <c r="BU377" s="50"/>
      <c r="BV377" s="50"/>
      <c r="BW377" s="50"/>
      <c r="BX377" s="50"/>
      <c r="BY377" s="50"/>
      <c r="BZ377" s="50"/>
      <c r="CA377" s="50"/>
      <c r="CB377" s="50"/>
      <c r="CC377" s="50"/>
      <c r="CD377" s="50"/>
      <c r="CE377" s="50"/>
      <c r="CF377" s="50"/>
      <c r="CG377" s="50"/>
      <c r="CH377" s="50"/>
      <c r="CI377" s="50"/>
      <c r="CJ377" s="50"/>
      <c r="CK377" s="50"/>
      <c r="CL377" s="50"/>
      <c r="CM377" s="50"/>
    </row>
    <row r="378" spans="1:91" ht="14.25" customHeight="1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0"/>
      <c r="BQ378" s="50"/>
      <c r="BR378" s="50"/>
      <c r="BS378" s="50"/>
      <c r="BT378" s="50"/>
      <c r="BU378" s="50"/>
      <c r="BV378" s="50"/>
      <c r="BW378" s="50"/>
      <c r="BX378" s="50"/>
      <c r="BY378" s="50"/>
      <c r="BZ378" s="50"/>
      <c r="CA378" s="50"/>
      <c r="CB378" s="50"/>
      <c r="CC378" s="50"/>
      <c r="CD378" s="50"/>
      <c r="CE378" s="50"/>
      <c r="CF378" s="50"/>
      <c r="CG378" s="50"/>
      <c r="CH378" s="50"/>
      <c r="CI378" s="50"/>
      <c r="CJ378" s="50"/>
      <c r="CK378" s="50"/>
      <c r="CL378" s="50"/>
      <c r="CM378" s="50"/>
    </row>
    <row r="379" spans="1:91" ht="14.25" customHeight="1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0"/>
      <c r="BQ379" s="50"/>
      <c r="BR379" s="50"/>
      <c r="BS379" s="50"/>
      <c r="BT379" s="50"/>
      <c r="BU379" s="50"/>
      <c r="BV379" s="50"/>
      <c r="BW379" s="50"/>
      <c r="BX379" s="50"/>
      <c r="BY379" s="50"/>
      <c r="BZ379" s="50"/>
      <c r="CA379" s="50"/>
      <c r="CB379" s="50"/>
      <c r="CC379" s="50"/>
      <c r="CD379" s="50"/>
      <c r="CE379" s="50"/>
      <c r="CF379" s="50"/>
      <c r="CG379" s="50"/>
      <c r="CH379" s="50"/>
      <c r="CI379" s="50"/>
      <c r="CJ379" s="50"/>
      <c r="CK379" s="50"/>
      <c r="CL379" s="50"/>
      <c r="CM379" s="50"/>
    </row>
    <row r="380" spans="1:91" ht="14.25" customHeight="1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50"/>
      <c r="BL380" s="50"/>
      <c r="BM380" s="50"/>
      <c r="BN380" s="50"/>
      <c r="BO380" s="50"/>
      <c r="BP380" s="50"/>
      <c r="BQ380" s="50"/>
      <c r="BR380" s="50"/>
      <c r="BS380" s="50"/>
      <c r="BT380" s="50"/>
      <c r="BU380" s="50"/>
      <c r="BV380" s="50"/>
      <c r="BW380" s="50"/>
      <c r="BX380" s="50"/>
      <c r="BY380" s="50"/>
      <c r="BZ380" s="50"/>
      <c r="CA380" s="50"/>
      <c r="CB380" s="50"/>
      <c r="CC380" s="50"/>
      <c r="CD380" s="50"/>
      <c r="CE380" s="50"/>
      <c r="CF380" s="50"/>
      <c r="CG380" s="50"/>
      <c r="CH380" s="50"/>
      <c r="CI380" s="50"/>
      <c r="CJ380" s="50"/>
      <c r="CK380" s="50"/>
      <c r="CL380" s="50"/>
      <c r="CM380" s="50"/>
    </row>
    <row r="381" spans="1:91" ht="14.25" customHeight="1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  <c r="BP381" s="50"/>
      <c r="BQ381" s="50"/>
      <c r="BR381" s="50"/>
      <c r="BS381" s="50"/>
      <c r="BT381" s="50"/>
      <c r="BU381" s="50"/>
      <c r="BV381" s="50"/>
      <c r="BW381" s="50"/>
      <c r="BX381" s="50"/>
      <c r="BY381" s="50"/>
      <c r="BZ381" s="50"/>
      <c r="CA381" s="50"/>
      <c r="CB381" s="50"/>
      <c r="CC381" s="50"/>
      <c r="CD381" s="50"/>
      <c r="CE381" s="50"/>
      <c r="CF381" s="50"/>
      <c r="CG381" s="50"/>
      <c r="CH381" s="50"/>
      <c r="CI381" s="50"/>
      <c r="CJ381" s="50"/>
      <c r="CK381" s="50"/>
      <c r="CL381" s="50"/>
      <c r="CM381" s="50"/>
    </row>
    <row r="382" spans="1:91" ht="14.25" customHeight="1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  <c r="BT382" s="50"/>
      <c r="BU382" s="50"/>
      <c r="BV382" s="50"/>
      <c r="BW382" s="50"/>
      <c r="BX382" s="50"/>
      <c r="BY382" s="50"/>
      <c r="BZ382" s="50"/>
      <c r="CA382" s="50"/>
      <c r="CB382" s="50"/>
      <c r="CC382" s="50"/>
      <c r="CD382" s="50"/>
      <c r="CE382" s="50"/>
      <c r="CF382" s="50"/>
      <c r="CG382" s="50"/>
      <c r="CH382" s="50"/>
      <c r="CI382" s="50"/>
      <c r="CJ382" s="50"/>
      <c r="CK382" s="50"/>
      <c r="CL382" s="50"/>
      <c r="CM382" s="50"/>
    </row>
    <row r="383" spans="1:91" ht="14.25" customHeight="1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  <c r="BT383" s="50"/>
      <c r="BU383" s="50"/>
      <c r="BV383" s="50"/>
      <c r="BW383" s="50"/>
      <c r="BX383" s="50"/>
      <c r="BY383" s="50"/>
      <c r="BZ383" s="50"/>
      <c r="CA383" s="50"/>
      <c r="CB383" s="50"/>
      <c r="CC383" s="50"/>
      <c r="CD383" s="50"/>
      <c r="CE383" s="50"/>
      <c r="CF383" s="50"/>
      <c r="CG383" s="50"/>
      <c r="CH383" s="50"/>
      <c r="CI383" s="50"/>
      <c r="CJ383" s="50"/>
      <c r="CK383" s="50"/>
      <c r="CL383" s="50"/>
      <c r="CM383" s="50"/>
    </row>
    <row r="384" spans="1:91" ht="14.25" customHeight="1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  <c r="BT384" s="50"/>
      <c r="BU384" s="50"/>
      <c r="BV384" s="50"/>
      <c r="BW384" s="50"/>
      <c r="BX384" s="50"/>
      <c r="BY384" s="50"/>
      <c r="BZ384" s="50"/>
      <c r="CA384" s="50"/>
      <c r="CB384" s="50"/>
      <c r="CC384" s="50"/>
      <c r="CD384" s="50"/>
      <c r="CE384" s="50"/>
      <c r="CF384" s="50"/>
      <c r="CG384" s="50"/>
      <c r="CH384" s="50"/>
      <c r="CI384" s="50"/>
      <c r="CJ384" s="50"/>
      <c r="CK384" s="50"/>
      <c r="CL384" s="50"/>
      <c r="CM384" s="50"/>
    </row>
    <row r="385" spans="1:91" ht="14.25" customHeight="1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  <c r="BT385" s="50"/>
      <c r="BU385" s="50"/>
      <c r="BV385" s="50"/>
      <c r="BW385" s="50"/>
      <c r="BX385" s="50"/>
      <c r="BY385" s="50"/>
      <c r="BZ385" s="50"/>
      <c r="CA385" s="50"/>
      <c r="CB385" s="50"/>
      <c r="CC385" s="50"/>
      <c r="CD385" s="50"/>
      <c r="CE385" s="50"/>
      <c r="CF385" s="50"/>
      <c r="CG385" s="50"/>
      <c r="CH385" s="50"/>
      <c r="CI385" s="50"/>
      <c r="CJ385" s="50"/>
      <c r="CK385" s="50"/>
      <c r="CL385" s="50"/>
      <c r="CM385" s="50"/>
    </row>
    <row r="386" spans="1:91" ht="14.25" customHeight="1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  <c r="BT386" s="50"/>
      <c r="BU386" s="50"/>
      <c r="BV386" s="50"/>
      <c r="BW386" s="50"/>
      <c r="BX386" s="50"/>
      <c r="BY386" s="50"/>
      <c r="BZ386" s="50"/>
      <c r="CA386" s="50"/>
      <c r="CB386" s="50"/>
      <c r="CC386" s="50"/>
      <c r="CD386" s="50"/>
      <c r="CE386" s="50"/>
      <c r="CF386" s="50"/>
      <c r="CG386" s="50"/>
      <c r="CH386" s="50"/>
      <c r="CI386" s="50"/>
      <c r="CJ386" s="50"/>
      <c r="CK386" s="50"/>
      <c r="CL386" s="50"/>
      <c r="CM386" s="50"/>
    </row>
    <row r="387" spans="1:91" ht="14.25" customHeight="1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  <c r="BT387" s="50"/>
      <c r="BU387" s="50"/>
      <c r="BV387" s="50"/>
      <c r="BW387" s="50"/>
      <c r="BX387" s="50"/>
      <c r="BY387" s="50"/>
      <c r="BZ387" s="50"/>
      <c r="CA387" s="50"/>
      <c r="CB387" s="50"/>
      <c r="CC387" s="50"/>
      <c r="CD387" s="50"/>
      <c r="CE387" s="50"/>
      <c r="CF387" s="50"/>
      <c r="CG387" s="50"/>
      <c r="CH387" s="50"/>
      <c r="CI387" s="50"/>
      <c r="CJ387" s="50"/>
      <c r="CK387" s="50"/>
      <c r="CL387" s="50"/>
      <c r="CM387" s="50"/>
    </row>
    <row r="388" spans="1:91" ht="14.25" customHeight="1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  <c r="BT388" s="50"/>
      <c r="BU388" s="50"/>
      <c r="BV388" s="50"/>
      <c r="BW388" s="50"/>
      <c r="BX388" s="50"/>
      <c r="BY388" s="50"/>
      <c r="BZ388" s="50"/>
      <c r="CA388" s="50"/>
      <c r="CB388" s="50"/>
      <c r="CC388" s="50"/>
      <c r="CD388" s="50"/>
      <c r="CE388" s="50"/>
      <c r="CF388" s="50"/>
      <c r="CG388" s="50"/>
      <c r="CH388" s="50"/>
      <c r="CI388" s="50"/>
      <c r="CJ388" s="50"/>
      <c r="CK388" s="50"/>
      <c r="CL388" s="50"/>
      <c r="CM388" s="50"/>
    </row>
    <row r="389" spans="1:91" ht="14.25" customHeight="1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  <c r="BT389" s="50"/>
      <c r="BU389" s="50"/>
      <c r="BV389" s="50"/>
      <c r="BW389" s="50"/>
      <c r="BX389" s="50"/>
      <c r="BY389" s="50"/>
      <c r="BZ389" s="50"/>
      <c r="CA389" s="50"/>
      <c r="CB389" s="50"/>
      <c r="CC389" s="50"/>
      <c r="CD389" s="50"/>
      <c r="CE389" s="50"/>
      <c r="CF389" s="50"/>
      <c r="CG389" s="50"/>
      <c r="CH389" s="50"/>
      <c r="CI389" s="50"/>
      <c r="CJ389" s="50"/>
      <c r="CK389" s="50"/>
      <c r="CL389" s="50"/>
      <c r="CM389" s="50"/>
    </row>
    <row r="390" spans="1:91" ht="14.25" customHeight="1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  <c r="BT390" s="50"/>
      <c r="BU390" s="50"/>
      <c r="BV390" s="50"/>
      <c r="BW390" s="50"/>
      <c r="BX390" s="50"/>
      <c r="BY390" s="50"/>
      <c r="BZ390" s="50"/>
      <c r="CA390" s="50"/>
      <c r="CB390" s="50"/>
      <c r="CC390" s="50"/>
      <c r="CD390" s="50"/>
      <c r="CE390" s="50"/>
      <c r="CF390" s="50"/>
      <c r="CG390" s="50"/>
      <c r="CH390" s="50"/>
      <c r="CI390" s="50"/>
      <c r="CJ390" s="50"/>
      <c r="CK390" s="50"/>
      <c r="CL390" s="50"/>
      <c r="CM390" s="50"/>
    </row>
    <row r="391" spans="1:91" ht="14.25" customHeight="1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  <c r="BT391" s="50"/>
      <c r="BU391" s="50"/>
      <c r="BV391" s="50"/>
      <c r="BW391" s="50"/>
      <c r="BX391" s="50"/>
      <c r="BY391" s="50"/>
      <c r="BZ391" s="50"/>
      <c r="CA391" s="50"/>
      <c r="CB391" s="50"/>
      <c r="CC391" s="50"/>
      <c r="CD391" s="50"/>
      <c r="CE391" s="50"/>
      <c r="CF391" s="50"/>
      <c r="CG391" s="50"/>
      <c r="CH391" s="50"/>
      <c r="CI391" s="50"/>
      <c r="CJ391" s="50"/>
      <c r="CK391" s="50"/>
      <c r="CL391" s="50"/>
      <c r="CM391" s="50"/>
    </row>
    <row r="392" spans="1:91" ht="14.25" customHeight="1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  <c r="BT392" s="50"/>
      <c r="BU392" s="50"/>
      <c r="BV392" s="50"/>
      <c r="BW392" s="50"/>
      <c r="BX392" s="50"/>
      <c r="BY392" s="50"/>
      <c r="BZ392" s="50"/>
      <c r="CA392" s="50"/>
      <c r="CB392" s="50"/>
      <c r="CC392" s="50"/>
      <c r="CD392" s="50"/>
      <c r="CE392" s="50"/>
      <c r="CF392" s="50"/>
      <c r="CG392" s="50"/>
      <c r="CH392" s="50"/>
      <c r="CI392" s="50"/>
      <c r="CJ392" s="50"/>
      <c r="CK392" s="50"/>
      <c r="CL392" s="50"/>
      <c r="CM392" s="50"/>
    </row>
    <row r="393" spans="1:91" ht="14.25" customHeight="1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  <c r="BT393" s="50"/>
      <c r="BU393" s="50"/>
      <c r="BV393" s="50"/>
      <c r="BW393" s="50"/>
      <c r="BX393" s="50"/>
      <c r="BY393" s="50"/>
      <c r="BZ393" s="50"/>
      <c r="CA393" s="50"/>
      <c r="CB393" s="50"/>
      <c r="CC393" s="50"/>
      <c r="CD393" s="50"/>
      <c r="CE393" s="50"/>
      <c r="CF393" s="50"/>
      <c r="CG393" s="50"/>
      <c r="CH393" s="50"/>
      <c r="CI393" s="50"/>
      <c r="CJ393" s="50"/>
      <c r="CK393" s="50"/>
      <c r="CL393" s="50"/>
      <c r="CM393" s="50"/>
    </row>
    <row r="394" spans="1:91" ht="14.25" customHeight="1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50"/>
      <c r="CB394" s="50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  <c r="CM394" s="50"/>
    </row>
    <row r="395" spans="1:91" ht="14.25" customHeight="1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50"/>
      <c r="CB395" s="50"/>
      <c r="CC395" s="50"/>
      <c r="CD395" s="50"/>
      <c r="CE395" s="50"/>
      <c r="CF395" s="50"/>
      <c r="CG395" s="50"/>
      <c r="CH395" s="50"/>
      <c r="CI395" s="50"/>
      <c r="CJ395" s="50"/>
      <c r="CK395" s="50"/>
      <c r="CL395" s="50"/>
      <c r="CM395" s="50"/>
    </row>
    <row r="396" spans="1:91" ht="14.25" customHeight="1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  <c r="BT396" s="50"/>
      <c r="BU396" s="50"/>
      <c r="BV396" s="50"/>
      <c r="BW396" s="50"/>
      <c r="BX396" s="50"/>
      <c r="BY396" s="50"/>
      <c r="BZ396" s="50"/>
      <c r="CA396" s="50"/>
      <c r="CB396" s="50"/>
      <c r="CC396" s="50"/>
      <c r="CD396" s="50"/>
      <c r="CE396" s="50"/>
      <c r="CF396" s="50"/>
      <c r="CG396" s="50"/>
      <c r="CH396" s="50"/>
      <c r="CI396" s="50"/>
      <c r="CJ396" s="50"/>
      <c r="CK396" s="50"/>
      <c r="CL396" s="50"/>
      <c r="CM396" s="50"/>
    </row>
    <row r="397" spans="1:91" ht="14.25" customHeight="1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  <c r="BT397" s="50"/>
      <c r="BU397" s="50"/>
      <c r="BV397" s="50"/>
      <c r="BW397" s="50"/>
      <c r="BX397" s="50"/>
      <c r="BY397" s="50"/>
      <c r="BZ397" s="50"/>
      <c r="CA397" s="50"/>
      <c r="CB397" s="50"/>
      <c r="CC397" s="50"/>
      <c r="CD397" s="50"/>
      <c r="CE397" s="50"/>
      <c r="CF397" s="50"/>
      <c r="CG397" s="50"/>
      <c r="CH397" s="50"/>
      <c r="CI397" s="50"/>
      <c r="CJ397" s="50"/>
      <c r="CK397" s="50"/>
      <c r="CL397" s="50"/>
      <c r="CM397" s="50"/>
    </row>
    <row r="398" spans="1:91" ht="14.25" customHeight="1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  <c r="BT398" s="50"/>
      <c r="BU398" s="50"/>
      <c r="BV398" s="50"/>
      <c r="BW398" s="50"/>
      <c r="BX398" s="50"/>
      <c r="BY398" s="50"/>
      <c r="BZ398" s="50"/>
      <c r="CA398" s="50"/>
      <c r="CB398" s="50"/>
      <c r="CC398" s="50"/>
      <c r="CD398" s="50"/>
      <c r="CE398" s="50"/>
      <c r="CF398" s="50"/>
      <c r="CG398" s="50"/>
      <c r="CH398" s="50"/>
      <c r="CI398" s="50"/>
      <c r="CJ398" s="50"/>
      <c r="CK398" s="50"/>
      <c r="CL398" s="50"/>
      <c r="CM398" s="50"/>
    </row>
    <row r="399" spans="1:91" ht="14.25" customHeight="1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  <c r="BT399" s="50"/>
      <c r="BU399" s="50"/>
      <c r="BV399" s="50"/>
      <c r="BW399" s="50"/>
      <c r="BX399" s="50"/>
      <c r="BY399" s="50"/>
      <c r="BZ399" s="50"/>
      <c r="CA399" s="50"/>
      <c r="CB399" s="50"/>
      <c r="CC399" s="50"/>
      <c r="CD399" s="50"/>
      <c r="CE399" s="50"/>
      <c r="CF399" s="50"/>
      <c r="CG399" s="50"/>
      <c r="CH399" s="50"/>
      <c r="CI399" s="50"/>
      <c r="CJ399" s="50"/>
      <c r="CK399" s="50"/>
      <c r="CL399" s="50"/>
      <c r="CM399" s="50"/>
    </row>
    <row r="400" spans="1:91" ht="14.25" customHeight="1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0"/>
      <c r="BQ400" s="50"/>
      <c r="BR400" s="50"/>
      <c r="BS400" s="50"/>
      <c r="BT400" s="50"/>
      <c r="BU400" s="50"/>
      <c r="BV400" s="50"/>
      <c r="BW400" s="50"/>
      <c r="BX400" s="50"/>
      <c r="BY400" s="50"/>
      <c r="BZ400" s="50"/>
      <c r="CA400" s="50"/>
      <c r="CB400" s="50"/>
      <c r="CC400" s="50"/>
      <c r="CD400" s="50"/>
      <c r="CE400" s="50"/>
      <c r="CF400" s="50"/>
      <c r="CG400" s="50"/>
      <c r="CH400" s="50"/>
      <c r="CI400" s="50"/>
      <c r="CJ400" s="50"/>
      <c r="CK400" s="50"/>
      <c r="CL400" s="50"/>
      <c r="CM400" s="50"/>
    </row>
    <row r="401" spans="1:91" ht="14.25" customHeight="1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0"/>
      <c r="BQ401" s="50"/>
      <c r="BR401" s="50"/>
      <c r="BS401" s="50"/>
      <c r="BT401" s="50"/>
      <c r="BU401" s="50"/>
      <c r="BV401" s="50"/>
      <c r="BW401" s="50"/>
      <c r="BX401" s="50"/>
      <c r="BY401" s="50"/>
      <c r="BZ401" s="50"/>
      <c r="CA401" s="50"/>
      <c r="CB401" s="50"/>
      <c r="CC401" s="50"/>
      <c r="CD401" s="50"/>
      <c r="CE401" s="50"/>
      <c r="CF401" s="50"/>
      <c r="CG401" s="50"/>
      <c r="CH401" s="50"/>
      <c r="CI401" s="50"/>
      <c r="CJ401" s="50"/>
      <c r="CK401" s="50"/>
      <c r="CL401" s="50"/>
      <c r="CM401" s="50"/>
    </row>
    <row r="402" spans="1:91" ht="14.25" customHeight="1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50"/>
      <c r="BJ402" s="50"/>
      <c r="BK402" s="50"/>
      <c r="BL402" s="50"/>
      <c r="BM402" s="50"/>
      <c r="BN402" s="50"/>
      <c r="BO402" s="50"/>
      <c r="BP402" s="50"/>
      <c r="BQ402" s="50"/>
      <c r="BR402" s="50"/>
      <c r="BS402" s="50"/>
      <c r="BT402" s="50"/>
      <c r="BU402" s="50"/>
      <c r="BV402" s="50"/>
      <c r="BW402" s="50"/>
      <c r="BX402" s="50"/>
      <c r="BY402" s="50"/>
      <c r="BZ402" s="50"/>
      <c r="CA402" s="50"/>
      <c r="CB402" s="50"/>
      <c r="CC402" s="50"/>
      <c r="CD402" s="50"/>
      <c r="CE402" s="50"/>
      <c r="CF402" s="50"/>
      <c r="CG402" s="50"/>
      <c r="CH402" s="50"/>
      <c r="CI402" s="50"/>
      <c r="CJ402" s="50"/>
      <c r="CK402" s="50"/>
      <c r="CL402" s="50"/>
      <c r="CM402" s="50"/>
    </row>
    <row r="403" spans="1:91" ht="14.25" customHeight="1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  <c r="AU403" s="50"/>
      <c r="AV403" s="50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50"/>
      <c r="BJ403" s="50"/>
      <c r="BK403" s="50"/>
      <c r="BL403" s="50"/>
      <c r="BM403" s="50"/>
      <c r="BN403" s="50"/>
      <c r="BO403" s="50"/>
      <c r="BP403" s="50"/>
      <c r="BQ403" s="50"/>
      <c r="BR403" s="50"/>
      <c r="BS403" s="50"/>
      <c r="BT403" s="50"/>
      <c r="BU403" s="50"/>
      <c r="BV403" s="50"/>
      <c r="BW403" s="50"/>
      <c r="BX403" s="50"/>
      <c r="BY403" s="50"/>
      <c r="BZ403" s="50"/>
      <c r="CA403" s="50"/>
      <c r="CB403" s="50"/>
      <c r="CC403" s="50"/>
      <c r="CD403" s="50"/>
      <c r="CE403" s="50"/>
      <c r="CF403" s="50"/>
      <c r="CG403" s="50"/>
      <c r="CH403" s="50"/>
      <c r="CI403" s="50"/>
      <c r="CJ403" s="50"/>
      <c r="CK403" s="50"/>
      <c r="CL403" s="50"/>
      <c r="CM403" s="50"/>
    </row>
    <row r="404" spans="1:91" ht="14.25" customHeight="1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50"/>
      <c r="BJ404" s="50"/>
      <c r="BK404" s="50"/>
      <c r="BL404" s="50"/>
      <c r="BM404" s="50"/>
      <c r="BN404" s="50"/>
      <c r="BO404" s="50"/>
      <c r="BP404" s="50"/>
      <c r="BQ404" s="50"/>
      <c r="BR404" s="50"/>
      <c r="BS404" s="50"/>
      <c r="BT404" s="50"/>
      <c r="BU404" s="50"/>
      <c r="BV404" s="50"/>
      <c r="BW404" s="50"/>
      <c r="BX404" s="50"/>
      <c r="BY404" s="50"/>
      <c r="BZ404" s="50"/>
      <c r="CA404" s="50"/>
      <c r="CB404" s="50"/>
      <c r="CC404" s="50"/>
      <c r="CD404" s="50"/>
      <c r="CE404" s="50"/>
      <c r="CF404" s="50"/>
      <c r="CG404" s="50"/>
      <c r="CH404" s="50"/>
      <c r="CI404" s="50"/>
      <c r="CJ404" s="50"/>
      <c r="CK404" s="50"/>
      <c r="CL404" s="50"/>
      <c r="CM404" s="50"/>
    </row>
    <row r="405" spans="1:91" ht="14.25" customHeight="1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50"/>
      <c r="BL405" s="50"/>
      <c r="BM405" s="50"/>
      <c r="BN405" s="50"/>
      <c r="BO405" s="50"/>
      <c r="BP405" s="50"/>
      <c r="BQ405" s="50"/>
      <c r="BR405" s="50"/>
      <c r="BS405" s="50"/>
      <c r="BT405" s="50"/>
      <c r="BU405" s="50"/>
      <c r="BV405" s="50"/>
      <c r="BW405" s="50"/>
      <c r="BX405" s="50"/>
      <c r="BY405" s="50"/>
      <c r="BZ405" s="50"/>
      <c r="CA405" s="50"/>
      <c r="CB405" s="50"/>
      <c r="CC405" s="50"/>
      <c r="CD405" s="50"/>
      <c r="CE405" s="50"/>
      <c r="CF405" s="50"/>
      <c r="CG405" s="50"/>
      <c r="CH405" s="50"/>
      <c r="CI405" s="50"/>
      <c r="CJ405" s="50"/>
      <c r="CK405" s="50"/>
      <c r="CL405" s="50"/>
      <c r="CM405" s="50"/>
    </row>
    <row r="406" spans="1:91" ht="14.25" customHeight="1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50"/>
      <c r="BL406" s="50"/>
      <c r="BM406" s="50"/>
      <c r="BN406" s="50"/>
      <c r="BO406" s="50"/>
      <c r="BP406" s="50"/>
      <c r="BQ406" s="50"/>
      <c r="BR406" s="50"/>
      <c r="BS406" s="50"/>
      <c r="BT406" s="50"/>
      <c r="BU406" s="50"/>
      <c r="BV406" s="50"/>
      <c r="BW406" s="50"/>
      <c r="BX406" s="50"/>
      <c r="BY406" s="50"/>
      <c r="BZ406" s="50"/>
      <c r="CA406" s="50"/>
      <c r="CB406" s="50"/>
      <c r="CC406" s="50"/>
      <c r="CD406" s="50"/>
      <c r="CE406" s="50"/>
      <c r="CF406" s="50"/>
      <c r="CG406" s="50"/>
      <c r="CH406" s="50"/>
      <c r="CI406" s="50"/>
      <c r="CJ406" s="50"/>
      <c r="CK406" s="50"/>
      <c r="CL406" s="50"/>
      <c r="CM406" s="50"/>
    </row>
    <row r="407" spans="1:91" ht="14.25" customHeight="1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50"/>
      <c r="BL407" s="50"/>
      <c r="BM407" s="50"/>
      <c r="BN407" s="50"/>
      <c r="BO407" s="50"/>
      <c r="BP407" s="50"/>
      <c r="BQ407" s="50"/>
      <c r="BR407" s="50"/>
      <c r="BS407" s="50"/>
      <c r="BT407" s="50"/>
      <c r="BU407" s="50"/>
      <c r="BV407" s="50"/>
      <c r="BW407" s="50"/>
      <c r="BX407" s="50"/>
      <c r="BY407" s="50"/>
      <c r="BZ407" s="50"/>
      <c r="CA407" s="50"/>
      <c r="CB407" s="50"/>
      <c r="CC407" s="50"/>
      <c r="CD407" s="50"/>
      <c r="CE407" s="50"/>
      <c r="CF407" s="50"/>
      <c r="CG407" s="50"/>
      <c r="CH407" s="50"/>
      <c r="CI407" s="50"/>
      <c r="CJ407" s="50"/>
      <c r="CK407" s="50"/>
      <c r="CL407" s="50"/>
      <c r="CM407" s="50"/>
    </row>
    <row r="408" spans="1:91" ht="14.25" customHeight="1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0"/>
      <c r="BQ408" s="50"/>
      <c r="BR408" s="50"/>
      <c r="BS408" s="50"/>
      <c r="BT408" s="50"/>
      <c r="BU408" s="50"/>
      <c r="BV408" s="50"/>
      <c r="BW408" s="50"/>
      <c r="BX408" s="50"/>
      <c r="BY408" s="50"/>
      <c r="BZ408" s="50"/>
      <c r="CA408" s="50"/>
      <c r="CB408" s="50"/>
      <c r="CC408" s="50"/>
      <c r="CD408" s="50"/>
      <c r="CE408" s="50"/>
      <c r="CF408" s="50"/>
      <c r="CG408" s="50"/>
      <c r="CH408" s="50"/>
      <c r="CI408" s="50"/>
      <c r="CJ408" s="50"/>
      <c r="CK408" s="50"/>
      <c r="CL408" s="50"/>
      <c r="CM408" s="50"/>
    </row>
    <row r="409" spans="1:91" ht="14.25" customHeight="1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50"/>
      <c r="BL409" s="50"/>
      <c r="BM409" s="50"/>
      <c r="BN409" s="50"/>
      <c r="BO409" s="50"/>
      <c r="BP409" s="50"/>
      <c r="BQ409" s="50"/>
      <c r="BR409" s="50"/>
      <c r="BS409" s="50"/>
      <c r="BT409" s="50"/>
      <c r="BU409" s="50"/>
      <c r="BV409" s="50"/>
      <c r="BW409" s="50"/>
      <c r="BX409" s="50"/>
      <c r="BY409" s="50"/>
      <c r="BZ409" s="50"/>
      <c r="CA409" s="50"/>
      <c r="CB409" s="50"/>
      <c r="CC409" s="50"/>
      <c r="CD409" s="50"/>
      <c r="CE409" s="50"/>
      <c r="CF409" s="50"/>
      <c r="CG409" s="50"/>
      <c r="CH409" s="50"/>
      <c r="CI409" s="50"/>
      <c r="CJ409" s="50"/>
      <c r="CK409" s="50"/>
      <c r="CL409" s="50"/>
      <c r="CM409" s="50"/>
    </row>
    <row r="410" spans="1:91" ht="14.25" customHeight="1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  <c r="BT410" s="50"/>
      <c r="BU410" s="50"/>
      <c r="BV410" s="50"/>
      <c r="BW410" s="50"/>
      <c r="BX410" s="50"/>
      <c r="BY410" s="50"/>
      <c r="BZ410" s="50"/>
      <c r="CA410" s="50"/>
      <c r="CB410" s="50"/>
      <c r="CC410" s="50"/>
      <c r="CD410" s="50"/>
      <c r="CE410" s="50"/>
      <c r="CF410" s="50"/>
      <c r="CG410" s="50"/>
      <c r="CH410" s="50"/>
      <c r="CI410" s="50"/>
      <c r="CJ410" s="50"/>
      <c r="CK410" s="50"/>
      <c r="CL410" s="50"/>
      <c r="CM410" s="50"/>
    </row>
    <row r="411" spans="1:91" ht="14.25" customHeight="1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  <c r="BT411" s="50"/>
      <c r="BU411" s="50"/>
      <c r="BV411" s="50"/>
      <c r="BW411" s="50"/>
      <c r="BX411" s="50"/>
      <c r="BY411" s="50"/>
      <c r="BZ411" s="50"/>
      <c r="CA411" s="50"/>
      <c r="CB411" s="50"/>
      <c r="CC411" s="50"/>
      <c r="CD411" s="50"/>
      <c r="CE411" s="50"/>
      <c r="CF411" s="50"/>
      <c r="CG411" s="50"/>
      <c r="CH411" s="50"/>
      <c r="CI411" s="50"/>
      <c r="CJ411" s="50"/>
      <c r="CK411" s="50"/>
      <c r="CL411" s="50"/>
      <c r="CM411" s="50"/>
    </row>
    <row r="412" spans="1:91" ht="14.25" customHeight="1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  <c r="BT412" s="50"/>
      <c r="BU412" s="50"/>
      <c r="BV412" s="50"/>
      <c r="BW412" s="50"/>
      <c r="BX412" s="50"/>
      <c r="BY412" s="50"/>
      <c r="BZ412" s="50"/>
      <c r="CA412" s="50"/>
      <c r="CB412" s="50"/>
      <c r="CC412" s="50"/>
      <c r="CD412" s="50"/>
      <c r="CE412" s="50"/>
      <c r="CF412" s="50"/>
      <c r="CG412" s="50"/>
      <c r="CH412" s="50"/>
      <c r="CI412" s="50"/>
      <c r="CJ412" s="50"/>
      <c r="CK412" s="50"/>
      <c r="CL412" s="50"/>
      <c r="CM412" s="50"/>
    </row>
    <row r="413" spans="1:91" ht="14.25" customHeight="1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  <c r="BT413" s="50"/>
      <c r="BU413" s="50"/>
      <c r="BV413" s="50"/>
      <c r="BW413" s="50"/>
      <c r="BX413" s="50"/>
      <c r="BY413" s="50"/>
      <c r="BZ413" s="50"/>
      <c r="CA413" s="50"/>
      <c r="CB413" s="50"/>
      <c r="CC413" s="50"/>
      <c r="CD413" s="50"/>
      <c r="CE413" s="50"/>
      <c r="CF413" s="50"/>
      <c r="CG413" s="50"/>
      <c r="CH413" s="50"/>
      <c r="CI413" s="50"/>
      <c r="CJ413" s="50"/>
      <c r="CK413" s="50"/>
      <c r="CL413" s="50"/>
      <c r="CM413" s="50"/>
    </row>
    <row r="414" spans="1:91" ht="14.25" customHeight="1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  <c r="BT414" s="50"/>
      <c r="BU414" s="50"/>
      <c r="BV414" s="50"/>
      <c r="BW414" s="50"/>
      <c r="BX414" s="50"/>
      <c r="BY414" s="50"/>
      <c r="BZ414" s="50"/>
      <c r="CA414" s="50"/>
      <c r="CB414" s="50"/>
      <c r="CC414" s="50"/>
      <c r="CD414" s="50"/>
      <c r="CE414" s="50"/>
      <c r="CF414" s="50"/>
      <c r="CG414" s="50"/>
      <c r="CH414" s="50"/>
      <c r="CI414" s="50"/>
      <c r="CJ414" s="50"/>
      <c r="CK414" s="50"/>
      <c r="CL414" s="50"/>
      <c r="CM414" s="50"/>
    </row>
    <row r="415" spans="1:91" ht="14.25" customHeight="1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  <c r="BT415" s="50"/>
      <c r="BU415" s="50"/>
      <c r="BV415" s="50"/>
      <c r="BW415" s="50"/>
      <c r="BX415" s="50"/>
      <c r="BY415" s="50"/>
      <c r="BZ415" s="50"/>
      <c r="CA415" s="50"/>
      <c r="CB415" s="50"/>
      <c r="CC415" s="50"/>
      <c r="CD415" s="50"/>
      <c r="CE415" s="50"/>
      <c r="CF415" s="50"/>
      <c r="CG415" s="50"/>
      <c r="CH415" s="50"/>
      <c r="CI415" s="50"/>
      <c r="CJ415" s="50"/>
      <c r="CK415" s="50"/>
      <c r="CL415" s="50"/>
      <c r="CM415" s="50"/>
    </row>
    <row r="416" spans="1:91" ht="14.25" customHeight="1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  <c r="BT416" s="50"/>
      <c r="BU416" s="50"/>
      <c r="BV416" s="50"/>
      <c r="BW416" s="50"/>
      <c r="BX416" s="50"/>
      <c r="BY416" s="50"/>
      <c r="BZ416" s="50"/>
      <c r="CA416" s="50"/>
      <c r="CB416" s="50"/>
      <c r="CC416" s="50"/>
      <c r="CD416" s="50"/>
      <c r="CE416" s="50"/>
      <c r="CF416" s="50"/>
      <c r="CG416" s="50"/>
      <c r="CH416" s="50"/>
      <c r="CI416" s="50"/>
      <c r="CJ416" s="50"/>
      <c r="CK416" s="50"/>
      <c r="CL416" s="50"/>
      <c r="CM416" s="50"/>
    </row>
    <row r="417" spans="1:91" ht="14.25" customHeight="1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  <c r="BT417" s="50"/>
      <c r="BU417" s="50"/>
      <c r="BV417" s="50"/>
      <c r="BW417" s="50"/>
      <c r="BX417" s="50"/>
      <c r="BY417" s="50"/>
      <c r="BZ417" s="50"/>
      <c r="CA417" s="50"/>
      <c r="CB417" s="50"/>
      <c r="CC417" s="50"/>
      <c r="CD417" s="50"/>
      <c r="CE417" s="50"/>
      <c r="CF417" s="50"/>
      <c r="CG417" s="50"/>
      <c r="CH417" s="50"/>
      <c r="CI417" s="50"/>
      <c r="CJ417" s="50"/>
      <c r="CK417" s="50"/>
      <c r="CL417" s="50"/>
      <c r="CM417" s="50"/>
    </row>
    <row r="418" spans="1:91" ht="14.25" customHeight="1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  <c r="BT418" s="50"/>
      <c r="BU418" s="50"/>
      <c r="BV418" s="50"/>
      <c r="BW418" s="50"/>
      <c r="BX418" s="50"/>
      <c r="BY418" s="50"/>
      <c r="BZ418" s="50"/>
      <c r="CA418" s="50"/>
      <c r="CB418" s="50"/>
      <c r="CC418" s="50"/>
      <c r="CD418" s="50"/>
      <c r="CE418" s="50"/>
      <c r="CF418" s="50"/>
      <c r="CG418" s="50"/>
      <c r="CH418" s="50"/>
      <c r="CI418" s="50"/>
      <c r="CJ418" s="50"/>
      <c r="CK418" s="50"/>
      <c r="CL418" s="50"/>
      <c r="CM418" s="50"/>
    </row>
    <row r="419" spans="1:91" ht="14.25" customHeight="1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  <c r="BT419" s="50"/>
      <c r="BU419" s="50"/>
      <c r="BV419" s="50"/>
      <c r="BW419" s="50"/>
      <c r="BX419" s="50"/>
      <c r="BY419" s="50"/>
      <c r="BZ419" s="50"/>
      <c r="CA419" s="50"/>
      <c r="CB419" s="50"/>
      <c r="CC419" s="50"/>
      <c r="CD419" s="50"/>
      <c r="CE419" s="50"/>
      <c r="CF419" s="50"/>
      <c r="CG419" s="50"/>
      <c r="CH419" s="50"/>
      <c r="CI419" s="50"/>
      <c r="CJ419" s="50"/>
      <c r="CK419" s="50"/>
      <c r="CL419" s="50"/>
      <c r="CM419" s="50"/>
    </row>
    <row r="420" spans="1:91" ht="14.25" customHeight="1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  <c r="BT420" s="50"/>
      <c r="BU420" s="50"/>
      <c r="BV420" s="50"/>
      <c r="BW420" s="50"/>
      <c r="BX420" s="50"/>
      <c r="BY420" s="50"/>
      <c r="BZ420" s="50"/>
      <c r="CA420" s="50"/>
      <c r="CB420" s="50"/>
      <c r="CC420" s="50"/>
      <c r="CD420" s="50"/>
      <c r="CE420" s="50"/>
      <c r="CF420" s="50"/>
      <c r="CG420" s="50"/>
      <c r="CH420" s="50"/>
      <c r="CI420" s="50"/>
      <c r="CJ420" s="50"/>
      <c r="CK420" s="50"/>
      <c r="CL420" s="50"/>
      <c r="CM420" s="50"/>
    </row>
    <row r="421" spans="1:91" ht="14.25" customHeight="1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  <c r="BT421" s="50"/>
      <c r="BU421" s="50"/>
      <c r="BV421" s="50"/>
      <c r="BW421" s="50"/>
      <c r="BX421" s="50"/>
      <c r="BY421" s="50"/>
      <c r="BZ421" s="50"/>
      <c r="CA421" s="50"/>
      <c r="CB421" s="50"/>
      <c r="CC421" s="50"/>
      <c r="CD421" s="50"/>
      <c r="CE421" s="50"/>
      <c r="CF421" s="50"/>
      <c r="CG421" s="50"/>
      <c r="CH421" s="50"/>
      <c r="CI421" s="50"/>
      <c r="CJ421" s="50"/>
      <c r="CK421" s="50"/>
      <c r="CL421" s="50"/>
      <c r="CM421" s="50"/>
    </row>
    <row r="422" spans="1:91" ht="14.25" customHeight="1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  <c r="BT422" s="50"/>
      <c r="BU422" s="50"/>
      <c r="BV422" s="50"/>
      <c r="BW422" s="50"/>
      <c r="BX422" s="50"/>
      <c r="BY422" s="50"/>
      <c r="BZ422" s="50"/>
      <c r="CA422" s="50"/>
      <c r="CB422" s="50"/>
      <c r="CC422" s="50"/>
      <c r="CD422" s="50"/>
      <c r="CE422" s="50"/>
      <c r="CF422" s="50"/>
      <c r="CG422" s="50"/>
      <c r="CH422" s="50"/>
      <c r="CI422" s="50"/>
      <c r="CJ422" s="50"/>
      <c r="CK422" s="50"/>
      <c r="CL422" s="50"/>
      <c r="CM422" s="50"/>
    </row>
    <row r="423" spans="1:91" ht="14.25" customHeight="1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  <c r="BT423" s="50"/>
      <c r="BU423" s="50"/>
      <c r="BV423" s="50"/>
      <c r="BW423" s="50"/>
      <c r="BX423" s="50"/>
      <c r="BY423" s="50"/>
      <c r="BZ423" s="50"/>
      <c r="CA423" s="50"/>
      <c r="CB423" s="50"/>
      <c r="CC423" s="50"/>
      <c r="CD423" s="50"/>
      <c r="CE423" s="50"/>
      <c r="CF423" s="50"/>
      <c r="CG423" s="50"/>
      <c r="CH423" s="50"/>
      <c r="CI423" s="50"/>
      <c r="CJ423" s="50"/>
      <c r="CK423" s="50"/>
      <c r="CL423" s="50"/>
      <c r="CM423" s="50"/>
    </row>
    <row r="424" spans="1:91" ht="14.25" customHeight="1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  <c r="BT424" s="50"/>
      <c r="BU424" s="50"/>
      <c r="BV424" s="50"/>
      <c r="BW424" s="50"/>
      <c r="BX424" s="50"/>
      <c r="BY424" s="50"/>
      <c r="BZ424" s="50"/>
      <c r="CA424" s="50"/>
      <c r="CB424" s="50"/>
      <c r="CC424" s="50"/>
      <c r="CD424" s="50"/>
      <c r="CE424" s="50"/>
      <c r="CF424" s="50"/>
      <c r="CG424" s="50"/>
      <c r="CH424" s="50"/>
      <c r="CI424" s="50"/>
      <c r="CJ424" s="50"/>
      <c r="CK424" s="50"/>
      <c r="CL424" s="50"/>
      <c r="CM424" s="50"/>
    </row>
    <row r="425" spans="1:91" ht="14.25" customHeight="1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  <c r="BT425" s="50"/>
      <c r="BU425" s="50"/>
      <c r="BV425" s="50"/>
      <c r="BW425" s="50"/>
      <c r="BX425" s="50"/>
      <c r="BY425" s="50"/>
      <c r="BZ425" s="50"/>
      <c r="CA425" s="50"/>
      <c r="CB425" s="50"/>
      <c r="CC425" s="50"/>
      <c r="CD425" s="50"/>
      <c r="CE425" s="50"/>
      <c r="CF425" s="50"/>
      <c r="CG425" s="50"/>
      <c r="CH425" s="50"/>
      <c r="CI425" s="50"/>
      <c r="CJ425" s="50"/>
      <c r="CK425" s="50"/>
      <c r="CL425" s="50"/>
      <c r="CM425" s="50"/>
    </row>
    <row r="426" spans="1:91" ht="14.25" customHeight="1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  <c r="BT426" s="50"/>
      <c r="BU426" s="50"/>
      <c r="BV426" s="50"/>
      <c r="BW426" s="50"/>
      <c r="BX426" s="50"/>
      <c r="BY426" s="50"/>
      <c r="BZ426" s="50"/>
      <c r="CA426" s="50"/>
      <c r="CB426" s="50"/>
      <c r="CC426" s="50"/>
      <c r="CD426" s="50"/>
      <c r="CE426" s="50"/>
      <c r="CF426" s="50"/>
      <c r="CG426" s="50"/>
      <c r="CH426" s="50"/>
      <c r="CI426" s="50"/>
      <c r="CJ426" s="50"/>
      <c r="CK426" s="50"/>
      <c r="CL426" s="50"/>
      <c r="CM426" s="50"/>
    </row>
    <row r="427" spans="1:91" ht="14.25" customHeight="1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  <c r="BT427" s="50"/>
      <c r="BU427" s="50"/>
      <c r="BV427" s="50"/>
      <c r="BW427" s="50"/>
      <c r="BX427" s="50"/>
      <c r="BY427" s="50"/>
      <c r="BZ427" s="50"/>
      <c r="CA427" s="50"/>
      <c r="CB427" s="50"/>
      <c r="CC427" s="50"/>
      <c r="CD427" s="50"/>
      <c r="CE427" s="50"/>
      <c r="CF427" s="50"/>
      <c r="CG427" s="50"/>
      <c r="CH427" s="50"/>
      <c r="CI427" s="50"/>
      <c r="CJ427" s="50"/>
      <c r="CK427" s="50"/>
      <c r="CL427" s="50"/>
      <c r="CM427" s="50"/>
    </row>
    <row r="428" spans="1:91" ht="14.25" customHeight="1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  <c r="BP428" s="50"/>
      <c r="BQ428" s="50"/>
      <c r="BR428" s="50"/>
      <c r="BS428" s="50"/>
      <c r="BT428" s="50"/>
      <c r="BU428" s="50"/>
      <c r="BV428" s="50"/>
      <c r="BW428" s="50"/>
      <c r="BX428" s="50"/>
      <c r="BY428" s="50"/>
      <c r="BZ428" s="50"/>
      <c r="CA428" s="50"/>
      <c r="CB428" s="50"/>
      <c r="CC428" s="50"/>
      <c r="CD428" s="50"/>
      <c r="CE428" s="50"/>
      <c r="CF428" s="50"/>
      <c r="CG428" s="50"/>
      <c r="CH428" s="50"/>
      <c r="CI428" s="50"/>
      <c r="CJ428" s="50"/>
      <c r="CK428" s="50"/>
      <c r="CL428" s="50"/>
      <c r="CM428" s="50"/>
    </row>
    <row r="429" spans="1:91" ht="14.25" customHeight="1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  <c r="BP429" s="50"/>
      <c r="BQ429" s="50"/>
      <c r="BR429" s="50"/>
      <c r="BS429" s="50"/>
      <c r="BT429" s="50"/>
      <c r="BU429" s="50"/>
      <c r="BV429" s="50"/>
      <c r="BW429" s="50"/>
      <c r="BX429" s="50"/>
      <c r="BY429" s="50"/>
      <c r="BZ429" s="50"/>
      <c r="CA429" s="50"/>
      <c r="CB429" s="50"/>
      <c r="CC429" s="50"/>
      <c r="CD429" s="50"/>
      <c r="CE429" s="50"/>
      <c r="CF429" s="50"/>
      <c r="CG429" s="50"/>
      <c r="CH429" s="50"/>
      <c r="CI429" s="50"/>
      <c r="CJ429" s="50"/>
      <c r="CK429" s="50"/>
      <c r="CL429" s="50"/>
      <c r="CM429" s="50"/>
    </row>
    <row r="430" spans="1:91" ht="14.25" customHeight="1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  <c r="BP430" s="50"/>
      <c r="BQ430" s="50"/>
      <c r="BR430" s="50"/>
      <c r="BS430" s="50"/>
      <c r="BT430" s="50"/>
      <c r="BU430" s="50"/>
      <c r="BV430" s="50"/>
      <c r="BW430" s="50"/>
      <c r="BX430" s="50"/>
      <c r="BY430" s="50"/>
      <c r="BZ430" s="50"/>
      <c r="CA430" s="50"/>
      <c r="CB430" s="50"/>
      <c r="CC430" s="50"/>
      <c r="CD430" s="50"/>
      <c r="CE430" s="50"/>
      <c r="CF430" s="50"/>
      <c r="CG430" s="50"/>
      <c r="CH430" s="50"/>
      <c r="CI430" s="50"/>
      <c r="CJ430" s="50"/>
      <c r="CK430" s="50"/>
      <c r="CL430" s="50"/>
      <c r="CM430" s="50"/>
    </row>
    <row r="431" spans="1:91" ht="14.25" customHeight="1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50"/>
      <c r="BL431" s="50"/>
      <c r="BM431" s="50"/>
      <c r="BN431" s="50"/>
      <c r="BO431" s="50"/>
      <c r="BP431" s="50"/>
      <c r="BQ431" s="50"/>
      <c r="BR431" s="50"/>
      <c r="BS431" s="50"/>
      <c r="BT431" s="50"/>
      <c r="BU431" s="50"/>
      <c r="BV431" s="50"/>
      <c r="BW431" s="50"/>
      <c r="BX431" s="50"/>
      <c r="BY431" s="50"/>
      <c r="BZ431" s="50"/>
      <c r="CA431" s="50"/>
      <c r="CB431" s="50"/>
      <c r="CC431" s="50"/>
      <c r="CD431" s="50"/>
      <c r="CE431" s="50"/>
      <c r="CF431" s="50"/>
      <c r="CG431" s="50"/>
      <c r="CH431" s="50"/>
      <c r="CI431" s="50"/>
      <c r="CJ431" s="50"/>
      <c r="CK431" s="50"/>
      <c r="CL431" s="50"/>
      <c r="CM431" s="50"/>
    </row>
    <row r="432" spans="1:91" ht="14.25" customHeight="1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50"/>
      <c r="BL432" s="50"/>
      <c r="BM432" s="50"/>
      <c r="BN432" s="50"/>
      <c r="BO432" s="50"/>
      <c r="BP432" s="50"/>
      <c r="BQ432" s="50"/>
      <c r="BR432" s="50"/>
      <c r="BS432" s="50"/>
      <c r="BT432" s="50"/>
      <c r="BU432" s="50"/>
      <c r="BV432" s="50"/>
      <c r="BW432" s="50"/>
      <c r="BX432" s="50"/>
      <c r="BY432" s="50"/>
      <c r="BZ432" s="50"/>
      <c r="CA432" s="50"/>
      <c r="CB432" s="50"/>
      <c r="CC432" s="50"/>
      <c r="CD432" s="50"/>
      <c r="CE432" s="50"/>
      <c r="CF432" s="50"/>
      <c r="CG432" s="50"/>
      <c r="CH432" s="50"/>
      <c r="CI432" s="50"/>
      <c r="CJ432" s="50"/>
      <c r="CK432" s="50"/>
      <c r="CL432" s="50"/>
      <c r="CM432" s="50"/>
    </row>
    <row r="433" spans="1:91" ht="14.25" customHeight="1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  <c r="BP433" s="50"/>
      <c r="BQ433" s="50"/>
      <c r="BR433" s="50"/>
      <c r="BS433" s="50"/>
      <c r="BT433" s="50"/>
      <c r="BU433" s="50"/>
      <c r="BV433" s="50"/>
      <c r="BW433" s="50"/>
      <c r="BX433" s="50"/>
      <c r="BY433" s="50"/>
      <c r="BZ433" s="50"/>
      <c r="CA433" s="50"/>
      <c r="CB433" s="50"/>
      <c r="CC433" s="50"/>
      <c r="CD433" s="50"/>
      <c r="CE433" s="50"/>
      <c r="CF433" s="50"/>
      <c r="CG433" s="50"/>
      <c r="CH433" s="50"/>
      <c r="CI433" s="50"/>
      <c r="CJ433" s="50"/>
      <c r="CK433" s="50"/>
      <c r="CL433" s="50"/>
      <c r="CM433" s="50"/>
    </row>
    <row r="434" spans="1:91" ht="14.25" customHeight="1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50"/>
      <c r="BL434" s="50"/>
      <c r="BM434" s="50"/>
      <c r="BN434" s="50"/>
      <c r="BO434" s="50"/>
      <c r="BP434" s="50"/>
      <c r="BQ434" s="50"/>
      <c r="BR434" s="50"/>
      <c r="BS434" s="50"/>
      <c r="BT434" s="50"/>
      <c r="BU434" s="50"/>
      <c r="BV434" s="50"/>
      <c r="BW434" s="50"/>
      <c r="BX434" s="50"/>
      <c r="BY434" s="50"/>
      <c r="BZ434" s="50"/>
      <c r="CA434" s="50"/>
      <c r="CB434" s="50"/>
      <c r="CC434" s="50"/>
      <c r="CD434" s="50"/>
      <c r="CE434" s="50"/>
      <c r="CF434" s="50"/>
      <c r="CG434" s="50"/>
      <c r="CH434" s="50"/>
      <c r="CI434" s="50"/>
      <c r="CJ434" s="50"/>
      <c r="CK434" s="50"/>
      <c r="CL434" s="50"/>
      <c r="CM434" s="50"/>
    </row>
    <row r="435" spans="1:91" ht="14.25" customHeight="1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50"/>
      <c r="BL435" s="50"/>
      <c r="BM435" s="50"/>
      <c r="BN435" s="50"/>
      <c r="BO435" s="50"/>
      <c r="BP435" s="50"/>
      <c r="BQ435" s="50"/>
      <c r="BR435" s="50"/>
      <c r="BS435" s="50"/>
      <c r="BT435" s="50"/>
      <c r="BU435" s="50"/>
      <c r="BV435" s="50"/>
      <c r="BW435" s="50"/>
      <c r="BX435" s="50"/>
      <c r="BY435" s="50"/>
      <c r="BZ435" s="50"/>
      <c r="CA435" s="50"/>
      <c r="CB435" s="50"/>
      <c r="CC435" s="50"/>
      <c r="CD435" s="50"/>
      <c r="CE435" s="50"/>
      <c r="CF435" s="50"/>
      <c r="CG435" s="50"/>
      <c r="CH435" s="50"/>
      <c r="CI435" s="50"/>
      <c r="CJ435" s="50"/>
      <c r="CK435" s="50"/>
      <c r="CL435" s="50"/>
      <c r="CM435" s="50"/>
    </row>
    <row r="436" spans="1:91" ht="14.25" customHeight="1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  <c r="BP436" s="50"/>
      <c r="BQ436" s="50"/>
      <c r="BR436" s="50"/>
      <c r="BS436" s="50"/>
      <c r="BT436" s="50"/>
      <c r="BU436" s="50"/>
      <c r="BV436" s="50"/>
      <c r="BW436" s="50"/>
      <c r="BX436" s="50"/>
      <c r="BY436" s="50"/>
      <c r="BZ436" s="50"/>
      <c r="CA436" s="50"/>
      <c r="CB436" s="50"/>
      <c r="CC436" s="50"/>
      <c r="CD436" s="50"/>
      <c r="CE436" s="50"/>
      <c r="CF436" s="50"/>
      <c r="CG436" s="50"/>
      <c r="CH436" s="50"/>
      <c r="CI436" s="50"/>
      <c r="CJ436" s="50"/>
      <c r="CK436" s="50"/>
      <c r="CL436" s="50"/>
      <c r="CM436" s="50"/>
    </row>
    <row r="437" spans="1:91" ht="14.25" customHeight="1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50"/>
      <c r="AV437" s="50"/>
      <c r="AW437" s="50"/>
      <c r="AX437" s="50"/>
      <c r="AY437" s="50"/>
      <c r="AZ437" s="50"/>
      <c r="BA437" s="50"/>
      <c r="BB437" s="50"/>
      <c r="BC437" s="50"/>
      <c r="BD437" s="50"/>
      <c r="BE437" s="50"/>
      <c r="BF437" s="50"/>
      <c r="BG437" s="50"/>
      <c r="BH437" s="50"/>
      <c r="BI437" s="50"/>
      <c r="BJ437" s="50"/>
      <c r="BK437" s="50"/>
      <c r="BL437" s="50"/>
      <c r="BM437" s="50"/>
      <c r="BN437" s="50"/>
      <c r="BO437" s="50"/>
      <c r="BP437" s="50"/>
      <c r="BQ437" s="50"/>
      <c r="BR437" s="50"/>
      <c r="BS437" s="50"/>
      <c r="BT437" s="50"/>
      <c r="BU437" s="50"/>
      <c r="BV437" s="50"/>
      <c r="BW437" s="50"/>
      <c r="BX437" s="50"/>
      <c r="BY437" s="50"/>
      <c r="BZ437" s="50"/>
      <c r="CA437" s="50"/>
      <c r="CB437" s="50"/>
      <c r="CC437" s="50"/>
      <c r="CD437" s="50"/>
      <c r="CE437" s="50"/>
      <c r="CF437" s="50"/>
      <c r="CG437" s="50"/>
      <c r="CH437" s="50"/>
      <c r="CI437" s="50"/>
      <c r="CJ437" s="50"/>
      <c r="CK437" s="50"/>
      <c r="CL437" s="50"/>
      <c r="CM437" s="50"/>
    </row>
    <row r="438" spans="1:91" ht="14.25" customHeight="1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  <c r="BT438" s="50"/>
      <c r="BU438" s="50"/>
      <c r="BV438" s="50"/>
      <c r="BW438" s="50"/>
      <c r="BX438" s="50"/>
      <c r="BY438" s="50"/>
      <c r="BZ438" s="50"/>
      <c r="CA438" s="50"/>
      <c r="CB438" s="50"/>
      <c r="CC438" s="50"/>
      <c r="CD438" s="50"/>
      <c r="CE438" s="50"/>
      <c r="CF438" s="50"/>
      <c r="CG438" s="50"/>
      <c r="CH438" s="50"/>
      <c r="CI438" s="50"/>
      <c r="CJ438" s="50"/>
      <c r="CK438" s="50"/>
      <c r="CL438" s="50"/>
      <c r="CM438" s="50"/>
    </row>
    <row r="439" spans="1:91" ht="14.25" customHeight="1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  <c r="BP439" s="50"/>
      <c r="BQ439" s="50"/>
      <c r="BR439" s="50"/>
      <c r="BS439" s="50"/>
      <c r="BT439" s="50"/>
      <c r="BU439" s="50"/>
      <c r="BV439" s="50"/>
      <c r="BW439" s="50"/>
      <c r="BX439" s="50"/>
      <c r="BY439" s="50"/>
      <c r="BZ439" s="50"/>
      <c r="CA439" s="50"/>
      <c r="CB439" s="50"/>
      <c r="CC439" s="50"/>
      <c r="CD439" s="50"/>
      <c r="CE439" s="50"/>
      <c r="CF439" s="50"/>
      <c r="CG439" s="50"/>
      <c r="CH439" s="50"/>
      <c r="CI439" s="50"/>
      <c r="CJ439" s="50"/>
      <c r="CK439" s="50"/>
      <c r="CL439" s="50"/>
      <c r="CM439" s="50"/>
    </row>
    <row r="440" spans="1:91" ht="14.25" customHeight="1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  <c r="BT440" s="50"/>
      <c r="BU440" s="50"/>
      <c r="BV440" s="50"/>
      <c r="BW440" s="50"/>
      <c r="BX440" s="50"/>
      <c r="BY440" s="50"/>
      <c r="BZ440" s="50"/>
      <c r="CA440" s="50"/>
      <c r="CB440" s="50"/>
      <c r="CC440" s="50"/>
      <c r="CD440" s="50"/>
      <c r="CE440" s="50"/>
      <c r="CF440" s="50"/>
      <c r="CG440" s="50"/>
      <c r="CH440" s="50"/>
      <c r="CI440" s="50"/>
      <c r="CJ440" s="50"/>
      <c r="CK440" s="50"/>
      <c r="CL440" s="50"/>
      <c r="CM440" s="50"/>
    </row>
    <row r="441" spans="1:91" ht="14.25" customHeight="1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  <c r="BT441" s="50"/>
      <c r="BU441" s="50"/>
      <c r="BV441" s="50"/>
      <c r="BW441" s="50"/>
      <c r="BX441" s="50"/>
      <c r="BY441" s="50"/>
      <c r="BZ441" s="50"/>
      <c r="CA441" s="50"/>
      <c r="CB441" s="50"/>
      <c r="CC441" s="50"/>
      <c r="CD441" s="50"/>
      <c r="CE441" s="50"/>
      <c r="CF441" s="50"/>
      <c r="CG441" s="50"/>
      <c r="CH441" s="50"/>
      <c r="CI441" s="50"/>
      <c r="CJ441" s="50"/>
      <c r="CK441" s="50"/>
      <c r="CL441" s="50"/>
      <c r="CM441" s="50"/>
    </row>
    <row r="442" spans="1:91" ht="14.25" customHeight="1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  <c r="BT442" s="50"/>
      <c r="BU442" s="50"/>
      <c r="BV442" s="50"/>
      <c r="BW442" s="50"/>
      <c r="BX442" s="50"/>
      <c r="BY442" s="50"/>
      <c r="BZ442" s="50"/>
      <c r="CA442" s="50"/>
      <c r="CB442" s="50"/>
      <c r="CC442" s="50"/>
      <c r="CD442" s="50"/>
      <c r="CE442" s="50"/>
      <c r="CF442" s="50"/>
      <c r="CG442" s="50"/>
      <c r="CH442" s="50"/>
      <c r="CI442" s="50"/>
      <c r="CJ442" s="50"/>
      <c r="CK442" s="50"/>
      <c r="CL442" s="50"/>
      <c r="CM442" s="50"/>
    </row>
    <row r="443" spans="1:91" ht="14.25" customHeight="1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  <c r="BT443" s="50"/>
      <c r="BU443" s="50"/>
      <c r="BV443" s="50"/>
      <c r="BW443" s="50"/>
      <c r="BX443" s="50"/>
      <c r="BY443" s="50"/>
      <c r="BZ443" s="50"/>
      <c r="CA443" s="50"/>
      <c r="CB443" s="50"/>
      <c r="CC443" s="50"/>
      <c r="CD443" s="50"/>
      <c r="CE443" s="50"/>
      <c r="CF443" s="50"/>
      <c r="CG443" s="50"/>
      <c r="CH443" s="50"/>
      <c r="CI443" s="50"/>
      <c r="CJ443" s="50"/>
      <c r="CK443" s="50"/>
      <c r="CL443" s="50"/>
      <c r="CM443" s="50"/>
    </row>
    <row r="444" spans="1:91" ht="14.25" customHeight="1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  <c r="BT444" s="50"/>
      <c r="BU444" s="50"/>
      <c r="BV444" s="50"/>
      <c r="BW444" s="50"/>
      <c r="BX444" s="50"/>
      <c r="BY444" s="50"/>
      <c r="BZ444" s="50"/>
      <c r="CA444" s="50"/>
      <c r="CB444" s="50"/>
      <c r="CC444" s="50"/>
      <c r="CD444" s="50"/>
      <c r="CE444" s="50"/>
      <c r="CF444" s="50"/>
      <c r="CG444" s="50"/>
      <c r="CH444" s="50"/>
      <c r="CI444" s="50"/>
      <c r="CJ444" s="50"/>
      <c r="CK444" s="50"/>
      <c r="CL444" s="50"/>
      <c r="CM444" s="50"/>
    </row>
    <row r="445" spans="1:91" ht="14.25" customHeight="1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  <c r="BT445" s="50"/>
      <c r="BU445" s="50"/>
      <c r="BV445" s="50"/>
      <c r="BW445" s="50"/>
      <c r="BX445" s="50"/>
      <c r="BY445" s="50"/>
      <c r="BZ445" s="50"/>
      <c r="CA445" s="50"/>
      <c r="CB445" s="50"/>
      <c r="CC445" s="50"/>
      <c r="CD445" s="50"/>
      <c r="CE445" s="50"/>
      <c r="CF445" s="50"/>
      <c r="CG445" s="50"/>
      <c r="CH445" s="50"/>
      <c r="CI445" s="50"/>
      <c r="CJ445" s="50"/>
      <c r="CK445" s="50"/>
      <c r="CL445" s="50"/>
      <c r="CM445" s="50"/>
    </row>
    <row r="446" spans="1:91" ht="14.25" customHeight="1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  <c r="BT446" s="50"/>
      <c r="BU446" s="50"/>
      <c r="BV446" s="50"/>
      <c r="BW446" s="50"/>
      <c r="BX446" s="50"/>
      <c r="BY446" s="50"/>
      <c r="BZ446" s="50"/>
      <c r="CA446" s="50"/>
      <c r="CB446" s="50"/>
      <c r="CC446" s="50"/>
      <c r="CD446" s="50"/>
      <c r="CE446" s="50"/>
      <c r="CF446" s="50"/>
      <c r="CG446" s="50"/>
      <c r="CH446" s="50"/>
      <c r="CI446" s="50"/>
      <c r="CJ446" s="50"/>
      <c r="CK446" s="50"/>
      <c r="CL446" s="50"/>
      <c r="CM446" s="50"/>
    </row>
    <row r="447" spans="1:91" ht="14.25" customHeight="1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  <c r="CB447" s="50"/>
      <c r="CC447" s="50"/>
      <c r="CD447" s="50"/>
      <c r="CE447" s="50"/>
      <c r="CF447" s="50"/>
      <c r="CG447" s="50"/>
      <c r="CH447" s="50"/>
      <c r="CI447" s="50"/>
      <c r="CJ447" s="50"/>
      <c r="CK447" s="50"/>
      <c r="CL447" s="50"/>
      <c r="CM447" s="50"/>
    </row>
    <row r="448" spans="1:91" ht="14.25" customHeight="1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  <c r="BT448" s="50"/>
      <c r="BU448" s="50"/>
      <c r="BV448" s="50"/>
      <c r="BW448" s="50"/>
      <c r="BX448" s="50"/>
      <c r="BY448" s="50"/>
      <c r="BZ448" s="50"/>
      <c r="CA448" s="50"/>
      <c r="CB448" s="50"/>
      <c r="CC448" s="50"/>
      <c r="CD448" s="50"/>
      <c r="CE448" s="50"/>
      <c r="CF448" s="50"/>
      <c r="CG448" s="50"/>
      <c r="CH448" s="50"/>
      <c r="CI448" s="50"/>
      <c r="CJ448" s="50"/>
      <c r="CK448" s="50"/>
      <c r="CL448" s="50"/>
      <c r="CM448" s="50"/>
    </row>
    <row r="449" spans="1:91" ht="14.25" customHeight="1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  <c r="BT449" s="50"/>
      <c r="BU449" s="50"/>
      <c r="BV449" s="50"/>
      <c r="BW449" s="50"/>
      <c r="BX449" s="50"/>
      <c r="BY449" s="50"/>
      <c r="BZ449" s="50"/>
      <c r="CA449" s="50"/>
      <c r="CB449" s="50"/>
      <c r="CC449" s="50"/>
      <c r="CD449" s="50"/>
      <c r="CE449" s="50"/>
      <c r="CF449" s="50"/>
      <c r="CG449" s="50"/>
      <c r="CH449" s="50"/>
      <c r="CI449" s="50"/>
      <c r="CJ449" s="50"/>
      <c r="CK449" s="50"/>
      <c r="CL449" s="50"/>
      <c r="CM449" s="50"/>
    </row>
    <row r="450" spans="1:91" ht="14.25" customHeight="1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  <c r="BT450" s="50"/>
      <c r="BU450" s="50"/>
      <c r="BV450" s="50"/>
      <c r="BW450" s="50"/>
      <c r="BX450" s="50"/>
      <c r="BY450" s="50"/>
      <c r="BZ450" s="50"/>
      <c r="CA450" s="50"/>
      <c r="CB450" s="50"/>
      <c r="CC450" s="50"/>
      <c r="CD450" s="50"/>
      <c r="CE450" s="50"/>
      <c r="CF450" s="50"/>
      <c r="CG450" s="50"/>
      <c r="CH450" s="50"/>
      <c r="CI450" s="50"/>
      <c r="CJ450" s="50"/>
      <c r="CK450" s="50"/>
      <c r="CL450" s="50"/>
      <c r="CM450" s="50"/>
    </row>
    <row r="451" spans="1:91" ht="14.25" customHeight="1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  <c r="BT451" s="50"/>
      <c r="BU451" s="50"/>
      <c r="BV451" s="50"/>
      <c r="BW451" s="50"/>
      <c r="BX451" s="50"/>
      <c r="BY451" s="50"/>
      <c r="BZ451" s="50"/>
      <c r="CA451" s="50"/>
      <c r="CB451" s="50"/>
      <c r="CC451" s="50"/>
      <c r="CD451" s="50"/>
      <c r="CE451" s="50"/>
      <c r="CF451" s="50"/>
      <c r="CG451" s="50"/>
      <c r="CH451" s="50"/>
      <c r="CI451" s="50"/>
      <c r="CJ451" s="50"/>
      <c r="CK451" s="50"/>
      <c r="CL451" s="50"/>
      <c r="CM451" s="50"/>
    </row>
    <row r="452" spans="1:91" ht="14.25" customHeight="1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  <c r="BT452" s="50"/>
      <c r="BU452" s="50"/>
      <c r="BV452" s="50"/>
      <c r="BW452" s="50"/>
      <c r="BX452" s="50"/>
      <c r="BY452" s="50"/>
      <c r="BZ452" s="50"/>
      <c r="CA452" s="50"/>
      <c r="CB452" s="50"/>
      <c r="CC452" s="50"/>
      <c r="CD452" s="50"/>
      <c r="CE452" s="50"/>
      <c r="CF452" s="50"/>
      <c r="CG452" s="50"/>
      <c r="CH452" s="50"/>
      <c r="CI452" s="50"/>
      <c r="CJ452" s="50"/>
      <c r="CK452" s="50"/>
      <c r="CL452" s="50"/>
      <c r="CM452" s="50"/>
    </row>
    <row r="453" spans="1:91" ht="14.25" customHeight="1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  <c r="BT453" s="50"/>
      <c r="BU453" s="50"/>
      <c r="BV453" s="50"/>
      <c r="BW453" s="50"/>
      <c r="BX453" s="50"/>
      <c r="BY453" s="50"/>
      <c r="BZ453" s="50"/>
      <c r="CA453" s="50"/>
      <c r="CB453" s="50"/>
      <c r="CC453" s="50"/>
      <c r="CD453" s="50"/>
      <c r="CE453" s="50"/>
      <c r="CF453" s="50"/>
      <c r="CG453" s="50"/>
      <c r="CH453" s="50"/>
      <c r="CI453" s="50"/>
      <c r="CJ453" s="50"/>
      <c r="CK453" s="50"/>
      <c r="CL453" s="50"/>
      <c r="CM453" s="50"/>
    </row>
    <row r="454" spans="1:91" ht="14.25" customHeight="1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  <c r="BT454" s="50"/>
      <c r="BU454" s="50"/>
      <c r="BV454" s="50"/>
      <c r="BW454" s="50"/>
      <c r="BX454" s="50"/>
      <c r="BY454" s="50"/>
      <c r="BZ454" s="50"/>
      <c r="CA454" s="50"/>
      <c r="CB454" s="50"/>
      <c r="CC454" s="50"/>
      <c r="CD454" s="50"/>
      <c r="CE454" s="50"/>
      <c r="CF454" s="50"/>
      <c r="CG454" s="50"/>
      <c r="CH454" s="50"/>
      <c r="CI454" s="50"/>
      <c r="CJ454" s="50"/>
      <c r="CK454" s="50"/>
      <c r="CL454" s="50"/>
      <c r="CM454" s="50"/>
    </row>
    <row r="455" spans="1:91" ht="14.25" customHeight="1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  <c r="BT455" s="50"/>
      <c r="BU455" s="50"/>
      <c r="BV455" s="50"/>
      <c r="BW455" s="50"/>
      <c r="BX455" s="50"/>
      <c r="BY455" s="50"/>
      <c r="BZ455" s="50"/>
      <c r="CA455" s="50"/>
      <c r="CB455" s="50"/>
      <c r="CC455" s="50"/>
      <c r="CD455" s="50"/>
      <c r="CE455" s="50"/>
      <c r="CF455" s="50"/>
      <c r="CG455" s="50"/>
      <c r="CH455" s="50"/>
      <c r="CI455" s="50"/>
      <c r="CJ455" s="50"/>
      <c r="CK455" s="50"/>
      <c r="CL455" s="50"/>
      <c r="CM455" s="50"/>
    </row>
    <row r="456" spans="1:91" ht="14.25" customHeight="1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  <c r="AZ456" s="50"/>
      <c r="BA456" s="50"/>
      <c r="BB456" s="50"/>
      <c r="BC456" s="50"/>
      <c r="BD456" s="50"/>
      <c r="BE456" s="50"/>
      <c r="BF456" s="50"/>
      <c r="BG456" s="50"/>
      <c r="BH456" s="50"/>
      <c r="BI456" s="50"/>
      <c r="BJ456" s="50"/>
      <c r="BK456" s="50"/>
      <c r="BL456" s="50"/>
      <c r="BM456" s="50"/>
      <c r="BN456" s="50"/>
      <c r="BO456" s="50"/>
      <c r="BP456" s="50"/>
      <c r="BQ456" s="50"/>
      <c r="BR456" s="50"/>
      <c r="BS456" s="50"/>
      <c r="BT456" s="50"/>
      <c r="BU456" s="50"/>
      <c r="BV456" s="50"/>
      <c r="BW456" s="50"/>
      <c r="BX456" s="50"/>
      <c r="BY456" s="50"/>
      <c r="BZ456" s="50"/>
      <c r="CA456" s="50"/>
      <c r="CB456" s="50"/>
      <c r="CC456" s="50"/>
      <c r="CD456" s="50"/>
      <c r="CE456" s="50"/>
      <c r="CF456" s="50"/>
      <c r="CG456" s="50"/>
      <c r="CH456" s="50"/>
      <c r="CI456" s="50"/>
      <c r="CJ456" s="50"/>
      <c r="CK456" s="50"/>
      <c r="CL456" s="50"/>
      <c r="CM456" s="50"/>
    </row>
    <row r="457" spans="1:91" ht="14.25" customHeight="1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  <c r="BP457" s="50"/>
      <c r="BQ457" s="50"/>
      <c r="BR457" s="50"/>
      <c r="BS457" s="50"/>
      <c r="BT457" s="50"/>
      <c r="BU457" s="50"/>
      <c r="BV457" s="50"/>
      <c r="BW457" s="50"/>
      <c r="BX457" s="50"/>
      <c r="BY457" s="50"/>
      <c r="BZ457" s="50"/>
      <c r="CA457" s="50"/>
      <c r="CB457" s="50"/>
      <c r="CC457" s="50"/>
      <c r="CD457" s="50"/>
      <c r="CE457" s="50"/>
      <c r="CF457" s="50"/>
      <c r="CG457" s="50"/>
      <c r="CH457" s="50"/>
      <c r="CI457" s="50"/>
      <c r="CJ457" s="50"/>
      <c r="CK457" s="50"/>
      <c r="CL457" s="50"/>
      <c r="CM457" s="50"/>
    </row>
    <row r="458" spans="1:91" ht="14.25" customHeight="1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  <c r="BC458" s="50"/>
      <c r="BD458" s="50"/>
      <c r="BE458" s="50"/>
      <c r="BF458" s="50"/>
      <c r="BG458" s="50"/>
      <c r="BH458" s="50"/>
      <c r="BI458" s="50"/>
      <c r="BJ458" s="50"/>
      <c r="BK458" s="50"/>
      <c r="BL458" s="50"/>
      <c r="BM458" s="50"/>
      <c r="BN458" s="50"/>
      <c r="BO458" s="50"/>
      <c r="BP458" s="50"/>
      <c r="BQ458" s="50"/>
      <c r="BR458" s="50"/>
      <c r="BS458" s="50"/>
      <c r="BT458" s="50"/>
      <c r="BU458" s="50"/>
      <c r="BV458" s="50"/>
      <c r="BW458" s="50"/>
      <c r="BX458" s="50"/>
      <c r="BY458" s="50"/>
      <c r="BZ458" s="50"/>
      <c r="CA458" s="50"/>
      <c r="CB458" s="50"/>
      <c r="CC458" s="50"/>
      <c r="CD458" s="50"/>
      <c r="CE458" s="50"/>
      <c r="CF458" s="50"/>
      <c r="CG458" s="50"/>
      <c r="CH458" s="50"/>
      <c r="CI458" s="50"/>
      <c r="CJ458" s="50"/>
      <c r="CK458" s="50"/>
      <c r="CL458" s="50"/>
      <c r="CM458" s="50"/>
    </row>
    <row r="459" spans="1:91" ht="14.25" customHeight="1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  <c r="AZ459" s="50"/>
      <c r="BA459" s="50"/>
      <c r="BB459" s="50"/>
      <c r="BC459" s="50"/>
      <c r="BD459" s="50"/>
      <c r="BE459" s="50"/>
      <c r="BF459" s="50"/>
      <c r="BG459" s="50"/>
      <c r="BH459" s="50"/>
      <c r="BI459" s="50"/>
      <c r="BJ459" s="50"/>
      <c r="BK459" s="50"/>
      <c r="BL459" s="50"/>
      <c r="BM459" s="50"/>
      <c r="BN459" s="50"/>
      <c r="BO459" s="50"/>
      <c r="BP459" s="50"/>
      <c r="BQ459" s="50"/>
      <c r="BR459" s="50"/>
      <c r="BS459" s="50"/>
      <c r="BT459" s="50"/>
      <c r="BU459" s="50"/>
      <c r="BV459" s="50"/>
      <c r="BW459" s="50"/>
      <c r="BX459" s="50"/>
      <c r="BY459" s="50"/>
      <c r="BZ459" s="50"/>
      <c r="CA459" s="50"/>
      <c r="CB459" s="50"/>
      <c r="CC459" s="50"/>
      <c r="CD459" s="50"/>
      <c r="CE459" s="50"/>
      <c r="CF459" s="50"/>
      <c r="CG459" s="50"/>
      <c r="CH459" s="50"/>
      <c r="CI459" s="50"/>
      <c r="CJ459" s="50"/>
      <c r="CK459" s="50"/>
      <c r="CL459" s="50"/>
      <c r="CM459" s="50"/>
    </row>
    <row r="460" spans="1:91" ht="14.25" customHeight="1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0"/>
      <c r="BB460" s="50"/>
      <c r="BC460" s="50"/>
      <c r="BD460" s="50"/>
      <c r="BE460" s="50"/>
      <c r="BF460" s="50"/>
      <c r="BG460" s="50"/>
      <c r="BH460" s="50"/>
      <c r="BI460" s="50"/>
      <c r="BJ460" s="50"/>
      <c r="BK460" s="50"/>
      <c r="BL460" s="50"/>
      <c r="BM460" s="50"/>
      <c r="BN460" s="50"/>
      <c r="BO460" s="50"/>
      <c r="BP460" s="50"/>
      <c r="BQ460" s="50"/>
      <c r="BR460" s="50"/>
      <c r="BS460" s="50"/>
      <c r="BT460" s="50"/>
      <c r="BU460" s="50"/>
      <c r="BV460" s="50"/>
      <c r="BW460" s="50"/>
      <c r="BX460" s="50"/>
      <c r="BY460" s="50"/>
      <c r="BZ460" s="50"/>
      <c r="CA460" s="50"/>
      <c r="CB460" s="50"/>
      <c r="CC460" s="50"/>
      <c r="CD460" s="50"/>
      <c r="CE460" s="50"/>
      <c r="CF460" s="50"/>
      <c r="CG460" s="50"/>
      <c r="CH460" s="50"/>
      <c r="CI460" s="50"/>
      <c r="CJ460" s="50"/>
      <c r="CK460" s="50"/>
      <c r="CL460" s="50"/>
      <c r="CM460" s="50"/>
    </row>
    <row r="461" spans="1:91" ht="14.25" customHeight="1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0"/>
      <c r="BB461" s="50"/>
      <c r="BC461" s="50"/>
      <c r="BD461" s="50"/>
      <c r="BE461" s="50"/>
      <c r="BF461" s="50"/>
      <c r="BG461" s="50"/>
      <c r="BH461" s="50"/>
      <c r="BI461" s="50"/>
      <c r="BJ461" s="50"/>
      <c r="BK461" s="50"/>
      <c r="BL461" s="50"/>
      <c r="BM461" s="50"/>
      <c r="BN461" s="50"/>
      <c r="BO461" s="50"/>
      <c r="BP461" s="50"/>
      <c r="BQ461" s="50"/>
      <c r="BR461" s="50"/>
      <c r="BS461" s="50"/>
      <c r="BT461" s="50"/>
      <c r="BU461" s="50"/>
      <c r="BV461" s="50"/>
      <c r="BW461" s="50"/>
      <c r="BX461" s="50"/>
      <c r="BY461" s="50"/>
      <c r="BZ461" s="50"/>
      <c r="CA461" s="50"/>
      <c r="CB461" s="50"/>
      <c r="CC461" s="50"/>
      <c r="CD461" s="50"/>
      <c r="CE461" s="50"/>
      <c r="CF461" s="50"/>
      <c r="CG461" s="50"/>
      <c r="CH461" s="50"/>
      <c r="CI461" s="50"/>
      <c r="CJ461" s="50"/>
      <c r="CK461" s="50"/>
      <c r="CL461" s="50"/>
      <c r="CM461" s="50"/>
    </row>
    <row r="462" spans="1:91" ht="14.25" customHeight="1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50"/>
      <c r="BB462" s="50"/>
      <c r="BC462" s="50"/>
      <c r="BD462" s="50"/>
      <c r="BE462" s="50"/>
      <c r="BF462" s="50"/>
      <c r="BG462" s="50"/>
      <c r="BH462" s="50"/>
      <c r="BI462" s="50"/>
      <c r="BJ462" s="50"/>
      <c r="BK462" s="50"/>
      <c r="BL462" s="50"/>
      <c r="BM462" s="50"/>
      <c r="BN462" s="50"/>
      <c r="BO462" s="50"/>
      <c r="BP462" s="50"/>
      <c r="BQ462" s="50"/>
      <c r="BR462" s="50"/>
      <c r="BS462" s="50"/>
      <c r="BT462" s="50"/>
      <c r="BU462" s="50"/>
      <c r="BV462" s="50"/>
      <c r="BW462" s="50"/>
      <c r="BX462" s="50"/>
      <c r="BY462" s="50"/>
      <c r="BZ462" s="50"/>
      <c r="CA462" s="50"/>
      <c r="CB462" s="50"/>
      <c r="CC462" s="50"/>
      <c r="CD462" s="50"/>
      <c r="CE462" s="50"/>
      <c r="CF462" s="50"/>
      <c r="CG462" s="50"/>
      <c r="CH462" s="50"/>
      <c r="CI462" s="50"/>
      <c r="CJ462" s="50"/>
      <c r="CK462" s="50"/>
      <c r="CL462" s="50"/>
      <c r="CM462" s="50"/>
    </row>
    <row r="463" spans="1:91" ht="14.25" customHeight="1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  <c r="BP463" s="50"/>
      <c r="BQ463" s="50"/>
      <c r="BR463" s="50"/>
      <c r="BS463" s="50"/>
      <c r="BT463" s="50"/>
      <c r="BU463" s="50"/>
      <c r="BV463" s="50"/>
      <c r="BW463" s="50"/>
      <c r="BX463" s="50"/>
      <c r="BY463" s="50"/>
      <c r="BZ463" s="50"/>
      <c r="CA463" s="50"/>
      <c r="CB463" s="50"/>
      <c r="CC463" s="50"/>
      <c r="CD463" s="50"/>
      <c r="CE463" s="50"/>
      <c r="CF463" s="50"/>
      <c r="CG463" s="50"/>
      <c r="CH463" s="50"/>
      <c r="CI463" s="50"/>
      <c r="CJ463" s="50"/>
      <c r="CK463" s="50"/>
      <c r="CL463" s="50"/>
      <c r="CM463" s="50"/>
    </row>
    <row r="464" spans="1:91" ht="14.25" customHeight="1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  <c r="AZ464" s="50"/>
      <c r="BA464" s="50"/>
      <c r="BB464" s="50"/>
      <c r="BC464" s="50"/>
      <c r="BD464" s="50"/>
      <c r="BE464" s="50"/>
      <c r="BF464" s="50"/>
      <c r="BG464" s="50"/>
      <c r="BH464" s="50"/>
      <c r="BI464" s="50"/>
      <c r="BJ464" s="50"/>
      <c r="BK464" s="50"/>
      <c r="BL464" s="50"/>
      <c r="BM464" s="50"/>
      <c r="BN464" s="50"/>
      <c r="BO464" s="50"/>
      <c r="BP464" s="50"/>
      <c r="BQ464" s="50"/>
      <c r="BR464" s="50"/>
      <c r="BS464" s="50"/>
      <c r="BT464" s="50"/>
      <c r="BU464" s="50"/>
      <c r="BV464" s="50"/>
      <c r="BW464" s="50"/>
      <c r="BX464" s="50"/>
      <c r="BY464" s="50"/>
      <c r="BZ464" s="50"/>
      <c r="CA464" s="50"/>
      <c r="CB464" s="50"/>
      <c r="CC464" s="50"/>
      <c r="CD464" s="50"/>
      <c r="CE464" s="50"/>
      <c r="CF464" s="50"/>
      <c r="CG464" s="50"/>
      <c r="CH464" s="50"/>
      <c r="CI464" s="50"/>
      <c r="CJ464" s="50"/>
      <c r="CK464" s="50"/>
      <c r="CL464" s="50"/>
      <c r="CM464" s="50"/>
    </row>
    <row r="465" spans="1:91" ht="14.25" customHeight="1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  <c r="BG465" s="50"/>
      <c r="BH465" s="50"/>
      <c r="BI465" s="50"/>
      <c r="BJ465" s="50"/>
      <c r="BK465" s="50"/>
      <c r="BL465" s="50"/>
      <c r="BM465" s="50"/>
      <c r="BN465" s="50"/>
      <c r="BO465" s="50"/>
      <c r="BP465" s="50"/>
      <c r="BQ465" s="50"/>
      <c r="BR465" s="50"/>
      <c r="BS465" s="50"/>
      <c r="BT465" s="50"/>
      <c r="BU465" s="50"/>
      <c r="BV465" s="50"/>
      <c r="BW465" s="50"/>
      <c r="BX465" s="50"/>
      <c r="BY465" s="50"/>
      <c r="BZ465" s="50"/>
      <c r="CA465" s="50"/>
      <c r="CB465" s="50"/>
      <c r="CC465" s="50"/>
      <c r="CD465" s="50"/>
      <c r="CE465" s="50"/>
      <c r="CF465" s="50"/>
      <c r="CG465" s="50"/>
      <c r="CH465" s="50"/>
      <c r="CI465" s="50"/>
      <c r="CJ465" s="50"/>
      <c r="CK465" s="50"/>
      <c r="CL465" s="50"/>
      <c r="CM465" s="50"/>
    </row>
    <row r="466" spans="1:91" ht="14.25" customHeight="1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  <c r="BT466" s="50"/>
      <c r="BU466" s="50"/>
      <c r="BV466" s="50"/>
      <c r="BW466" s="50"/>
      <c r="BX466" s="50"/>
      <c r="BY466" s="50"/>
      <c r="BZ466" s="50"/>
      <c r="CA466" s="50"/>
      <c r="CB466" s="50"/>
      <c r="CC466" s="50"/>
      <c r="CD466" s="50"/>
      <c r="CE466" s="50"/>
      <c r="CF466" s="50"/>
      <c r="CG466" s="50"/>
      <c r="CH466" s="50"/>
      <c r="CI466" s="50"/>
      <c r="CJ466" s="50"/>
      <c r="CK466" s="50"/>
      <c r="CL466" s="50"/>
      <c r="CM466" s="50"/>
    </row>
    <row r="467" spans="1:91" ht="14.25" customHeight="1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  <c r="BT467" s="50"/>
      <c r="BU467" s="50"/>
      <c r="BV467" s="50"/>
      <c r="BW467" s="50"/>
      <c r="BX467" s="50"/>
      <c r="BY467" s="50"/>
      <c r="BZ467" s="50"/>
      <c r="CA467" s="50"/>
      <c r="CB467" s="50"/>
      <c r="CC467" s="50"/>
      <c r="CD467" s="50"/>
      <c r="CE467" s="50"/>
      <c r="CF467" s="50"/>
      <c r="CG467" s="50"/>
      <c r="CH467" s="50"/>
      <c r="CI467" s="50"/>
      <c r="CJ467" s="50"/>
      <c r="CK467" s="50"/>
      <c r="CL467" s="50"/>
      <c r="CM467" s="50"/>
    </row>
    <row r="468" spans="1:91" ht="14.25" customHeight="1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  <c r="BT468" s="50"/>
      <c r="BU468" s="50"/>
      <c r="BV468" s="50"/>
      <c r="BW468" s="50"/>
      <c r="BX468" s="50"/>
      <c r="BY468" s="50"/>
      <c r="BZ468" s="50"/>
      <c r="CA468" s="50"/>
      <c r="CB468" s="50"/>
      <c r="CC468" s="50"/>
      <c r="CD468" s="50"/>
      <c r="CE468" s="50"/>
      <c r="CF468" s="50"/>
      <c r="CG468" s="50"/>
      <c r="CH468" s="50"/>
      <c r="CI468" s="50"/>
      <c r="CJ468" s="50"/>
      <c r="CK468" s="50"/>
      <c r="CL468" s="50"/>
      <c r="CM468" s="50"/>
    </row>
    <row r="469" spans="1:91" ht="14.25" customHeight="1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  <c r="BT469" s="50"/>
      <c r="BU469" s="50"/>
      <c r="BV469" s="50"/>
      <c r="BW469" s="50"/>
      <c r="BX469" s="50"/>
      <c r="BY469" s="50"/>
      <c r="BZ469" s="50"/>
      <c r="CA469" s="50"/>
      <c r="CB469" s="50"/>
      <c r="CC469" s="50"/>
      <c r="CD469" s="50"/>
      <c r="CE469" s="50"/>
      <c r="CF469" s="50"/>
      <c r="CG469" s="50"/>
      <c r="CH469" s="50"/>
      <c r="CI469" s="50"/>
      <c r="CJ469" s="50"/>
      <c r="CK469" s="50"/>
      <c r="CL469" s="50"/>
      <c r="CM469" s="50"/>
    </row>
    <row r="470" spans="1:91" ht="14.25" customHeight="1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  <c r="BT470" s="50"/>
      <c r="BU470" s="50"/>
      <c r="BV470" s="50"/>
      <c r="BW470" s="50"/>
      <c r="BX470" s="50"/>
      <c r="BY470" s="50"/>
      <c r="BZ470" s="50"/>
      <c r="CA470" s="50"/>
      <c r="CB470" s="50"/>
      <c r="CC470" s="50"/>
      <c r="CD470" s="50"/>
      <c r="CE470" s="50"/>
      <c r="CF470" s="50"/>
      <c r="CG470" s="50"/>
      <c r="CH470" s="50"/>
      <c r="CI470" s="50"/>
      <c r="CJ470" s="50"/>
      <c r="CK470" s="50"/>
      <c r="CL470" s="50"/>
      <c r="CM470" s="50"/>
    </row>
    <row r="471" spans="1:91" ht="14.25" customHeight="1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  <c r="BP471" s="50"/>
      <c r="BQ471" s="50"/>
      <c r="BR471" s="50"/>
      <c r="BS471" s="50"/>
      <c r="BT471" s="50"/>
      <c r="BU471" s="50"/>
      <c r="BV471" s="50"/>
      <c r="BW471" s="50"/>
      <c r="BX471" s="50"/>
      <c r="BY471" s="50"/>
      <c r="BZ471" s="50"/>
      <c r="CA471" s="50"/>
      <c r="CB471" s="50"/>
      <c r="CC471" s="50"/>
      <c r="CD471" s="50"/>
      <c r="CE471" s="50"/>
      <c r="CF471" s="50"/>
      <c r="CG471" s="50"/>
      <c r="CH471" s="50"/>
      <c r="CI471" s="50"/>
      <c r="CJ471" s="50"/>
      <c r="CK471" s="50"/>
      <c r="CL471" s="50"/>
      <c r="CM471" s="50"/>
    </row>
    <row r="472" spans="1:91" ht="14.25" customHeight="1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  <c r="BT472" s="50"/>
      <c r="BU472" s="50"/>
      <c r="BV472" s="50"/>
      <c r="BW472" s="50"/>
      <c r="BX472" s="50"/>
      <c r="BY472" s="50"/>
      <c r="BZ472" s="50"/>
      <c r="CA472" s="50"/>
      <c r="CB472" s="50"/>
      <c r="CC472" s="50"/>
      <c r="CD472" s="50"/>
      <c r="CE472" s="50"/>
      <c r="CF472" s="50"/>
      <c r="CG472" s="50"/>
      <c r="CH472" s="50"/>
      <c r="CI472" s="50"/>
      <c r="CJ472" s="50"/>
      <c r="CK472" s="50"/>
      <c r="CL472" s="50"/>
      <c r="CM472" s="50"/>
    </row>
    <row r="473" spans="1:91" ht="14.25" customHeight="1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  <c r="BP473" s="50"/>
      <c r="BQ473" s="50"/>
      <c r="BR473" s="50"/>
      <c r="BS473" s="50"/>
      <c r="BT473" s="50"/>
      <c r="BU473" s="50"/>
      <c r="BV473" s="50"/>
      <c r="BW473" s="50"/>
      <c r="BX473" s="50"/>
      <c r="BY473" s="50"/>
      <c r="BZ473" s="50"/>
      <c r="CA473" s="50"/>
      <c r="CB473" s="50"/>
      <c r="CC473" s="50"/>
      <c r="CD473" s="50"/>
      <c r="CE473" s="50"/>
      <c r="CF473" s="50"/>
      <c r="CG473" s="50"/>
      <c r="CH473" s="50"/>
      <c r="CI473" s="50"/>
      <c r="CJ473" s="50"/>
      <c r="CK473" s="50"/>
      <c r="CL473" s="50"/>
      <c r="CM473" s="50"/>
    </row>
    <row r="474" spans="1:91" ht="14.25" customHeight="1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  <c r="BP474" s="50"/>
      <c r="BQ474" s="50"/>
      <c r="BR474" s="50"/>
      <c r="BS474" s="50"/>
      <c r="BT474" s="50"/>
      <c r="BU474" s="50"/>
      <c r="BV474" s="50"/>
      <c r="BW474" s="50"/>
      <c r="BX474" s="50"/>
      <c r="BY474" s="50"/>
      <c r="BZ474" s="50"/>
      <c r="CA474" s="50"/>
      <c r="CB474" s="50"/>
      <c r="CC474" s="50"/>
      <c r="CD474" s="50"/>
      <c r="CE474" s="50"/>
      <c r="CF474" s="50"/>
      <c r="CG474" s="50"/>
      <c r="CH474" s="50"/>
      <c r="CI474" s="50"/>
      <c r="CJ474" s="50"/>
      <c r="CK474" s="50"/>
      <c r="CL474" s="50"/>
      <c r="CM474" s="50"/>
    </row>
    <row r="475" spans="1:91" ht="14.25" customHeight="1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  <c r="BP475" s="50"/>
      <c r="BQ475" s="50"/>
      <c r="BR475" s="50"/>
      <c r="BS475" s="50"/>
      <c r="BT475" s="50"/>
      <c r="BU475" s="50"/>
      <c r="BV475" s="50"/>
      <c r="BW475" s="50"/>
      <c r="BX475" s="50"/>
      <c r="BY475" s="50"/>
      <c r="BZ475" s="50"/>
      <c r="CA475" s="50"/>
      <c r="CB475" s="50"/>
      <c r="CC475" s="50"/>
      <c r="CD475" s="50"/>
      <c r="CE475" s="50"/>
      <c r="CF475" s="50"/>
      <c r="CG475" s="50"/>
      <c r="CH475" s="50"/>
      <c r="CI475" s="50"/>
      <c r="CJ475" s="50"/>
      <c r="CK475" s="50"/>
      <c r="CL475" s="50"/>
      <c r="CM475" s="50"/>
    </row>
    <row r="476" spans="1:91" ht="14.25" customHeight="1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  <c r="BP476" s="50"/>
      <c r="BQ476" s="50"/>
      <c r="BR476" s="50"/>
      <c r="BS476" s="50"/>
      <c r="BT476" s="50"/>
      <c r="BU476" s="50"/>
      <c r="BV476" s="50"/>
      <c r="BW476" s="50"/>
      <c r="BX476" s="50"/>
      <c r="BY476" s="50"/>
      <c r="BZ476" s="50"/>
      <c r="CA476" s="50"/>
      <c r="CB476" s="50"/>
      <c r="CC476" s="50"/>
      <c r="CD476" s="50"/>
      <c r="CE476" s="50"/>
      <c r="CF476" s="50"/>
      <c r="CG476" s="50"/>
      <c r="CH476" s="50"/>
      <c r="CI476" s="50"/>
      <c r="CJ476" s="50"/>
      <c r="CK476" s="50"/>
      <c r="CL476" s="50"/>
      <c r="CM476" s="50"/>
    </row>
    <row r="477" spans="1:91" ht="14.25" customHeight="1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BS477" s="50"/>
      <c r="BT477" s="50"/>
      <c r="BU477" s="50"/>
      <c r="BV477" s="50"/>
      <c r="BW477" s="50"/>
      <c r="BX477" s="50"/>
      <c r="BY477" s="50"/>
      <c r="BZ477" s="50"/>
      <c r="CA477" s="50"/>
      <c r="CB477" s="50"/>
      <c r="CC477" s="50"/>
      <c r="CD477" s="50"/>
      <c r="CE477" s="50"/>
      <c r="CF477" s="50"/>
      <c r="CG477" s="50"/>
      <c r="CH477" s="50"/>
      <c r="CI477" s="50"/>
      <c r="CJ477" s="50"/>
      <c r="CK477" s="50"/>
      <c r="CL477" s="50"/>
      <c r="CM477" s="50"/>
    </row>
    <row r="478" spans="1:91" ht="14.25" customHeight="1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  <c r="BP478" s="50"/>
      <c r="BQ478" s="50"/>
      <c r="BR478" s="50"/>
      <c r="BS478" s="50"/>
      <c r="BT478" s="50"/>
      <c r="BU478" s="50"/>
      <c r="BV478" s="50"/>
      <c r="BW478" s="50"/>
      <c r="BX478" s="50"/>
      <c r="BY478" s="50"/>
      <c r="BZ478" s="50"/>
      <c r="CA478" s="50"/>
      <c r="CB478" s="50"/>
      <c r="CC478" s="50"/>
      <c r="CD478" s="50"/>
      <c r="CE478" s="50"/>
      <c r="CF478" s="50"/>
      <c r="CG478" s="50"/>
      <c r="CH478" s="50"/>
      <c r="CI478" s="50"/>
      <c r="CJ478" s="50"/>
      <c r="CK478" s="50"/>
      <c r="CL478" s="50"/>
      <c r="CM478" s="50"/>
    </row>
    <row r="479" spans="1:91" ht="14.25" customHeight="1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  <c r="BP479" s="50"/>
      <c r="BQ479" s="50"/>
      <c r="BR479" s="50"/>
      <c r="BS479" s="50"/>
      <c r="BT479" s="50"/>
      <c r="BU479" s="50"/>
      <c r="BV479" s="50"/>
      <c r="BW479" s="50"/>
      <c r="BX479" s="50"/>
      <c r="BY479" s="50"/>
      <c r="BZ479" s="50"/>
      <c r="CA479" s="50"/>
      <c r="CB479" s="50"/>
      <c r="CC479" s="50"/>
      <c r="CD479" s="50"/>
      <c r="CE479" s="50"/>
      <c r="CF479" s="50"/>
      <c r="CG479" s="50"/>
      <c r="CH479" s="50"/>
      <c r="CI479" s="50"/>
      <c r="CJ479" s="50"/>
      <c r="CK479" s="50"/>
      <c r="CL479" s="50"/>
      <c r="CM479" s="50"/>
    </row>
    <row r="480" spans="1:91" ht="14.25" customHeight="1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  <c r="BT480" s="50"/>
      <c r="BU480" s="50"/>
      <c r="BV480" s="50"/>
      <c r="BW480" s="50"/>
      <c r="BX480" s="50"/>
      <c r="BY480" s="50"/>
      <c r="BZ480" s="50"/>
      <c r="CA480" s="50"/>
      <c r="CB480" s="50"/>
      <c r="CC480" s="50"/>
      <c r="CD480" s="50"/>
      <c r="CE480" s="50"/>
      <c r="CF480" s="50"/>
      <c r="CG480" s="50"/>
      <c r="CH480" s="50"/>
      <c r="CI480" s="50"/>
      <c r="CJ480" s="50"/>
      <c r="CK480" s="50"/>
      <c r="CL480" s="50"/>
      <c r="CM480" s="50"/>
    </row>
    <row r="481" spans="1:91" ht="14.25" customHeight="1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50"/>
      <c r="BL481" s="50"/>
      <c r="BM481" s="50"/>
      <c r="BN481" s="50"/>
      <c r="BO481" s="50"/>
      <c r="BP481" s="50"/>
      <c r="BQ481" s="50"/>
      <c r="BR481" s="50"/>
      <c r="BS481" s="50"/>
      <c r="BT481" s="50"/>
      <c r="BU481" s="50"/>
      <c r="BV481" s="50"/>
      <c r="BW481" s="50"/>
      <c r="BX481" s="50"/>
      <c r="BY481" s="50"/>
      <c r="BZ481" s="50"/>
      <c r="CA481" s="50"/>
      <c r="CB481" s="50"/>
      <c r="CC481" s="50"/>
      <c r="CD481" s="50"/>
      <c r="CE481" s="50"/>
      <c r="CF481" s="50"/>
      <c r="CG481" s="50"/>
      <c r="CH481" s="50"/>
      <c r="CI481" s="50"/>
      <c r="CJ481" s="50"/>
      <c r="CK481" s="50"/>
      <c r="CL481" s="50"/>
      <c r="CM481" s="50"/>
    </row>
    <row r="482" spans="1:91" ht="14.25" customHeight="1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  <c r="BP482" s="50"/>
      <c r="BQ482" s="50"/>
      <c r="BR482" s="50"/>
      <c r="BS482" s="50"/>
      <c r="BT482" s="50"/>
      <c r="BU482" s="50"/>
      <c r="BV482" s="50"/>
      <c r="BW482" s="50"/>
      <c r="BX482" s="50"/>
      <c r="BY482" s="50"/>
      <c r="BZ482" s="50"/>
      <c r="CA482" s="50"/>
      <c r="CB482" s="50"/>
      <c r="CC482" s="50"/>
      <c r="CD482" s="50"/>
      <c r="CE482" s="50"/>
      <c r="CF482" s="50"/>
      <c r="CG482" s="50"/>
      <c r="CH482" s="50"/>
      <c r="CI482" s="50"/>
      <c r="CJ482" s="50"/>
      <c r="CK482" s="50"/>
      <c r="CL482" s="50"/>
      <c r="CM482" s="50"/>
    </row>
    <row r="483" spans="1:91" ht="14.25" customHeight="1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  <c r="BT483" s="50"/>
      <c r="BU483" s="50"/>
      <c r="BV483" s="50"/>
      <c r="BW483" s="50"/>
      <c r="BX483" s="50"/>
      <c r="BY483" s="50"/>
      <c r="BZ483" s="50"/>
      <c r="CA483" s="50"/>
      <c r="CB483" s="50"/>
      <c r="CC483" s="50"/>
      <c r="CD483" s="50"/>
      <c r="CE483" s="50"/>
      <c r="CF483" s="50"/>
      <c r="CG483" s="50"/>
      <c r="CH483" s="50"/>
      <c r="CI483" s="50"/>
      <c r="CJ483" s="50"/>
      <c r="CK483" s="50"/>
      <c r="CL483" s="50"/>
      <c r="CM483" s="50"/>
    </row>
    <row r="484" spans="1:91" ht="14.25" customHeight="1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50"/>
      <c r="BL484" s="50"/>
      <c r="BM484" s="50"/>
      <c r="BN484" s="50"/>
      <c r="BO484" s="50"/>
      <c r="BP484" s="50"/>
      <c r="BQ484" s="50"/>
      <c r="BR484" s="50"/>
      <c r="BS484" s="50"/>
      <c r="BT484" s="50"/>
      <c r="BU484" s="50"/>
      <c r="BV484" s="50"/>
      <c r="BW484" s="50"/>
      <c r="BX484" s="50"/>
      <c r="BY484" s="50"/>
      <c r="BZ484" s="50"/>
      <c r="CA484" s="50"/>
      <c r="CB484" s="50"/>
      <c r="CC484" s="50"/>
      <c r="CD484" s="50"/>
      <c r="CE484" s="50"/>
      <c r="CF484" s="50"/>
      <c r="CG484" s="50"/>
      <c r="CH484" s="50"/>
      <c r="CI484" s="50"/>
      <c r="CJ484" s="50"/>
      <c r="CK484" s="50"/>
      <c r="CL484" s="50"/>
      <c r="CM484" s="50"/>
    </row>
    <row r="485" spans="1:91" ht="14.25" customHeight="1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50"/>
      <c r="BA485" s="50"/>
      <c r="BB485" s="50"/>
      <c r="BC485" s="50"/>
      <c r="BD485" s="50"/>
      <c r="BE485" s="50"/>
      <c r="BF485" s="50"/>
      <c r="BG485" s="50"/>
      <c r="BH485" s="50"/>
      <c r="BI485" s="50"/>
      <c r="BJ485" s="50"/>
      <c r="BK485" s="50"/>
      <c r="BL485" s="50"/>
      <c r="BM485" s="50"/>
      <c r="BN485" s="50"/>
      <c r="BO485" s="50"/>
      <c r="BP485" s="50"/>
      <c r="BQ485" s="50"/>
      <c r="BR485" s="50"/>
      <c r="BS485" s="50"/>
      <c r="BT485" s="50"/>
      <c r="BU485" s="50"/>
      <c r="BV485" s="50"/>
      <c r="BW485" s="50"/>
      <c r="BX485" s="50"/>
      <c r="BY485" s="50"/>
      <c r="BZ485" s="50"/>
      <c r="CA485" s="50"/>
      <c r="CB485" s="50"/>
      <c r="CC485" s="50"/>
      <c r="CD485" s="50"/>
      <c r="CE485" s="50"/>
      <c r="CF485" s="50"/>
      <c r="CG485" s="50"/>
      <c r="CH485" s="50"/>
      <c r="CI485" s="50"/>
      <c r="CJ485" s="50"/>
      <c r="CK485" s="50"/>
      <c r="CL485" s="50"/>
      <c r="CM485" s="50"/>
    </row>
    <row r="486" spans="1:91" ht="14.25" customHeight="1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  <c r="AZ486" s="50"/>
      <c r="BA486" s="50"/>
      <c r="BB486" s="50"/>
      <c r="BC486" s="50"/>
      <c r="BD486" s="50"/>
      <c r="BE486" s="50"/>
      <c r="BF486" s="50"/>
      <c r="BG486" s="50"/>
      <c r="BH486" s="50"/>
      <c r="BI486" s="50"/>
      <c r="BJ486" s="50"/>
      <c r="BK486" s="50"/>
      <c r="BL486" s="50"/>
      <c r="BM486" s="50"/>
      <c r="BN486" s="50"/>
      <c r="BO486" s="50"/>
      <c r="BP486" s="50"/>
      <c r="BQ486" s="50"/>
      <c r="BR486" s="50"/>
      <c r="BS486" s="50"/>
      <c r="BT486" s="50"/>
      <c r="BU486" s="50"/>
      <c r="BV486" s="50"/>
      <c r="BW486" s="50"/>
      <c r="BX486" s="50"/>
      <c r="BY486" s="50"/>
      <c r="BZ486" s="50"/>
      <c r="CA486" s="50"/>
      <c r="CB486" s="50"/>
      <c r="CC486" s="50"/>
      <c r="CD486" s="50"/>
      <c r="CE486" s="50"/>
      <c r="CF486" s="50"/>
      <c r="CG486" s="50"/>
      <c r="CH486" s="50"/>
      <c r="CI486" s="50"/>
      <c r="CJ486" s="50"/>
      <c r="CK486" s="50"/>
      <c r="CL486" s="50"/>
      <c r="CM486" s="50"/>
    </row>
    <row r="487" spans="1:91" ht="14.25" customHeight="1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50"/>
      <c r="BL487" s="50"/>
      <c r="BM487" s="50"/>
      <c r="BN487" s="50"/>
      <c r="BO487" s="50"/>
      <c r="BP487" s="50"/>
      <c r="BQ487" s="50"/>
      <c r="BR487" s="50"/>
      <c r="BS487" s="50"/>
      <c r="BT487" s="50"/>
      <c r="BU487" s="50"/>
      <c r="BV487" s="50"/>
      <c r="BW487" s="50"/>
      <c r="BX487" s="50"/>
      <c r="BY487" s="50"/>
      <c r="BZ487" s="50"/>
      <c r="CA487" s="50"/>
      <c r="CB487" s="50"/>
      <c r="CC487" s="50"/>
      <c r="CD487" s="50"/>
      <c r="CE487" s="50"/>
      <c r="CF487" s="50"/>
      <c r="CG487" s="50"/>
      <c r="CH487" s="50"/>
      <c r="CI487" s="50"/>
      <c r="CJ487" s="50"/>
      <c r="CK487" s="50"/>
      <c r="CL487" s="50"/>
      <c r="CM487" s="50"/>
    </row>
    <row r="488" spans="1:91" ht="14.25" customHeight="1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  <c r="AZ488" s="50"/>
      <c r="BA488" s="50"/>
      <c r="BB488" s="50"/>
      <c r="BC488" s="50"/>
      <c r="BD488" s="50"/>
      <c r="BE488" s="50"/>
      <c r="BF488" s="50"/>
      <c r="BG488" s="50"/>
      <c r="BH488" s="50"/>
      <c r="BI488" s="50"/>
      <c r="BJ488" s="50"/>
      <c r="BK488" s="50"/>
      <c r="BL488" s="50"/>
      <c r="BM488" s="50"/>
      <c r="BN488" s="50"/>
      <c r="BO488" s="50"/>
      <c r="BP488" s="50"/>
      <c r="BQ488" s="50"/>
      <c r="BR488" s="50"/>
      <c r="BS488" s="50"/>
      <c r="BT488" s="50"/>
      <c r="BU488" s="50"/>
      <c r="BV488" s="50"/>
      <c r="BW488" s="50"/>
      <c r="BX488" s="50"/>
      <c r="BY488" s="50"/>
      <c r="BZ488" s="50"/>
      <c r="CA488" s="50"/>
      <c r="CB488" s="50"/>
      <c r="CC488" s="50"/>
      <c r="CD488" s="50"/>
      <c r="CE488" s="50"/>
      <c r="CF488" s="50"/>
      <c r="CG488" s="50"/>
      <c r="CH488" s="50"/>
      <c r="CI488" s="50"/>
      <c r="CJ488" s="50"/>
      <c r="CK488" s="50"/>
      <c r="CL488" s="50"/>
      <c r="CM488" s="50"/>
    </row>
    <row r="489" spans="1:91" ht="14.25" customHeight="1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  <c r="AZ489" s="50"/>
      <c r="BA489" s="50"/>
      <c r="BB489" s="50"/>
      <c r="BC489" s="50"/>
      <c r="BD489" s="50"/>
      <c r="BE489" s="50"/>
      <c r="BF489" s="50"/>
      <c r="BG489" s="50"/>
      <c r="BH489" s="50"/>
      <c r="BI489" s="50"/>
      <c r="BJ489" s="50"/>
      <c r="BK489" s="50"/>
      <c r="BL489" s="50"/>
      <c r="BM489" s="50"/>
      <c r="BN489" s="50"/>
      <c r="BO489" s="50"/>
      <c r="BP489" s="50"/>
      <c r="BQ489" s="50"/>
      <c r="BR489" s="50"/>
      <c r="BS489" s="50"/>
      <c r="BT489" s="50"/>
      <c r="BU489" s="50"/>
      <c r="BV489" s="50"/>
      <c r="BW489" s="50"/>
      <c r="BX489" s="50"/>
      <c r="BY489" s="50"/>
      <c r="BZ489" s="50"/>
      <c r="CA489" s="50"/>
      <c r="CB489" s="50"/>
      <c r="CC489" s="50"/>
      <c r="CD489" s="50"/>
      <c r="CE489" s="50"/>
      <c r="CF489" s="50"/>
      <c r="CG489" s="50"/>
      <c r="CH489" s="50"/>
      <c r="CI489" s="50"/>
      <c r="CJ489" s="50"/>
      <c r="CK489" s="50"/>
      <c r="CL489" s="50"/>
      <c r="CM489" s="50"/>
    </row>
    <row r="490" spans="1:91" ht="14.25" customHeight="1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  <c r="AZ490" s="50"/>
      <c r="BA490" s="50"/>
      <c r="BB490" s="50"/>
      <c r="BC490" s="50"/>
      <c r="BD490" s="50"/>
      <c r="BE490" s="50"/>
      <c r="BF490" s="50"/>
      <c r="BG490" s="50"/>
      <c r="BH490" s="50"/>
      <c r="BI490" s="50"/>
      <c r="BJ490" s="50"/>
      <c r="BK490" s="50"/>
      <c r="BL490" s="50"/>
      <c r="BM490" s="50"/>
      <c r="BN490" s="50"/>
      <c r="BO490" s="50"/>
      <c r="BP490" s="50"/>
      <c r="BQ490" s="50"/>
      <c r="BR490" s="50"/>
      <c r="BS490" s="50"/>
      <c r="BT490" s="50"/>
      <c r="BU490" s="50"/>
      <c r="BV490" s="50"/>
      <c r="BW490" s="50"/>
      <c r="BX490" s="50"/>
      <c r="BY490" s="50"/>
      <c r="BZ490" s="50"/>
      <c r="CA490" s="50"/>
      <c r="CB490" s="50"/>
      <c r="CC490" s="50"/>
      <c r="CD490" s="50"/>
      <c r="CE490" s="50"/>
      <c r="CF490" s="50"/>
      <c r="CG490" s="50"/>
      <c r="CH490" s="50"/>
      <c r="CI490" s="50"/>
      <c r="CJ490" s="50"/>
      <c r="CK490" s="50"/>
      <c r="CL490" s="50"/>
      <c r="CM490" s="50"/>
    </row>
    <row r="491" spans="1:91" ht="14.25" customHeight="1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  <c r="AZ491" s="50"/>
      <c r="BA491" s="50"/>
      <c r="BB491" s="50"/>
      <c r="BC491" s="50"/>
      <c r="BD491" s="50"/>
      <c r="BE491" s="50"/>
      <c r="BF491" s="50"/>
      <c r="BG491" s="50"/>
      <c r="BH491" s="50"/>
      <c r="BI491" s="50"/>
      <c r="BJ491" s="50"/>
      <c r="BK491" s="50"/>
      <c r="BL491" s="50"/>
      <c r="BM491" s="50"/>
      <c r="BN491" s="50"/>
      <c r="BO491" s="50"/>
      <c r="BP491" s="50"/>
      <c r="BQ491" s="50"/>
      <c r="BR491" s="50"/>
      <c r="BS491" s="50"/>
      <c r="BT491" s="50"/>
      <c r="BU491" s="50"/>
      <c r="BV491" s="50"/>
      <c r="BW491" s="50"/>
      <c r="BX491" s="50"/>
      <c r="BY491" s="50"/>
      <c r="BZ491" s="50"/>
      <c r="CA491" s="50"/>
      <c r="CB491" s="50"/>
      <c r="CC491" s="50"/>
      <c r="CD491" s="50"/>
      <c r="CE491" s="50"/>
      <c r="CF491" s="50"/>
      <c r="CG491" s="50"/>
      <c r="CH491" s="50"/>
      <c r="CI491" s="50"/>
      <c r="CJ491" s="50"/>
      <c r="CK491" s="50"/>
      <c r="CL491" s="50"/>
      <c r="CM491" s="50"/>
    </row>
    <row r="492" spans="1:91" ht="14.25" customHeight="1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50"/>
      <c r="BC492" s="50"/>
      <c r="BD492" s="50"/>
      <c r="BE492" s="50"/>
      <c r="BF492" s="50"/>
      <c r="BG492" s="50"/>
      <c r="BH492" s="50"/>
      <c r="BI492" s="50"/>
      <c r="BJ492" s="50"/>
      <c r="BK492" s="50"/>
      <c r="BL492" s="50"/>
      <c r="BM492" s="50"/>
      <c r="BN492" s="50"/>
      <c r="BO492" s="50"/>
      <c r="BP492" s="50"/>
      <c r="BQ492" s="50"/>
      <c r="BR492" s="50"/>
      <c r="BS492" s="50"/>
      <c r="BT492" s="50"/>
      <c r="BU492" s="50"/>
      <c r="BV492" s="50"/>
      <c r="BW492" s="50"/>
      <c r="BX492" s="50"/>
      <c r="BY492" s="50"/>
      <c r="BZ492" s="50"/>
      <c r="CA492" s="50"/>
      <c r="CB492" s="50"/>
      <c r="CC492" s="50"/>
      <c r="CD492" s="50"/>
      <c r="CE492" s="50"/>
      <c r="CF492" s="50"/>
      <c r="CG492" s="50"/>
      <c r="CH492" s="50"/>
      <c r="CI492" s="50"/>
      <c r="CJ492" s="50"/>
      <c r="CK492" s="50"/>
      <c r="CL492" s="50"/>
      <c r="CM492" s="50"/>
    </row>
    <row r="493" spans="1:91" ht="14.25" customHeight="1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  <c r="AZ493" s="50"/>
      <c r="BA493" s="50"/>
      <c r="BB493" s="50"/>
      <c r="BC493" s="50"/>
      <c r="BD493" s="50"/>
      <c r="BE493" s="50"/>
      <c r="BF493" s="50"/>
      <c r="BG493" s="50"/>
      <c r="BH493" s="50"/>
      <c r="BI493" s="50"/>
      <c r="BJ493" s="50"/>
      <c r="BK493" s="50"/>
      <c r="BL493" s="50"/>
      <c r="BM493" s="50"/>
      <c r="BN493" s="50"/>
      <c r="BO493" s="50"/>
      <c r="BP493" s="50"/>
      <c r="BQ493" s="50"/>
      <c r="BR493" s="50"/>
      <c r="BS493" s="50"/>
      <c r="BT493" s="50"/>
      <c r="BU493" s="50"/>
      <c r="BV493" s="50"/>
      <c r="BW493" s="50"/>
      <c r="BX493" s="50"/>
      <c r="BY493" s="50"/>
      <c r="BZ493" s="50"/>
      <c r="CA493" s="50"/>
      <c r="CB493" s="50"/>
      <c r="CC493" s="50"/>
      <c r="CD493" s="50"/>
      <c r="CE493" s="50"/>
      <c r="CF493" s="50"/>
      <c r="CG493" s="50"/>
      <c r="CH493" s="50"/>
      <c r="CI493" s="50"/>
      <c r="CJ493" s="50"/>
      <c r="CK493" s="50"/>
      <c r="CL493" s="50"/>
      <c r="CM493" s="50"/>
    </row>
    <row r="494" spans="1:91" ht="14.25" customHeight="1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50"/>
      <c r="BL494" s="50"/>
      <c r="BM494" s="50"/>
      <c r="BN494" s="50"/>
      <c r="BO494" s="50"/>
      <c r="BP494" s="50"/>
      <c r="BQ494" s="50"/>
      <c r="BR494" s="50"/>
      <c r="BS494" s="50"/>
      <c r="BT494" s="50"/>
      <c r="BU494" s="50"/>
      <c r="BV494" s="50"/>
      <c r="BW494" s="50"/>
      <c r="BX494" s="50"/>
      <c r="BY494" s="50"/>
      <c r="BZ494" s="50"/>
      <c r="CA494" s="50"/>
      <c r="CB494" s="50"/>
      <c r="CC494" s="50"/>
      <c r="CD494" s="50"/>
      <c r="CE494" s="50"/>
      <c r="CF494" s="50"/>
      <c r="CG494" s="50"/>
      <c r="CH494" s="50"/>
      <c r="CI494" s="50"/>
      <c r="CJ494" s="50"/>
      <c r="CK494" s="50"/>
      <c r="CL494" s="50"/>
      <c r="CM494" s="50"/>
    </row>
    <row r="495" spans="1:91" ht="14.25" customHeight="1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  <c r="BP495" s="50"/>
      <c r="BQ495" s="50"/>
      <c r="BR495" s="50"/>
      <c r="BS495" s="50"/>
      <c r="BT495" s="50"/>
      <c r="BU495" s="50"/>
      <c r="BV495" s="50"/>
      <c r="BW495" s="50"/>
      <c r="BX495" s="50"/>
      <c r="BY495" s="50"/>
      <c r="BZ495" s="50"/>
      <c r="CA495" s="50"/>
      <c r="CB495" s="50"/>
      <c r="CC495" s="50"/>
      <c r="CD495" s="50"/>
      <c r="CE495" s="50"/>
      <c r="CF495" s="50"/>
      <c r="CG495" s="50"/>
      <c r="CH495" s="50"/>
      <c r="CI495" s="50"/>
      <c r="CJ495" s="50"/>
      <c r="CK495" s="50"/>
      <c r="CL495" s="50"/>
      <c r="CM495" s="50"/>
    </row>
    <row r="496" spans="1:91" ht="14.25" customHeight="1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  <c r="BP496" s="50"/>
      <c r="BQ496" s="50"/>
      <c r="BR496" s="50"/>
      <c r="BS496" s="50"/>
      <c r="BT496" s="50"/>
      <c r="BU496" s="50"/>
      <c r="BV496" s="50"/>
      <c r="BW496" s="50"/>
      <c r="BX496" s="50"/>
      <c r="BY496" s="50"/>
      <c r="BZ496" s="50"/>
      <c r="CA496" s="50"/>
      <c r="CB496" s="50"/>
      <c r="CC496" s="50"/>
      <c r="CD496" s="50"/>
      <c r="CE496" s="50"/>
      <c r="CF496" s="50"/>
      <c r="CG496" s="50"/>
      <c r="CH496" s="50"/>
      <c r="CI496" s="50"/>
      <c r="CJ496" s="50"/>
      <c r="CK496" s="50"/>
      <c r="CL496" s="50"/>
      <c r="CM496" s="50"/>
    </row>
    <row r="497" spans="1:91" ht="14.25" customHeight="1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50"/>
      <c r="BL497" s="50"/>
      <c r="BM497" s="50"/>
      <c r="BN497" s="50"/>
      <c r="BO497" s="50"/>
      <c r="BP497" s="50"/>
      <c r="BQ497" s="50"/>
      <c r="BR497" s="50"/>
      <c r="BS497" s="50"/>
      <c r="BT497" s="50"/>
      <c r="BU497" s="50"/>
      <c r="BV497" s="50"/>
      <c r="BW497" s="50"/>
      <c r="BX497" s="50"/>
      <c r="BY497" s="50"/>
      <c r="BZ497" s="50"/>
      <c r="CA497" s="50"/>
      <c r="CB497" s="50"/>
      <c r="CC497" s="50"/>
      <c r="CD497" s="50"/>
      <c r="CE497" s="50"/>
      <c r="CF497" s="50"/>
      <c r="CG497" s="50"/>
      <c r="CH497" s="50"/>
      <c r="CI497" s="50"/>
      <c r="CJ497" s="50"/>
      <c r="CK497" s="50"/>
      <c r="CL497" s="50"/>
      <c r="CM497" s="50"/>
    </row>
    <row r="498" spans="1:91" ht="14.25" customHeight="1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50"/>
      <c r="BL498" s="50"/>
      <c r="BM498" s="50"/>
      <c r="BN498" s="50"/>
      <c r="BO498" s="50"/>
      <c r="BP498" s="50"/>
      <c r="BQ498" s="50"/>
      <c r="BR498" s="50"/>
      <c r="BS498" s="50"/>
      <c r="BT498" s="50"/>
      <c r="BU498" s="50"/>
      <c r="BV498" s="50"/>
      <c r="BW498" s="50"/>
      <c r="BX498" s="50"/>
      <c r="BY498" s="50"/>
      <c r="BZ498" s="50"/>
      <c r="CA498" s="50"/>
      <c r="CB498" s="50"/>
      <c r="CC498" s="50"/>
      <c r="CD498" s="50"/>
      <c r="CE498" s="50"/>
      <c r="CF498" s="50"/>
      <c r="CG498" s="50"/>
      <c r="CH498" s="50"/>
      <c r="CI498" s="50"/>
      <c r="CJ498" s="50"/>
      <c r="CK498" s="50"/>
      <c r="CL498" s="50"/>
      <c r="CM498" s="50"/>
    </row>
    <row r="499" spans="1:91" ht="14.25" customHeight="1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50"/>
      <c r="BL499" s="50"/>
      <c r="BM499" s="50"/>
      <c r="BN499" s="50"/>
      <c r="BO499" s="50"/>
      <c r="BP499" s="50"/>
      <c r="BQ499" s="50"/>
      <c r="BR499" s="50"/>
      <c r="BS499" s="50"/>
      <c r="BT499" s="50"/>
      <c r="BU499" s="50"/>
      <c r="BV499" s="50"/>
      <c r="BW499" s="50"/>
      <c r="BX499" s="50"/>
      <c r="BY499" s="50"/>
      <c r="BZ499" s="50"/>
      <c r="CA499" s="50"/>
      <c r="CB499" s="50"/>
      <c r="CC499" s="50"/>
      <c r="CD499" s="50"/>
      <c r="CE499" s="50"/>
      <c r="CF499" s="50"/>
      <c r="CG499" s="50"/>
      <c r="CH499" s="50"/>
      <c r="CI499" s="50"/>
      <c r="CJ499" s="50"/>
      <c r="CK499" s="50"/>
      <c r="CL499" s="50"/>
      <c r="CM499" s="50"/>
    </row>
    <row r="500" spans="1:91" ht="14.25" customHeight="1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50"/>
      <c r="BL500" s="50"/>
      <c r="BM500" s="50"/>
      <c r="BN500" s="50"/>
      <c r="BO500" s="50"/>
      <c r="BP500" s="50"/>
      <c r="BQ500" s="50"/>
      <c r="BR500" s="50"/>
      <c r="BS500" s="50"/>
      <c r="BT500" s="50"/>
      <c r="BU500" s="50"/>
      <c r="BV500" s="50"/>
      <c r="BW500" s="50"/>
      <c r="BX500" s="50"/>
      <c r="BY500" s="50"/>
      <c r="BZ500" s="50"/>
      <c r="CA500" s="50"/>
      <c r="CB500" s="50"/>
      <c r="CC500" s="50"/>
      <c r="CD500" s="50"/>
      <c r="CE500" s="50"/>
      <c r="CF500" s="50"/>
      <c r="CG500" s="50"/>
      <c r="CH500" s="50"/>
      <c r="CI500" s="50"/>
      <c r="CJ500" s="50"/>
      <c r="CK500" s="50"/>
      <c r="CL500" s="50"/>
      <c r="CM500" s="50"/>
    </row>
    <row r="501" spans="1:91" ht="14.25" customHeight="1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50"/>
      <c r="BL501" s="50"/>
      <c r="BM501" s="50"/>
      <c r="BN501" s="50"/>
      <c r="BO501" s="50"/>
      <c r="BP501" s="50"/>
      <c r="BQ501" s="50"/>
      <c r="BR501" s="50"/>
      <c r="BS501" s="50"/>
      <c r="BT501" s="50"/>
      <c r="BU501" s="50"/>
      <c r="BV501" s="50"/>
      <c r="BW501" s="50"/>
      <c r="BX501" s="50"/>
      <c r="BY501" s="50"/>
      <c r="BZ501" s="50"/>
      <c r="CA501" s="50"/>
      <c r="CB501" s="50"/>
      <c r="CC501" s="50"/>
      <c r="CD501" s="50"/>
      <c r="CE501" s="50"/>
      <c r="CF501" s="50"/>
      <c r="CG501" s="50"/>
      <c r="CH501" s="50"/>
      <c r="CI501" s="50"/>
      <c r="CJ501" s="50"/>
      <c r="CK501" s="50"/>
      <c r="CL501" s="50"/>
      <c r="CM501" s="50"/>
    </row>
    <row r="502" spans="1:91" ht="14.25" customHeight="1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  <c r="BT502" s="50"/>
      <c r="BU502" s="50"/>
      <c r="BV502" s="50"/>
      <c r="BW502" s="50"/>
      <c r="BX502" s="50"/>
      <c r="BY502" s="50"/>
      <c r="BZ502" s="50"/>
      <c r="CA502" s="50"/>
      <c r="CB502" s="50"/>
      <c r="CC502" s="50"/>
      <c r="CD502" s="50"/>
      <c r="CE502" s="50"/>
      <c r="CF502" s="50"/>
      <c r="CG502" s="50"/>
      <c r="CH502" s="50"/>
      <c r="CI502" s="50"/>
      <c r="CJ502" s="50"/>
      <c r="CK502" s="50"/>
      <c r="CL502" s="50"/>
      <c r="CM502" s="50"/>
    </row>
    <row r="503" spans="1:91" ht="14.25" customHeight="1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50"/>
      <c r="BL503" s="50"/>
      <c r="BM503" s="50"/>
      <c r="BN503" s="50"/>
      <c r="BO503" s="50"/>
      <c r="BP503" s="50"/>
      <c r="BQ503" s="50"/>
      <c r="BR503" s="50"/>
      <c r="BS503" s="50"/>
      <c r="BT503" s="50"/>
      <c r="BU503" s="50"/>
      <c r="BV503" s="50"/>
      <c r="BW503" s="50"/>
      <c r="BX503" s="50"/>
      <c r="BY503" s="50"/>
      <c r="BZ503" s="50"/>
      <c r="CA503" s="50"/>
      <c r="CB503" s="50"/>
      <c r="CC503" s="50"/>
      <c r="CD503" s="50"/>
      <c r="CE503" s="50"/>
      <c r="CF503" s="50"/>
      <c r="CG503" s="50"/>
      <c r="CH503" s="50"/>
      <c r="CI503" s="50"/>
      <c r="CJ503" s="50"/>
      <c r="CK503" s="50"/>
      <c r="CL503" s="50"/>
      <c r="CM503" s="50"/>
    </row>
    <row r="504" spans="1:91" ht="14.25" customHeight="1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50"/>
      <c r="BL504" s="50"/>
      <c r="BM504" s="50"/>
      <c r="BN504" s="50"/>
      <c r="BO504" s="50"/>
      <c r="BP504" s="50"/>
      <c r="BQ504" s="50"/>
      <c r="BR504" s="50"/>
      <c r="BS504" s="50"/>
      <c r="BT504" s="50"/>
      <c r="BU504" s="50"/>
      <c r="BV504" s="50"/>
      <c r="BW504" s="50"/>
      <c r="BX504" s="50"/>
      <c r="BY504" s="50"/>
      <c r="BZ504" s="50"/>
      <c r="CA504" s="50"/>
      <c r="CB504" s="50"/>
      <c r="CC504" s="50"/>
      <c r="CD504" s="50"/>
      <c r="CE504" s="50"/>
      <c r="CF504" s="50"/>
      <c r="CG504" s="50"/>
      <c r="CH504" s="50"/>
      <c r="CI504" s="50"/>
      <c r="CJ504" s="50"/>
      <c r="CK504" s="50"/>
      <c r="CL504" s="50"/>
      <c r="CM504" s="50"/>
    </row>
    <row r="505" spans="1:91" ht="14.25" customHeight="1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50"/>
      <c r="BL505" s="50"/>
      <c r="BM505" s="50"/>
      <c r="BN505" s="50"/>
      <c r="BO505" s="50"/>
      <c r="BP505" s="50"/>
      <c r="BQ505" s="50"/>
      <c r="BR505" s="50"/>
      <c r="BS505" s="50"/>
      <c r="BT505" s="50"/>
      <c r="BU505" s="50"/>
      <c r="BV505" s="50"/>
      <c r="BW505" s="50"/>
      <c r="BX505" s="50"/>
      <c r="BY505" s="50"/>
      <c r="BZ505" s="50"/>
      <c r="CA505" s="50"/>
      <c r="CB505" s="50"/>
      <c r="CC505" s="50"/>
      <c r="CD505" s="50"/>
      <c r="CE505" s="50"/>
      <c r="CF505" s="50"/>
      <c r="CG505" s="50"/>
      <c r="CH505" s="50"/>
      <c r="CI505" s="50"/>
      <c r="CJ505" s="50"/>
      <c r="CK505" s="50"/>
      <c r="CL505" s="50"/>
      <c r="CM505" s="50"/>
    </row>
    <row r="506" spans="1:91" ht="14.25" customHeight="1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50"/>
      <c r="BL506" s="50"/>
      <c r="BM506" s="50"/>
      <c r="BN506" s="50"/>
      <c r="BO506" s="50"/>
      <c r="BP506" s="50"/>
      <c r="BQ506" s="50"/>
      <c r="BR506" s="50"/>
      <c r="BS506" s="50"/>
      <c r="BT506" s="50"/>
      <c r="BU506" s="50"/>
      <c r="BV506" s="50"/>
      <c r="BW506" s="50"/>
      <c r="BX506" s="50"/>
      <c r="BY506" s="50"/>
      <c r="BZ506" s="50"/>
      <c r="CA506" s="50"/>
      <c r="CB506" s="50"/>
      <c r="CC506" s="50"/>
      <c r="CD506" s="50"/>
      <c r="CE506" s="50"/>
      <c r="CF506" s="50"/>
      <c r="CG506" s="50"/>
      <c r="CH506" s="50"/>
      <c r="CI506" s="50"/>
      <c r="CJ506" s="50"/>
      <c r="CK506" s="50"/>
      <c r="CL506" s="50"/>
      <c r="CM506" s="50"/>
    </row>
    <row r="507" spans="1:91" ht="14.25" customHeight="1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50"/>
      <c r="BL507" s="50"/>
      <c r="BM507" s="50"/>
      <c r="BN507" s="50"/>
      <c r="BO507" s="50"/>
      <c r="BP507" s="50"/>
      <c r="BQ507" s="50"/>
      <c r="BR507" s="50"/>
      <c r="BS507" s="50"/>
      <c r="BT507" s="50"/>
      <c r="BU507" s="50"/>
      <c r="BV507" s="50"/>
      <c r="BW507" s="50"/>
      <c r="BX507" s="50"/>
      <c r="BY507" s="50"/>
      <c r="BZ507" s="50"/>
      <c r="CA507" s="50"/>
      <c r="CB507" s="50"/>
      <c r="CC507" s="50"/>
      <c r="CD507" s="50"/>
      <c r="CE507" s="50"/>
      <c r="CF507" s="50"/>
      <c r="CG507" s="50"/>
      <c r="CH507" s="50"/>
      <c r="CI507" s="50"/>
      <c r="CJ507" s="50"/>
      <c r="CK507" s="50"/>
      <c r="CL507" s="50"/>
      <c r="CM507" s="50"/>
    </row>
    <row r="508" spans="1:91" ht="14.25" customHeight="1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50"/>
      <c r="BL508" s="50"/>
      <c r="BM508" s="50"/>
      <c r="BN508" s="50"/>
      <c r="BO508" s="50"/>
      <c r="BP508" s="50"/>
      <c r="BQ508" s="50"/>
      <c r="BR508" s="50"/>
      <c r="BS508" s="50"/>
      <c r="BT508" s="50"/>
      <c r="BU508" s="50"/>
      <c r="BV508" s="50"/>
      <c r="BW508" s="50"/>
      <c r="BX508" s="50"/>
      <c r="BY508" s="50"/>
      <c r="BZ508" s="50"/>
      <c r="CA508" s="50"/>
      <c r="CB508" s="50"/>
      <c r="CC508" s="50"/>
      <c r="CD508" s="50"/>
      <c r="CE508" s="50"/>
      <c r="CF508" s="50"/>
      <c r="CG508" s="50"/>
      <c r="CH508" s="50"/>
      <c r="CI508" s="50"/>
      <c r="CJ508" s="50"/>
      <c r="CK508" s="50"/>
      <c r="CL508" s="50"/>
      <c r="CM508" s="50"/>
    </row>
    <row r="509" spans="1:91" ht="14.25" customHeight="1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  <c r="BO509" s="50"/>
      <c r="BP509" s="50"/>
      <c r="BQ509" s="50"/>
      <c r="BR509" s="50"/>
      <c r="BS509" s="50"/>
      <c r="BT509" s="50"/>
      <c r="BU509" s="50"/>
      <c r="BV509" s="50"/>
      <c r="BW509" s="50"/>
      <c r="BX509" s="50"/>
      <c r="BY509" s="50"/>
      <c r="BZ509" s="50"/>
      <c r="CA509" s="50"/>
      <c r="CB509" s="50"/>
      <c r="CC509" s="50"/>
      <c r="CD509" s="50"/>
      <c r="CE509" s="50"/>
      <c r="CF509" s="50"/>
      <c r="CG509" s="50"/>
      <c r="CH509" s="50"/>
      <c r="CI509" s="50"/>
      <c r="CJ509" s="50"/>
      <c r="CK509" s="50"/>
      <c r="CL509" s="50"/>
      <c r="CM509" s="50"/>
    </row>
    <row r="510" spans="1:91" ht="14.25" customHeight="1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  <c r="BO510" s="50"/>
      <c r="BP510" s="50"/>
      <c r="BQ510" s="50"/>
      <c r="BR510" s="50"/>
      <c r="BS510" s="50"/>
      <c r="BT510" s="50"/>
      <c r="BU510" s="50"/>
      <c r="BV510" s="50"/>
      <c r="BW510" s="50"/>
      <c r="BX510" s="50"/>
      <c r="BY510" s="50"/>
      <c r="BZ510" s="50"/>
      <c r="CA510" s="50"/>
      <c r="CB510" s="50"/>
      <c r="CC510" s="50"/>
      <c r="CD510" s="50"/>
      <c r="CE510" s="50"/>
      <c r="CF510" s="50"/>
      <c r="CG510" s="50"/>
      <c r="CH510" s="50"/>
      <c r="CI510" s="50"/>
      <c r="CJ510" s="50"/>
      <c r="CK510" s="50"/>
      <c r="CL510" s="50"/>
      <c r="CM510" s="50"/>
    </row>
    <row r="511" spans="1:91" ht="14.25" customHeight="1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  <c r="BO511" s="50"/>
      <c r="BP511" s="50"/>
      <c r="BQ511" s="50"/>
      <c r="BR511" s="50"/>
      <c r="BS511" s="50"/>
      <c r="BT511" s="50"/>
      <c r="BU511" s="50"/>
      <c r="BV511" s="50"/>
      <c r="BW511" s="50"/>
      <c r="BX511" s="50"/>
      <c r="BY511" s="50"/>
      <c r="BZ511" s="50"/>
      <c r="CA511" s="50"/>
      <c r="CB511" s="50"/>
      <c r="CC511" s="50"/>
      <c r="CD511" s="50"/>
      <c r="CE511" s="50"/>
      <c r="CF511" s="50"/>
      <c r="CG511" s="50"/>
      <c r="CH511" s="50"/>
      <c r="CI511" s="50"/>
      <c r="CJ511" s="50"/>
      <c r="CK511" s="50"/>
      <c r="CL511" s="50"/>
      <c r="CM511" s="50"/>
    </row>
    <row r="512" spans="1:91" ht="14.25" customHeight="1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  <c r="BO512" s="50"/>
      <c r="BP512" s="50"/>
      <c r="BQ512" s="50"/>
      <c r="BR512" s="50"/>
      <c r="BS512" s="50"/>
      <c r="BT512" s="50"/>
      <c r="BU512" s="50"/>
      <c r="BV512" s="50"/>
      <c r="BW512" s="50"/>
      <c r="BX512" s="50"/>
      <c r="BY512" s="50"/>
      <c r="BZ512" s="50"/>
      <c r="CA512" s="50"/>
      <c r="CB512" s="50"/>
      <c r="CC512" s="50"/>
      <c r="CD512" s="50"/>
      <c r="CE512" s="50"/>
      <c r="CF512" s="50"/>
      <c r="CG512" s="50"/>
      <c r="CH512" s="50"/>
      <c r="CI512" s="50"/>
      <c r="CJ512" s="50"/>
      <c r="CK512" s="50"/>
      <c r="CL512" s="50"/>
      <c r="CM512" s="50"/>
    </row>
    <row r="513" spans="1:91" ht="14.25" customHeight="1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  <c r="BO513" s="50"/>
      <c r="BP513" s="50"/>
      <c r="BQ513" s="50"/>
      <c r="BR513" s="50"/>
      <c r="BS513" s="50"/>
      <c r="BT513" s="50"/>
      <c r="BU513" s="50"/>
      <c r="BV513" s="50"/>
      <c r="BW513" s="50"/>
      <c r="BX513" s="50"/>
      <c r="BY513" s="50"/>
      <c r="BZ513" s="50"/>
      <c r="CA513" s="50"/>
      <c r="CB513" s="50"/>
      <c r="CC513" s="50"/>
      <c r="CD513" s="50"/>
      <c r="CE513" s="50"/>
      <c r="CF513" s="50"/>
      <c r="CG513" s="50"/>
      <c r="CH513" s="50"/>
      <c r="CI513" s="50"/>
      <c r="CJ513" s="50"/>
      <c r="CK513" s="50"/>
      <c r="CL513" s="50"/>
      <c r="CM513" s="50"/>
    </row>
    <row r="514" spans="1:91" ht="14.25" customHeight="1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  <c r="BO514" s="50"/>
      <c r="BP514" s="50"/>
      <c r="BQ514" s="50"/>
      <c r="BR514" s="50"/>
      <c r="BS514" s="50"/>
      <c r="BT514" s="50"/>
      <c r="BU514" s="50"/>
      <c r="BV514" s="50"/>
      <c r="BW514" s="50"/>
      <c r="BX514" s="50"/>
      <c r="BY514" s="50"/>
      <c r="BZ514" s="50"/>
      <c r="CA514" s="50"/>
      <c r="CB514" s="50"/>
      <c r="CC514" s="50"/>
      <c r="CD514" s="50"/>
      <c r="CE514" s="50"/>
      <c r="CF514" s="50"/>
      <c r="CG514" s="50"/>
      <c r="CH514" s="50"/>
      <c r="CI514" s="50"/>
      <c r="CJ514" s="50"/>
      <c r="CK514" s="50"/>
      <c r="CL514" s="50"/>
      <c r="CM514" s="50"/>
    </row>
    <row r="515" spans="1:91" ht="14.25" customHeight="1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  <c r="BO515" s="50"/>
      <c r="BP515" s="50"/>
      <c r="BQ515" s="50"/>
      <c r="BR515" s="50"/>
      <c r="BS515" s="50"/>
      <c r="BT515" s="50"/>
      <c r="BU515" s="50"/>
      <c r="BV515" s="50"/>
      <c r="BW515" s="50"/>
      <c r="BX515" s="50"/>
      <c r="BY515" s="50"/>
      <c r="BZ515" s="50"/>
      <c r="CA515" s="50"/>
      <c r="CB515" s="50"/>
      <c r="CC515" s="50"/>
      <c r="CD515" s="50"/>
      <c r="CE515" s="50"/>
      <c r="CF515" s="50"/>
      <c r="CG515" s="50"/>
      <c r="CH515" s="50"/>
      <c r="CI515" s="50"/>
      <c r="CJ515" s="50"/>
      <c r="CK515" s="50"/>
      <c r="CL515" s="50"/>
      <c r="CM515" s="50"/>
    </row>
    <row r="516" spans="1:91" ht="14.25" customHeight="1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  <c r="BO516" s="50"/>
      <c r="BP516" s="50"/>
      <c r="BQ516" s="50"/>
      <c r="BR516" s="50"/>
      <c r="BS516" s="50"/>
      <c r="BT516" s="50"/>
      <c r="BU516" s="50"/>
      <c r="BV516" s="50"/>
      <c r="BW516" s="50"/>
      <c r="BX516" s="50"/>
      <c r="BY516" s="50"/>
      <c r="BZ516" s="50"/>
      <c r="CA516" s="50"/>
      <c r="CB516" s="50"/>
      <c r="CC516" s="50"/>
      <c r="CD516" s="50"/>
      <c r="CE516" s="50"/>
      <c r="CF516" s="50"/>
      <c r="CG516" s="50"/>
      <c r="CH516" s="50"/>
      <c r="CI516" s="50"/>
      <c r="CJ516" s="50"/>
      <c r="CK516" s="50"/>
      <c r="CL516" s="50"/>
      <c r="CM516" s="50"/>
    </row>
    <row r="517" spans="1:91" ht="14.25" customHeight="1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  <c r="BO517" s="50"/>
      <c r="BP517" s="50"/>
      <c r="BQ517" s="50"/>
      <c r="BR517" s="50"/>
      <c r="BS517" s="50"/>
      <c r="BT517" s="50"/>
      <c r="BU517" s="50"/>
      <c r="BV517" s="50"/>
      <c r="BW517" s="50"/>
      <c r="BX517" s="50"/>
      <c r="BY517" s="50"/>
      <c r="BZ517" s="50"/>
      <c r="CA517" s="50"/>
      <c r="CB517" s="50"/>
      <c r="CC517" s="50"/>
      <c r="CD517" s="50"/>
      <c r="CE517" s="50"/>
      <c r="CF517" s="50"/>
      <c r="CG517" s="50"/>
      <c r="CH517" s="50"/>
      <c r="CI517" s="50"/>
      <c r="CJ517" s="50"/>
      <c r="CK517" s="50"/>
      <c r="CL517" s="50"/>
      <c r="CM517" s="50"/>
    </row>
    <row r="518" spans="1:91" ht="14.25" customHeight="1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  <c r="BO518" s="50"/>
      <c r="BP518" s="50"/>
      <c r="BQ518" s="50"/>
      <c r="BR518" s="50"/>
      <c r="BS518" s="50"/>
      <c r="BT518" s="50"/>
      <c r="BU518" s="50"/>
      <c r="BV518" s="50"/>
      <c r="BW518" s="50"/>
      <c r="BX518" s="50"/>
      <c r="BY518" s="50"/>
      <c r="BZ518" s="50"/>
      <c r="CA518" s="50"/>
      <c r="CB518" s="50"/>
      <c r="CC518" s="50"/>
      <c r="CD518" s="50"/>
      <c r="CE518" s="50"/>
      <c r="CF518" s="50"/>
      <c r="CG518" s="50"/>
      <c r="CH518" s="50"/>
      <c r="CI518" s="50"/>
      <c r="CJ518" s="50"/>
      <c r="CK518" s="50"/>
      <c r="CL518" s="50"/>
      <c r="CM518" s="50"/>
    </row>
    <row r="519" spans="1:91" ht="14.25" customHeight="1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  <c r="BO519" s="50"/>
      <c r="BP519" s="50"/>
      <c r="BQ519" s="50"/>
      <c r="BR519" s="50"/>
      <c r="BS519" s="50"/>
      <c r="BT519" s="50"/>
      <c r="BU519" s="50"/>
      <c r="BV519" s="50"/>
      <c r="BW519" s="50"/>
      <c r="BX519" s="50"/>
      <c r="BY519" s="50"/>
      <c r="BZ519" s="50"/>
      <c r="CA519" s="50"/>
      <c r="CB519" s="50"/>
      <c r="CC519" s="50"/>
      <c r="CD519" s="50"/>
      <c r="CE519" s="50"/>
      <c r="CF519" s="50"/>
      <c r="CG519" s="50"/>
      <c r="CH519" s="50"/>
      <c r="CI519" s="50"/>
      <c r="CJ519" s="50"/>
      <c r="CK519" s="50"/>
      <c r="CL519" s="50"/>
      <c r="CM519" s="50"/>
    </row>
    <row r="520" spans="1:91" ht="14.25" customHeight="1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  <c r="BO520" s="50"/>
      <c r="BP520" s="50"/>
      <c r="BQ520" s="50"/>
      <c r="BR520" s="50"/>
      <c r="BS520" s="50"/>
      <c r="BT520" s="50"/>
      <c r="BU520" s="50"/>
      <c r="BV520" s="50"/>
      <c r="BW520" s="50"/>
      <c r="BX520" s="50"/>
      <c r="BY520" s="50"/>
      <c r="BZ520" s="50"/>
      <c r="CA520" s="50"/>
      <c r="CB520" s="50"/>
      <c r="CC520" s="50"/>
      <c r="CD520" s="50"/>
      <c r="CE520" s="50"/>
      <c r="CF520" s="50"/>
      <c r="CG520" s="50"/>
      <c r="CH520" s="50"/>
      <c r="CI520" s="50"/>
      <c r="CJ520" s="50"/>
      <c r="CK520" s="50"/>
      <c r="CL520" s="50"/>
      <c r="CM520" s="50"/>
    </row>
    <row r="521" spans="1:91" ht="14.25" customHeight="1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  <c r="BO521" s="50"/>
      <c r="BP521" s="50"/>
      <c r="BQ521" s="50"/>
      <c r="BR521" s="50"/>
      <c r="BS521" s="50"/>
      <c r="BT521" s="50"/>
      <c r="BU521" s="50"/>
      <c r="BV521" s="50"/>
      <c r="BW521" s="50"/>
      <c r="BX521" s="50"/>
      <c r="BY521" s="50"/>
      <c r="BZ521" s="50"/>
      <c r="CA521" s="50"/>
      <c r="CB521" s="50"/>
      <c r="CC521" s="50"/>
      <c r="CD521" s="50"/>
      <c r="CE521" s="50"/>
      <c r="CF521" s="50"/>
      <c r="CG521" s="50"/>
      <c r="CH521" s="50"/>
      <c r="CI521" s="50"/>
      <c r="CJ521" s="50"/>
      <c r="CK521" s="50"/>
      <c r="CL521" s="50"/>
      <c r="CM521" s="50"/>
    </row>
    <row r="522" spans="1:91" ht="14.25" customHeight="1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  <c r="BO522" s="50"/>
      <c r="BP522" s="50"/>
      <c r="BQ522" s="50"/>
      <c r="BR522" s="50"/>
      <c r="BS522" s="50"/>
      <c r="BT522" s="50"/>
      <c r="BU522" s="50"/>
      <c r="BV522" s="50"/>
      <c r="BW522" s="50"/>
      <c r="BX522" s="50"/>
      <c r="BY522" s="50"/>
      <c r="BZ522" s="50"/>
      <c r="CA522" s="50"/>
      <c r="CB522" s="50"/>
      <c r="CC522" s="50"/>
      <c r="CD522" s="50"/>
      <c r="CE522" s="50"/>
      <c r="CF522" s="50"/>
      <c r="CG522" s="50"/>
      <c r="CH522" s="50"/>
      <c r="CI522" s="50"/>
      <c r="CJ522" s="50"/>
      <c r="CK522" s="50"/>
      <c r="CL522" s="50"/>
      <c r="CM522" s="50"/>
    </row>
    <row r="523" spans="1:91" ht="14.25" customHeight="1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  <c r="BO523" s="50"/>
      <c r="BP523" s="50"/>
      <c r="BQ523" s="50"/>
      <c r="BR523" s="50"/>
      <c r="BS523" s="50"/>
      <c r="BT523" s="50"/>
      <c r="BU523" s="50"/>
      <c r="BV523" s="50"/>
      <c r="BW523" s="50"/>
      <c r="BX523" s="50"/>
      <c r="BY523" s="50"/>
      <c r="BZ523" s="50"/>
      <c r="CA523" s="50"/>
      <c r="CB523" s="50"/>
      <c r="CC523" s="50"/>
      <c r="CD523" s="50"/>
      <c r="CE523" s="50"/>
      <c r="CF523" s="50"/>
      <c r="CG523" s="50"/>
      <c r="CH523" s="50"/>
      <c r="CI523" s="50"/>
      <c r="CJ523" s="50"/>
      <c r="CK523" s="50"/>
      <c r="CL523" s="50"/>
      <c r="CM523" s="50"/>
    </row>
    <row r="524" spans="1:91" ht="14.25" customHeight="1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  <c r="BT524" s="50"/>
      <c r="BU524" s="50"/>
      <c r="BV524" s="50"/>
      <c r="BW524" s="50"/>
      <c r="BX524" s="50"/>
      <c r="BY524" s="50"/>
      <c r="BZ524" s="50"/>
      <c r="CA524" s="50"/>
      <c r="CB524" s="50"/>
      <c r="CC524" s="50"/>
      <c r="CD524" s="50"/>
      <c r="CE524" s="50"/>
      <c r="CF524" s="50"/>
      <c r="CG524" s="50"/>
      <c r="CH524" s="50"/>
      <c r="CI524" s="50"/>
      <c r="CJ524" s="50"/>
      <c r="CK524" s="50"/>
      <c r="CL524" s="50"/>
      <c r="CM524" s="50"/>
    </row>
    <row r="525" spans="1:91" ht="14.25" customHeight="1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  <c r="BO525" s="50"/>
      <c r="BP525" s="50"/>
      <c r="BQ525" s="50"/>
      <c r="BR525" s="50"/>
      <c r="BS525" s="50"/>
      <c r="BT525" s="50"/>
      <c r="BU525" s="50"/>
      <c r="BV525" s="50"/>
      <c r="BW525" s="50"/>
      <c r="BX525" s="50"/>
      <c r="BY525" s="50"/>
      <c r="BZ525" s="50"/>
      <c r="CA525" s="50"/>
      <c r="CB525" s="50"/>
      <c r="CC525" s="50"/>
      <c r="CD525" s="50"/>
      <c r="CE525" s="50"/>
      <c r="CF525" s="50"/>
      <c r="CG525" s="50"/>
      <c r="CH525" s="50"/>
      <c r="CI525" s="50"/>
      <c r="CJ525" s="50"/>
      <c r="CK525" s="50"/>
      <c r="CL525" s="50"/>
      <c r="CM525" s="50"/>
    </row>
    <row r="526" spans="1:91" ht="14.25" customHeight="1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  <c r="BO526" s="50"/>
      <c r="BP526" s="50"/>
      <c r="BQ526" s="50"/>
      <c r="BR526" s="50"/>
      <c r="BS526" s="50"/>
      <c r="BT526" s="50"/>
      <c r="BU526" s="50"/>
      <c r="BV526" s="50"/>
      <c r="BW526" s="50"/>
      <c r="BX526" s="50"/>
      <c r="BY526" s="50"/>
      <c r="BZ526" s="50"/>
      <c r="CA526" s="50"/>
      <c r="CB526" s="50"/>
      <c r="CC526" s="50"/>
      <c r="CD526" s="50"/>
      <c r="CE526" s="50"/>
      <c r="CF526" s="50"/>
      <c r="CG526" s="50"/>
      <c r="CH526" s="50"/>
      <c r="CI526" s="50"/>
      <c r="CJ526" s="50"/>
      <c r="CK526" s="50"/>
      <c r="CL526" s="50"/>
      <c r="CM526" s="50"/>
    </row>
    <row r="527" spans="1:91" ht="14.25" customHeight="1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BS527" s="50"/>
      <c r="BT527" s="50"/>
      <c r="BU527" s="50"/>
      <c r="BV527" s="50"/>
      <c r="BW527" s="50"/>
      <c r="BX527" s="50"/>
      <c r="BY527" s="50"/>
      <c r="BZ527" s="50"/>
      <c r="CA527" s="50"/>
      <c r="CB527" s="50"/>
      <c r="CC527" s="50"/>
      <c r="CD527" s="50"/>
      <c r="CE527" s="50"/>
      <c r="CF527" s="50"/>
      <c r="CG527" s="50"/>
      <c r="CH527" s="50"/>
      <c r="CI527" s="50"/>
      <c r="CJ527" s="50"/>
      <c r="CK527" s="50"/>
      <c r="CL527" s="50"/>
      <c r="CM527" s="50"/>
    </row>
    <row r="528" spans="1:91" ht="14.25" customHeight="1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  <c r="BO528" s="50"/>
      <c r="BP528" s="50"/>
      <c r="BQ528" s="50"/>
      <c r="BR528" s="50"/>
      <c r="BS528" s="50"/>
      <c r="BT528" s="50"/>
      <c r="BU528" s="50"/>
      <c r="BV528" s="50"/>
      <c r="BW528" s="50"/>
      <c r="BX528" s="50"/>
      <c r="BY528" s="50"/>
      <c r="BZ528" s="50"/>
      <c r="CA528" s="50"/>
      <c r="CB528" s="50"/>
      <c r="CC528" s="50"/>
      <c r="CD528" s="50"/>
      <c r="CE528" s="50"/>
      <c r="CF528" s="50"/>
      <c r="CG528" s="50"/>
      <c r="CH528" s="50"/>
      <c r="CI528" s="50"/>
      <c r="CJ528" s="50"/>
      <c r="CK528" s="50"/>
      <c r="CL528" s="50"/>
      <c r="CM528" s="50"/>
    </row>
    <row r="529" spans="1:91" ht="14.25" customHeight="1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  <c r="BO529" s="50"/>
      <c r="BP529" s="50"/>
      <c r="BQ529" s="50"/>
      <c r="BR529" s="50"/>
      <c r="BS529" s="50"/>
      <c r="BT529" s="50"/>
      <c r="BU529" s="50"/>
      <c r="BV529" s="50"/>
      <c r="BW529" s="50"/>
      <c r="BX529" s="50"/>
      <c r="BY529" s="50"/>
      <c r="BZ529" s="50"/>
      <c r="CA529" s="50"/>
      <c r="CB529" s="50"/>
      <c r="CC529" s="50"/>
      <c r="CD529" s="50"/>
      <c r="CE529" s="50"/>
      <c r="CF529" s="50"/>
      <c r="CG529" s="50"/>
      <c r="CH529" s="50"/>
      <c r="CI529" s="50"/>
      <c r="CJ529" s="50"/>
      <c r="CK529" s="50"/>
      <c r="CL529" s="50"/>
      <c r="CM529" s="50"/>
    </row>
    <row r="530" spans="1:91" ht="14.25" customHeight="1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  <c r="BT530" s="50"/>
      <c r="BU530" s="50"/>
      <c r="BV530" s="50"/>
      <c r="BW530" s="50"/>
      <c r="BX530" s="50"/>
      <c r="BY530" s="50"/>
      <c r="BZ530" s="50"/>
      <c r="CA530" s="50"/>
      <c r="CB530" s="50"/>
      <c r="CC530" s="50"/>
      <c r="CD530" s="50"/>
      <c r="CE530" s="50"/>
      <c r="CF530" s="50"/>
      <c r="CG530" s="50"/>
      <c r="CH530" s="50"/>
      <c r="CI530" s="50"/>
      <c r="CJ530" s="50"/>
      <c r="CK530" s="50"/>
      <c r="CL530" s="50"/>
      <c r="CM530" s="50"/>
    </row>
    <row r="531" spans="1:91" ht="14.25" customHeight="1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  <c r="BO531" s="50"/>
      <c r="BP531" s="50"/>
      <c r="BQ531" s="50"/>
      <c r="BR531" s="50"/>
      <c r="BS531" s="50"/>
      <c r="BT531" s="50"/>
      <c r="BU531" s="50"/>
      <c r="BV531" s="50"/>
      <c r="BW531" s="50"/>
      <c r="BX531" s="50"/>
      <c r="BY531" s="50"/>
      <c r="BZ531" s="50"/>
      <c r="CA531" s="50"/>
      <c r="CB531" s="50"/>
      <c r="CC531" s="50"/>
      <c r="CD531" s="50"/>
      <c r="CE531" s="50"/>
      <c r="CF531" s="50"/>
      <c r="CG531" s="50"/>
      <c r="CH531" s="50"/>
      <c r="CI531" s="50"/>
      <c r="CJ531" s="50"/>
      <c r="CK531" s="50"/>
      <c r="CL531" s="50"/>
      <c r="CM531" s="50"/>
    </row>
    <row r="532" spans="1:91" ht="14.25" customHeight="1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  <c r="BT532" s="50"/>
      <c r="BU532" s="50"/>
      <c r="BV532" s="50"/>
      <c r="BW532" s="50"/>
      <c r="BX532" s="50"/>
      <c r="BY532" s="50"/>
      <c r="BZ532" s="50"/>
      <c r="CA532" s="50"/>
      <c r="CB532" s="50"/>
      <c r="CC532" s="50"/>
      <c r="CD532" s="50"/>
      <c r="CE532" s="50"/>
      <c r="CF532" s="50"/>
      <c r="CG532" s="50"/>
      <c r="CH532" s="50"/>
      <c r="CI532" s="50"/>
      <c r="CJ532" s="50"/>
      <c r="CK532" s="50"/>
      <c r="CL532" s="50"/>
      <c r="CM532" s="50"/>
    </row>
    <row r="533" spans="1:91" ht="14.25" customHeight="1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  <c r="BO533" s="50"/>
      <c r="BP533" s="50"/>
      <c r="BQ533" s="50"/>
      <c r="BR533" s="50"/>
      <c r="BS533" s="50"/>
      <c r="BT533" s="50"/>
      <c r="BU533" s="50"/>
      <c r="BV533" s="50"/>
      <c r="BW533" s="50"/>
      <c r="BX533" s="50"/>
      <c r="BY533" s="50"/>
      <c r="BZ533" s="50"/>
      <c r="CA533" s="50"/>
      <c r="CB533" s="50"/>
      <c r="CC533" s="50"/>
      <c r="CD533" s="50"/>
      <c r="CE533" s="50"/>
      <c r="CF533" s="50"/>
      <c r="CG533" s="50"/>
      <c r="CH533" s="50"/>
      <c r="CI533" s="50"/>
      <c r="CJ533" s="50"/>
      <c r="CK533" s="50"/>
      <c r="CL533" s="50"/>
      <c r="CM533" s="50"/>
    </row>
    <row r="534" spans="1:91" ht="14.25" customHeight="1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  <c r="BO534" s="50"/>
      <c r="BP534" s="50"/>
      <c r="BQ534" s="50"/>
      <c r="BR534" s="50"/>
      <c r="BS534" s="50"/>
      <c r="BT534" s="50"/>
      <c r="BU534" s="50"/>
      <c r="BV534" s="50"/>
      <c r="BW534" s="50"/>
      <c r="BX534" s="50"/>
      <c r="BY534" s="50"/>
      <c r="BZ534" s="50"/>
      <c r="CA534" s="50"/>
      <c r="CB534" s="50"/>
      <c r="CC534" s="50"/>
      <c r="CD534" s="50"/>
      <c r="CE534" s="50"/>
      <c r="CF534" s="50"/>
      <c r="CG534" s="50"/>
      <c r="CH534" s="50"/>
      <c r="CI534" s="50"/>
      <c r="CJ534" s="50"/>
      <c r="CK534" s="50"/>
      <c r="CL534" s="50"/>
      <c r="CM534" s="50"/>
    </row>
    <row r="535" spans="1:91" ht="14.25" customHeight="1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  <c r="BO535" s="50"/>
      <c r="BP535" s="50"/>
      <c r="BQ535" s="50"/>
      <c r="BR535" s="50"/>
      <c r="BS535" s="50"/>
      <c r="BT535" s="50"/>
      <c r="BU535" s="50"/>
      <c r="BV535" s="50"/>
      <c r="BW535" s="50"/>
      <c r="BX535" s="50"/>
      <c r="BY535" s="50"/>
      <c r="BZ535" s="50"/>
      <c r="CA535" s="50"/>
      <c r="CB535" s="50"/>
      <c r="CC535" s="50"/>
      <c r="CD535" s="50"/>
      <c r="CE535" s="50"/>
      <c r="CF535" s="50"/>
      <c r="CG535" s="50"/>
      <c r="CH535" s="50"/>
      <c r="CI535" s="50"/>
      <c r="CJ535" s="50"/>
      <c r="CK535" s="50"/>
      <c r="CL535" s="50"/>
      <c r="CM535" s="50"/>
    </row>
    <row r="536" spans="1:91" ht="14.25" customHeight="1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  <c r="BO536" s="50"/>
      <c r="BP536" s="50"/>
      <c r="BQ536" s="50"/>
      <c r="BR536" s="50"/>
      <c r="BS536" s="50"/>
      <c r="BT536" s="50"/>
      <c r="BU536" s="50"/>
      <c r="BV536" s="50"/>
      <c r="BW536" s="50"/>
      <c r="BX536" s="50"/>
      <c r="BY536" s="50"/>
      <c r="BZ536" s="50"/>
      <c r="CA536" s="50"/>
      <c r="CB536" s="50"/>
      <c r="CC536" s="50"/>
      <c r="CD536" s="50"/>
      <c r="CE536" s="50"/>
      <c r="CF536" s="50"/>
      <c r="CG536" s="50"/>
      <c r="CH536" s="50"/>
      <c r="CI536" s="50"/>
      <c r="CJ536" s="50"/>
      <c r="CK536" s="50"/>
      <c r="CL536" s="50"/>
      <c r="CM536" s="50"/>
    </row>
    <row r="537" spans="1:91" ht="14.25" customHeight="1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  <c r="BP537" s="50"/>
      <c r="BQ537" s="50"/>
      <c r="BR537" s="50"/>
      <c r="BS537" s="50"/>
      <c r="BT537" s="50"/>
      <c r="BU537" s="50"/>
      <c r="BV537" s="50"/>
      <c r="BW537" s="50"/>
      <c r="BX537" s="50"/>
      <c r="BY537" s="50"/>
      <c r="BZ537" s="50"/>
      <c r="CA537" s="50"/>
      <c r="CB537" s="50"/>
      <c r="CC537" s="50"/>
      <c r="CD537" s="50"/>
      <c r="CE537" s="50"/>
      <c r="CF537" s="50"/>
      <c r="CG537" s="50"/>
      <c r="CH537" s="50"/>
      <c r="CI537" s="50"/>
      <c r="CJ537" s="50"/>
      <c r="CK537" s="50"/>
      <c r="CL537" s="50"/>
      <c r="CM537" s="50"/>
    </row>
    <row r="538" spans="1:91" ht="14.25" customHeight="1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  <c r="BP538" s="50"/>
      <c r="BQ538" s="50"/>
      <c r="BR538" s="50"/>
      <c r="BS538" s="50"/>
      <c r="BT538" s="50"/>
      <c r="BU538" s="50"/>
      <c r="BV538" s="50"/>
      <c r="BW538" s="50"/>
      <c r="BX538" s="50"/>
      <c r="BY538" s="50"/>
      <c r="BZ538" s="50"/>
      <c r="CA538" s="50"/>
      <c r="CB538" s="50"/>
      <c r="CC538" s="50"/>
      <c r="CD538" s="50"/>
      <c r="CE538" s="50"/>
      <c r="CF538" s="50"/>
      <c r="CG538" s="50"/>
      <c r="CH538" s="50"/>
      <c r="CI538" s="50"/>
      <c r="CJ538" s="50"/>
      <c r="CK538" s="50"/>
      <c r="CL538" s="50"/>
      <c r="CM538" s="50"/>
    </row>
    <row r="539" spans="1:91" ht="14.25" customHeight="1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  <c r="BO539" s="50"/>
      <c r="BP539" s="50"/>
      <c r="BQ539" s="50"/>
      <c r="BR539" s="50"/>
      <c r="BS539" s="50"/>
      <c r="BT539" s="50"/>
      <c r="BU539" s="50"/>
      <c r="BV539" s="50"/>
      <c r="BW539" s="50"/>
      <c r="BX539" s="50"/>
      <c r="BY539" s="50"/>
      <c r="BZ539" s="50"/>
      <c r="CA539" s="50"/>
      <c r="CB539" s="50"/>
      <c r="CC539" s="50"/>
      <c r="CD539" s="50"/>
      <c r="CE539" s="50"/>
      <c r="CF539" s="50"/>
      <c r="CG539" s="50"/>
      <c r="CH539" s="50"/>
      <c r="CI539" s="50"/>
      <c r="CJ539" s="50"/>
      <c r="CK539" s="50"/>
      <c r="CL539" s="50"/>
      <c r="CM539" s="50"/>
    </row>
    <row r="540" spans="1:91" ht="14.25" customHeight="1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  <c r="BO540" s="50"/>
      <c r="BP540" s="50"/>
      <c r="BQ540" s="50"/>
      <c r="BR540" s="50"/>
      <c r="BS540" s="50"/>
      <c r="BT540" s="50"/>
      <c r="BU540" s="50"/>
      <c r="BV540" s="50"/>
      <c r="BW540" s="50"/>
      <c r="BX540" s="50"/>
      <c r="BY540" s="50"/>
      <c r="BZ540" s="50"/>
      <c r="CA540" s="50"/>
      <c r="CB540" s="50"/>
      <c r="CC540" s="50"/>
      <c r="CD540" s="50"/>
      <c r="CE540" s="50"/>
      <c r="CF540" s="50"/>
      <c r="CG540" s="50"/>
      <c r="CH540" s="50"/>
      <c r="CI540" s="50"/>
      <c r="CJ540" s="50"/>
      <c r="CK540" s="50"/>
      <c r="CL540" s="50"/>
      <c r="CM540" s="50"/>
    </row>
    <row r="541" spans="1:91" ht="14.25" customHeight="1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  <c r="BO541" s="50"/>
      <c r="BP541" s="50"/>
      <c r="BQ541" s="50"/>
      <c r="BR541" s="50"/>
      <c r="BS541" s="50"/>
      <c r="BT541" s="50"/>
      <c r="BU541" s="50"/>
      <c r="BV541" s="50"/>
      <c r="BW541" s="50"/>
      <c r="BX541" s="50"/>
      <c r="BY541" s="50"/>
      <c r="BZ541" s="50"/>
      <c r="CA541" s="50"/>
      <c r="CB541" s="50"/>
      <c r="CC541" s="50"/>
      <c r="CD541" s="50"/>
      <c r="CE541" s="50"/>
      <c r="CF541" s="50"/>
      <c r="CG541" s="50"/>
      <c r="CH541" s="50"/>
      <c r="CI541" s="50"/>
      <c r="CJ541" s="50"/>
      <c r="CK541" s="50"/>
      <c r="CL541" s="50"/>
      <c r="CM541" s="50"/>
    </row>
    <row r="542" spans="1:91" ht="14.25" customHeight="1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  <c r="BO542" s="50"/>
      <c r="BP542" s="50"/>
      <c r="BQ542" s="50"/>
      <c r="BR542" s="50"/>
      <c r="BS542" s="50"/>
      <c r="BT542" s="50"/>
      <c r="BU542" s="50"/>
      <c r="BV542" s="50"/>
      <c r="BW542" s="50"/>
      <c r="BX542" s="50"/>
      <c r="BY542" s="50"/>
      <c r="BZ542" s="50"/>
      <c r="CA542" s="50"/>
      <c r="CB542" s="50"/>
      <c r="CC542" s="50"/>
      <c r="CD542" s="50"/>
      <c r="CE542" s="50"/>
      <c r="CF542" s="50"/>
      <c r="CG542" s="50"/>
      <c r="CH542" s="50"/>
      <c r="CI542" s="50"/>
      <c r="CJ542" s="50"/>
      <c r="CK542" s="50"/>
      <c r="CL542" s="50"/>
      <c r="CM542" s="50"/>
    </row>
    <row r="543" spans="1:91" ht="14.25" customHeight="1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  <c r="BO543" s="50"/>
      <c r="BP543" s="50"/>
      <c r="BQ543" s="50"/>
      <c r="BR543" s="50"/>
      <c r="BS543" s="50"/>
      <c r="BT543" s="50"/>
      <c r="BU543" s="50"/>
      <c r="BV543" s="50"/>
      <c r="BW543" s="50"/>
      <c r="BX543" s="50"/>
      <c r="BY543" s="50"/>
      <c r="BZ543" s="50"/>
      <c r="CA543" s="50"/>
      <c r="CB543" s="50"/>
      <c r="CC543" s="50"/>
      <c r="CD543" s="50"/>
      <c r="CE543" s="50"/>
      <c r="CF543" s="50"/>
      <c r="CG543" s="50"/>
      <c r="CH543" s="50"/>
      <c r="CI543" s="50"/>
      <c r="CJ543" s="50"/>
      <c r="CK543" s="50"/>
      <c r="CL543" s="50"/>
      <c r="CM543" s="50"/>
    </row>
    <row r="544" spans="1:91" ht="14.25" customHeight="1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  <c r="BO544" s="50"/>
      <c r="BP544" s="50"/>
      <c r="BQ544" s="50"/>
      <c r="BR544" s="50"/>
      <c r="BS544" s="50"/>
      <c r="BT544" s="50"/>
      <c r="BU544" s="50"/>
      <c r="BV544" s="50"/>
      <c r="BW544" s="50"/>
      <c r="BX544" s="50"/>
      <c r="BY544" s="50"/>
      <c r="BZ544" s="50"/>
      <c r="CA544" s="50"/>
      <c r="CB544" s="50"/>
      <c r="CC544" s="50"/>
      <c r="CD544" s="50"/>
      <c r="CE544" s="50"/>
      <c r="CF544" s="50"/>
      <c r="CG544" s="50"/>
      <c r="CH544" s="50"/>
      <c r="CI544" s="50"/>
      <c r="CJ544" s="50"/>
      <c r="CK544" s="50"/>
      <c r="CL544" s="50"/>
      <c r="CM544" s="50"/>
    </row>
    <row r="545" spans="1:91" ht="14.25" customHeight="1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  <c r="BO545" s="50"/>
      <c r="BP545" s="50"/>
      <c r="BQ545" s="50"/>
      <c r="BR545" s="50"/>
      <c r="BS545" s="50"/>
      <c r="BT545" s="50"/>
      <c r="BU545" s="50"/>
      <c r="BV545" s="50"/>
      <c r="BW545" s="50"/>
      <c r="BX545" s="50"/>
      <c r="BY545" s="50"/>
      <c r="BZ545" s="50"/>
      <c r="CA545" s="50"/>
      <c r="CB545" s="50"/>
      <c r="CC545" s="50"/>
      <c r="CD545" s="50"/>
      <c r="CE545" s="50"/>
      <c r="CF545" s="50"/>
      <c r="CG545" s="50"/>
      <c r="CH545" s="50"/>
      <c r="CI545" s="50"/>
      <c r="CJ545" s="50"/>
      <c r="CK545" s="50"/>
      <c r="CL545" s="50"/>
      <c r="CM545" s="50"/>
    </row>
    <row r="546" spans="1:91" ht="14.25" customHeight="1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  <c r="BO546" s="50"/>
      <c r="BP546" s="50"/>
      <c r="BQ546" s="50"/>
      <c r="BR546" s="50"/>
      <c r="BS546" s="50"/>
      <c r="BT546" s="50"/>
      <c r="BU546" s="50"/>
      <c r="BV546" s="50"/>
      <c r="BW546" s="50"/>
      <c r="BX546" s="50"/>
      <c r="BY546" s="50"/>
      <c r="BZ546" s="50"/>
      <c r="CA546" s="50"/>
      <c r="CB546" s="50"/>
      <c r="CC546" s="50"/>
      <c r="CD546" s="50"/>
      <c r="CE546" s="50"/>
      <c r="CF546" s="50"/>
      <c r="CG546" s="50"/>
      <c r="CH546" s="50"/>
      <c r="CI546" s="50"/>
      <c r="CJ546" s="50"/>
      <c r="CK546" s="50"/>
      <c r="CL546" s="50"/>
      <c r="CM546" s="50"/>
    </row>
    <row r="547" spans="1:91" ht="14.25" customHeight="1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  <c r="BO547" s="50"/>
      <c r="BP547" s="50"/>
      <c r="BQ547" s="50"/>
      <c r="BR547" s="50"/>
      <c r="BS547" s="50"/>
      <c r="BT547" s="50"/>
      <c r="BU547" s="50"/>
      <c r="BV547" s="50"/>
      <c r="BW547" s="50"/>
      <c r="BX547" s="50"/>
      <c r="BY547" s="50"/>
      <c r="BZ547" s="50"/>
      <c r="CA547" s="50"/>
      <c r="CB547" s="50"/>
      <c r="CC547" s="50"/>
      <c r="CD547" s="50"/>
      <c r="CE547" s="50"/>
      <c r="CF547" s="50"/>
      <c r="CG547" s="50"/>
      <c r="CH547" s="50"/>
      <c r="CI547" s="50"/>
      <c r="CJ547" s="50"/>
      <c r="CK547" s="50"/>
      <c r="CL547" s="50"/>
      <c r="CM547" s="50"/>
    </row>
    <row r="548" spans="1:91" ht="14.25" customHeight="1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  <c r="BO548" s="50"/>
      <c r="BP548" s="50"/>
      <c r="BQ548" s="50"/>
      <c r="BR548" s="50"/>
      <c r="BS548" s="50"/>
      <c r="BT548" s="50"/>
      <c r="BU548" s="50"/>
      <c r="BV548" s="50"/>
      <c r="BW548" s="50"/>
      <c r="BX548" s="50"/>
      <c r="BY548" s="50"/>
      <c r="BZ548" s="50"/>
      <c r="CA548" s="50"/>
      <c r="CB548" s="50"/>
      <c r="CC548" s="50"/>
      <c r="CD548" s="50"/>
      <c r="CE548" s="50"/>
      <c r="CF548" s="50"/>
      <c r="CG548" s="50"/>
      <c r="CH548" s="50"/>
      <c r="CI548" s="50"/>
      <c r="CJ548" s="50"/>
      <c r="CK548" s="50"/>
      <c r="CL548" s="50"/>
      <c r="CM548" s="50"/>
    </row>
    <row r="549" spans="1:91" ht="14.25" customHeight="1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  <c r="BO549" s="50"/>
      <c r="BP549" s="50"/>
      <c r="BQ549" s="50"/>
      <c r="BR549" s="50"/>
      <c r="BS549" s="50"/>
      <c r="BT549" s="50"/>
      <c r="BU549" s="50"/>
      <c r="BV549" s="50"/>
      <c r="BW549" s="50"/>
      <c r="BX549" s="50"/>
      <c r="BY549" s="50"/>
      <c r="BZ549" s="50"/>
      <c r="CA549" s="50"/>
      <c r="CB549" s="50"/>
      <c r="CC549" s="50"/>
      <c r="CD549" s="50"/>
      <c r="CE549" s="50"/>
      <c r="CF549" s="50"/>
      <c r="CG549" s="50"/>
      <c r="CH549" s="50"/>
      <c r="CI549" s="50"/>
      <c r="CJ549" s="50"/>
      <c r="CK549" s="50"/>
      <c r="CL549" s="50"/>
      <c r="CM549" s="50"/>
    </row>
    <row r="550" spans="1:91" ht="14.25" customHeight="1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  <c r="BO550" s="50"/>
      <c r="BP550" s="50"/>
      <c r="BQ550" s="50"/>
      <c r="BR550" s="50"/>
      <c r="BS550" s="50"/>
      <c r="BT550" s="50"/>
      <c r="BU550" s="50"/>
      <c r="BV550" s="50"/>
      <c r="BW550" s="50"/>
      <c r="BX550" s="50"/>
      <c r="BY550" s="50"/>
      <c r="BZ550" s="50"/>
      <c r="CA550" s="50"/>
      <c r="CB550" s="50"/>
      <c r="CC550" s="50"/>
      <c r="CD550" s="50"/>
      <c r="CE550" s="50"/>
      <c r="CF550" s="50"/>
      <c r="CG550" s="50"/>
      <c r="CH550" s="50"/>
      <c r="CI550" s="50"/>
      <c r="CJ550" s="50"/>
      <c r="CK550" s="50"/>
      <c r="CL550" s="50"/>
      <c r="CM550" s="50"/>
    </row>
    <row r="551" spans="1:91" ht="14.25" customHeight="1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  <c r="BO551" s="50"/>
      <c r="BP551" s="50"/>
      <c r="BQ551" s="50"/>
      <c r="BR551" s="50"/>
      <c r="BS551" s="50"/>
      <c r="BT551" s="50"/>
      <c r="BU551" s="50"/>
      <c r="BV551" s="50"/>
      <c r="BW551" s="50"/>
      <c r="BX551" s="50"/>
      <c r="BY551" s="50"/>
      <c r="BZ551" s="50"/>
      <c r="CA551" s="50"/>
      <c r="CB551" s="50"/>
      <c r="CC551" s="50"/>
      <c r="CD551" s="50"/>
      <c r="CE551" s="50"/>
      <c r="CF551" s="50"/>
      <c r="CG551" s="50"/>
      <c r="CH551" s="50"/>
      <c r="CI551" s="50"/>
      <c r="CJ551" s="50"/>
      <c r="CK551" s="50"/>
      <c r="CL551" s="50"/>
      <c r="CM551" s="50"/>
    </row>
    <row r="552" spans="1:91" ht="14.25" customHeight="1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  <c r="BO552" s="50"/>
      <c r="BP552" s="50"/>
      <c r="BQ552" s="50"/>
      <c r="BR552" s="50"/>
      <c r="BS552" s="50"/>
      <c r="BT552" s="50"/>
      <c r="BU552" s="50"/>
      <c r="BV552" s="50"/>
      <c r="BW552" s="50"/>
      <c r="BX552" s="50"/>
      <c r="BY552" s="50"/>
      <c r="BZ552" s="50"/>
      <c r="CA552" s="50"/>
      <c r="CB552" s="50"/>
      <c r="CC552" s="50"/>
      <c r="CD552" s="50"/>
      <c r="CE552" s="50"/>
      <c r="CF552" s="50"/>
      <c r="CG552" s="50"/>
      <c r="CH552" s="50"/>
      <c r="CI552" s="50"/>
      <c r="CJ552" s="50"/>
      <c r="CK552" s="50"/>
      <c r="CL552" s="50"/>
      <c r="CM552" s="50"/>
    </row>
    <row r="553" spans="1:91" ht="14.25" customHeight="1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  <c r="BO553" s="50"/>
      <c r="BP553" s="50"/>
      <c r="BQ553" s="50"/>
      <c r="BR553" s="50"/>
      <c r="BS553" s="50"/>
      <c r="BT553" s="50"/>
      <c r="BU553" s="50"/>
      <c r="BV553" s="50"/>
      <c r="BW553" s="50"/>
      <c r="BX553" s="50"/>
      <c r="BY553" s="50"/>
      <c r="BZ553" s="50"/>
      <c r="CA553" s="50"/>
      <c r="CB553" s="50"/>
      <c r="CC553" s="50"/>
      <c r="CD553" s="50"/>
      <c r="CE553" s="50"/>
      <c r="CF553" s="50"/>
      <c r="CG553" s="50"/>
      <c r="CH553" s="50"/>
      <c r="CI553" s="50"/>
      <c r="CJ553" s="50"/>
      <c r="CK553" s="50"/>
      <c r="CL553" s="50"/>
      <c r="CM553" s="50"/>
    </row>
    <row r="554" spans="1:91" ht="14.25" customHeight="1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  <c r="BO554" s="50"/>
      <c r="BP554" s="50"/>
      <c r="BQ554" s="50"/>
      <c r="BR554" s="50"/>
      <c r="BS554" s="50"/>
      <c r="BT554" s="50"/>
      <c r="BU554" s="50"/>
      <c r="BV554" s="50"/>
      <c r="BW554" s="50"/>
      <c r="BX554" s="50"/>
      <c r="BY554" s="50"/>
      <c r="BZ554" s="50"/>
      <c r="CA554" s="50"/>
      <c r="CB554" s="50"/>
      <c r="CC554" s="50"/>
      <c r="CD554" s="50"/>
      <c r="CE554" s="50"/>
      <c r="CF554" s="50"/>
      <c r="CG554" s="50"/>
      <c r="CH554" s="50"/>
      <c r="CI554" s="50"/>
      <c r="CJ554" s="50"/>
      <c r="CK554" s="50"/>
      <c r="CL554" s="50"/>
      <c r="CM554" s="50"/>
    </row>
    <row r="555" spans="1:91" ht="14.25" customHeight="1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  <c r="BO555" s="50"/>
      <c r="BP555" s="50"/>
      <c r="BQ555" s="50"/>
      <c r="BR555" s="50"/>
      <c r="BS555" s="50"/>
      <c r="BT555" s="50"/>
      <c r="BU555" s="50"/>
      <c r="BV555" s="50"/>
      <c r="BW555" s="50"/>
      <c r="BX555" s="50"/>
      <c r="BY555" s="50"/>
      <c r="BZ555" s="50"/>
      <c r="CA555" s="50"/>
      <c r="CB555" s="50"/>
      <c r="CC555" s="50"/>
      <c r="CD555" s="50"/>
      <c r="CE555" s="50"/>
      <c r="CF555" s="50"/>
      <c r="CG555" s="50"/>
      <c r="CH555" s="50"/>
      <c r="CI555" s="50"/>
      <c r="CJ555" s="50"/>
      <c r="CK555" s="50"/>
      <c r="CL555" s="50"/>
      <c r="CM555" s="50"/>
    </row>
    <row r="556" spans="1:91" ht="14.25" customHeight="1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  <c r="BO556" s="50"/>
      <c r="BP556" s="50"/>
      <c r="BQ556" s="50"/>
      <c r="BR556" s="50"/>
      <c r="BS556" s="50"/>
      <c r="BT556" s="50"/>
      <c r="BU556" s="50"/>
      <c r="BV556" s="50"/>
      <c r="BW556" s="50"/>
      <c r="BX556" s="50"/>
      <c r="BY556" s="50"/>
      <c r="BZ556" s="50"/>
      <c r="CA556" s="50"/>
      <c r="CB556" s="50"/>
      <c r="CC556" s="50"/>
      <c r="CD556" s="50"/>
      <c r="CE556" s="50"/>
      <c r="CF556" s="50"/>
      <c r="CG556" s="50"/>
      <c r="CH556" s="50"/>
      <c r="CI556" s="50"/>
      <c r="CJ556" s="50"/>
      <c r="CK556" s="50"/>
      <c r="CL556" s="50"/>
      <c r="CM556" s="50"/>
    </row>
    <row r="557" spans="1:91" ht="14.25" customHeight="1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  <c r="BO557" s="50"/>
      <c r="BP557" s="50"/>
      <c r="BQ557" s="50"/>
      <c r="BR557" s="50"/>
      <c r="BS557" s="50"/>
      <c r="BT557" s="50"/>
      <c r="BU557" s="50"/>
      <c r="BV557" s="50"/>
      <c r="BW557" s="50"/>
      <c r="BX557" s="50"/>
      <c r="BY557" s="50"/>
      <c r="BZ557" s="50"/>
      <c r="CA557" s="50"/>
      <c r="CB557" s="50"/>
      <c r="CC557" s="50"/>
      <c r="CD557" s="50"/>
      <c r="CE557" s="50"/>
      <c r="CF557" s="50"/>
      <c r="CG557" s="50"/>
      <c r="CH557" s="50"/>
      <c r="CI557" s="50"/>
      <c r="CJ557" s="50"/>
      <c r="CK557" s="50"/>
      <c r="CL557" s="50"/>
      <c r="CM557" s="50"/>
    </row>
    <row r="558" spans="1:91" ht="14.25" customHeight="1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  <c r="BO558" s="50"/>
      <c r="BP558" s="50"/>
      <c r="BQ558" s="50"/>
      <c r="BR558" s="50"/>
      <c r="BS558" s="50"/>
      <c r="BT558" s="50"/>
      <c r="BU558" s="50"/>
      <c r="BV558" s="50"/>
      <c r="BW558" s="50"/>
      <c r="BX558" s="50"/>
      <c r="BY558" s="50"/>
      <c r="BZ558" s="50"/>
      <c r="CA558" s="50"/>
      <c r="CB558" s="50"/>
      <c r="CC558" s="50"/>
      <c r="CD558" s="50"/>
      <c r="CE558" s="50"/>
      <c r="CF558" s="50"/>
      <c r="CG558" s="50"/>
      <c r="CH558" s="50"/>
      <c r="CI558" s="50"/>
      <c r="CJ558" s="50"/>
      <c r="CK558" s="50"/>
      <c r="CL558" s="50"/>
      <c r="CM558" s="50"/>
    </row>
    <row r="559" spans="1:91" ht="14.25" customHeight="1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  <c r="BO559" s="50"/>
      <c r="BP559" s="50"/>
      <c r="BQ559" s="50"/>
      <c r="BR559" s="50"/>
      <c r="BS559" s="50"/>
      <c r="BT559" s="50"/>
      <c r="BU559" s="50"/>
      <c r="BV559" s="50"/>
      <c r="BW559" s="50"/>
      <c r="BX559" s="50"/>
      <c r="BY559" s="50"/>
      <c r="BZ559" s="50"/>
      <c r="CA559" s="50"/>
      <c r="CB559" s="50"/>
      <c r="CC559" s="50"/>
      <c r="CD559" s="50"/>
      <c r="CE559" s="50"/>
      <c r="CF559" s="50"/>
      <c r="CG559" s="50"/>
      <c r="CH559" s="50"/>
      <c r="CI559" s="50"/>
      <c r="CJ559" s="50"/>
      <c r="CK559" s="50"/>
      <c r="CL559" s="50"/>
      <c r="CM559" s="50"/>
    </row>
    <row r="560" spans="1:91" ht="14.25" customHeight="1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  <c r="BO560" s="50"/>
      <c r="BP560" s="50"/>
      <c r="BQ560" s="50"/>
      <c r="BR560" s="50"/>
      <c r="BS560" s="50"/>
      <c r="BT560" s="50"/>
      <c r="BU560" s="50"/>
      <c r="BV560" s="50"/>
      <c r="BW560" s="50"/>
      <c r="BX560" s="50"/>
      <c r="BY560" s="50"/>
      <c r="BZ560" s="50"/>
      <c r="CA560" s="50"/>
      <c r="CB560" s="50"/>
      <c r="CC560" s="50"/>
      <c r="CD560" s="50"/>
      <c r="CE560" s="50"/>
      <c r="CF560" s="50"/>
      <c r="CG560" s="50"/>
      <c r="CH560" s="50"/>
      <c r="CI560" s="50"/>
      <c r="CJ560" s="50"/>
      <c r="CK560" s="50"/>
      <c r="CL560" s="50"/>
      <c r="CM560" s="50"/>
    </row>
    <row r="561" spans="1:91" ht="14.25" customHeight="1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  <c r="BO561" s="50"/>
      <c r="BP561" s="50"/>
      <c r="BQ561" s="50"/>
      <c r="BR561" s="50"/>
      <c r="BS561" s="50"/>
      <c r="BT561" s="50"/>
      <c r="BU561" s="50"/>
      <c r="BV561" s="50"/>
      <c r="BW561" s="50"/>
      <c r="BX561" s="50"/>
      <c r="BY561" s="50"/>
      <c r="BZ561" s="50"/>
      <c r="CA561" s="50"/>
      <c r="CB561" s="50"/>
      <c r="CC561" s="50"/>
      <c r="CD561" s="50"/>
      <c r="CE561" s="50"/>
      <c r="CF561" s="50"/>
      <c r="CG561" s="50"/>
      <c r="CH561" s="50"/>
      <c r="CI561" s="50"/>
      <c r="CJ561" s="50"/>
      <c r="CK561" s="50"/>
      <c r="CL561" s="50"/>
      <c r="CM561" s="50"/>
    </row>
    <row r="562" spans="1:91" ht="14.25" customHeight="1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  <c r="BO562" s="50"/>
      <c r="BP562" s="50"/>
      <c r="BQ562" s="50"/>
      <c r="BR562" s="50"/>
      <c r="BS562" s="50"/>
      <c r="BT562" s="50"/>
      <c r="BU562" s="50"/>
      <c r="BV562" s="50"/>
      <c r="BW562" s="50"/>
      <c r="BX562" s="50"/>
      <c r="BY562" s="50"/>
      <c r="BZ562" s="50"/>
      <c r="CA562" s="50"/>
      <c r="CB562" s="50"/>
      <c r="CC562" s="50"/>
      <c r="CD562" s="50"/>
      <c r="CE562" s="50"/>
      <c r="CF562" s="50"/>
      <c r="CG562" s="50"/>
      <c r="CH562" s="50"/>
      <c r="CI562" s="50"/>
      <c r="CJ562" s="50"/>
      <c r="CK562" s="50"/>
      <c r="CL562" s="50"/>
      <c r="CM562" s="50"/>
    </row>
    <row r="563" spans="1:91" ht="14.25" customHeight="1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  <c r="BO563" s="50"/>
      <c r="BP563" s="50"/>
      <c r="BQ563" s="50"/>
      <c r="BR563" s="50"/>
      <c r="BS563" s="50"/>
      <c r="BT563" s="50"/>
      <c r="BU563" s="50"/>
      <c r="BV563" s="50"/>
      <c r="BW563" s="50"/>
      <c r="BX563" s="50"/>
      <c r="BY563" s="50"/>
      <c r="BZ563" s="50"/>
      <c r="CA563" s="50"/>
      <c r="CB563" s="50"/>
      <c r="CC563" s="50"/>
      <c r="CD563" s="50"/>
      <c r="CE563" s="50"/>
      <c r="CF563" s="50"/>
      <c r="CG563" s="50"/>
      <c r="CH563" s="50"/>
      <c r="CI563" s="50"/>
      <c r="CJ563" s="50"/>
      <c r="CK563" s="50"/>
      <c r="CL563" s="50"/>
      <c r="CM563" s="50"/>
    </row>
    <row r="564" spans="1:91" ht="14.25" customHeight="1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  <c r="BO564" s="50"/>
      <c r="BP564" s="50"/>
      <c r="BQ564" s="50"/>
      <c r="BR564" s="50"/>
      <c r="BS564" s="50"/>
      <c r="BT564" s="50"/>
      <c r="BU564" s="50"/>
      <c r="BV564" s="50"/>
      <c r="BW564" s="50"/>
      <c r="BX564" s="50"/>
      <c r="BY564" s="50"/>
      <c r="BZ564" s="50"/>
      <c r="CA564" s="50"/>
      <c r="CB564" s="50"/>
      <c r="CC564" s="50"/>
      <c r="CD564" s="50"/>
      <c r="CE564" s="50"/>
      <c r="CF564" s="50"/>
      <c r="CG564" s="50"/>
      <c r="CH564" s="50"/>
      <c r="CI564" s="50"/>
      <c r="CJ564" s="50"/>
      <c r="CK564" s="50"/>
      <c r="CL564" s="50"/>
      <c r="CM564" s="50"/>
    </row>
    <row r="565" spans="1:91" ht="14.25" customHeight="1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  <c r="BO565" s="50"/>
      <c r="BP565" s="50"/>
      <c r="BQ565" s="50"/>
      <c r="BR565" s="50"/>
      <c r="BS565" s="50"/>
      <c r="BT565" s="50"/>
      <c r="BU565" s="50"/>
      <c r="BV565" s="50"/>
      <c r="BW565" s="50"/>
      <c r="BX565" s="50"/>
      <c r="BY565" s="50"/>
      <c r="BZ565" s="50"/>
      <c r="CA565" s="50"/>
      <c r="CB565" s="50"/>
      <c r="CC565" s="50"/>
      <c r="CD565" s="50"/>
      <c r="CE565" s="50"/>
      <c r="CF565" s="50"/>
      <c r="CG565" s="50"/>
      <c r="CH565" s="50"/>
      <c r="CI565" s="50"/>
      <c r="CJ565" s="50"/>
      <c r="CK565" s="50"/>
      <c r="CL565" s="50"/>
      <c r="CM565" s="50"/>
    </row>
    <row r="566" spans="1:91" ht="14.25" customHeight="1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  <c r="BO566" s="50"/>
      <c r="BP566" s="50"/>
      <c r="BQ566" s="50"/>
      <c r="BR566" s="50"/>
      <c r="BS566" s="50"/>
      <c r="BT566" s="50"/>
      <c r="BU566" s="50"/>
      <c r="BV566" s="50"/>
      <c r="BW566" s="50"/>
      <c r="BX566" s="50"/>
      <c r="BY566" s="50"/>
      <c r="BZ566" s="50"/>
      <c r="CA566" s="50"/>
      <c r="CB566" s="50"/>
      <c r="CC566" s="50"/>
      <c r="CD566" s="50"/>
      <c r="CE566" s="50"/>
      <c r="CF566" s="50"/>
      <c r="CG566" s="50"/>
      <c r="CH566" s="50"/>
      <c r="CI566" s="50"/>
      <c r="CJ566" s="50"/>
      <c r="CK566" s="50"/>
      <c r="CL566" s="50"/>
      <c r="CM566" s="50"/>
    </row>
    <row r="567" spans="1:91" ht="14.25" customHeight="1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  <c r="BO567" s="50"/>
      <c r="BP567" s="50"/>
      <c r="BQ567" s="50"/>
      <c r="BR567" s="50"/>
      <c r="BS567" s="50"/>
      <c r="BT567" s="50"/>
      <c r="BU567" s="50"/>
      <c r="BV567" s="50"/>
      <c r="BW567" s="50"/>
      <c r="BX567" s="50"/>
      <c r="BY567" s="50"/>
      <c r="BZ567" s="50"/>
      <c r="CA567" s="50"/>
      <c r="CB567" s="50"/>
      <c r="CC567" s="50"/>
      <c r="CD567" s="50"/>
      <c r="CE567" s="50"/>
      <c r="CF567" s="50"/>
      <c r="CG567" s="50"/>
      <c r="CH567" s="50"/>
      <c r="CI567" s="50"/>
      <c r="CJ567" s="50"/>
      <c r="CK567" s="50"/>
      <c r="CL567" s="50"/>
      <c r="CM567" s="50"/>
    </row>
    <row r="568" spans="1:91" ht="14.25" customHeight="1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  <c r="AT568" s="50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  <c r="BO568" s="50"/>
      <c r="BP568" s="50"/>
      <c r="BQ568" s="50"/>
      <c r="BR568" s="50"/>
      <c r="BS568" s="50"/>
      <c r="BT568" s="50"/>
      <c r="BU568" s="50"/>
      <c r="BV568" s="50"/>
      <c r="BW568" s="50"/>
      <c r="BX568" s="50"/>
      <c r="BY568" s="50"/>
      <c r="BZ568" s="50"/>
      <c r="CA568" s="50"/>
      <c r="CB568" s="50"/>
      <c r="CC568" s="50"/>
      <c r="CD568" s="50"/>
      <c r="CE568" s="50"/>
      <c r="CF568" s="50"/>
      <c r="CG568" s="50"/>
      <c r="CH568" s="50"/>
      <c r="CI568" s="50"/>
      <c r="CJ568" s="50"/>
      <c r="CK568" s="50"/>
      <c r="CL568" s="50"/>
      <c r="CM568" s="50"/>
    </row>
    <row r="569" spans="1:91" ht="14.25" customHeight="1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  <c r="BO569" s="50"/>
      <c r="BP569" s="50"/>
      <c r="BQ569" s="50"/>
      <c r="BR569" s="50"/>
      <c r="BS569" s="50"/>
      <c r="BT569" s="50"/>
      <c r="BU569" s="50"/>
      <c r="BV569" s="50"/>
      <c r="BW569" s="50"/>
      <c r="BX569" s="50"/>
      <c r="BY569" s="50"/>
      <c r="BZ569" s="50"/>
      <c r="CA569" s="50"/>
      <c r="CB569" s="50"/>
      <c r="CC569" s="50"/>
      <c r="CD569" s="50"/>
      <c r="CE569" s="50"/>
      <c r="CF569" s="50"/>
      <c r="CG569" s="50"/>
      <c r="CH569" s="50"/>
      <c r="CI569" s="50"/>
      <c r="CJ569" s="50"/>
      <c r="CK569" s="50"/>
      <c r="CL569" s="50"/>
      <c r="CM569" s="50"/>
    </row>
    <row r="570" spans="1:91" ht="14.25" customHeight="1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  <c r="BO570" s="50"/>
      <c r="BP570" s="50"/>
      <c r="BQ570" s="50"/>
      <c r="BR570" s="50"/>
      <c r="BS570" s="50"/>
      <c r="BT570" s="50"/>
      <c r="BU570" s="50"/>
      <c r="BV570" s="50"/>
      <c r="BW570" s="50"/>
      <c r="BX570" s="50"/>
      <c r="BY570" s="50"/>
      <c r="BZ570" s="50"/>
      <c r="CA570" s="50"/>
      <c r="CB570" s="50"/>
      <c r="CC570" s="50"/>
      <c r="CD570" s="50"/>
      <c r="CE570" s="50"/>
      <c r="CF570" s="50"/>
      <c r="CG570" s="50"/>
      <c r="CH570" s="50"/>
      <c r="CI570" s="50"/>
      <c r="CJ570" s="50"/>
      <c r="CK570" s="50"/>
      <c r="CL570" s="50"/>
      <c r="CM570" s="50"/>
    </row>
    <row r="571" spans="1:91" ht="14.25" customHeight="1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  <c r="BO571" s="50"/>
      <c r="BP571" s="50"/>
      <c r="BQ571" s="50"/>
      <c r="BR571" s="50"/>
      <c r="BS571" s="50"/>
      <c r="BT571" s="50"/>
      <c r="BU571" s="50"/>
      <c r="BV571" s="50"/>
      <c r="BW571" s="50"/>
      <c r="BX571" s="50"/>
      <c r="BY571" s="50"/>
      <c r="BZ571" s="50"/>
      <c r="CA571" s="50"/>
      <c r="CB571" s="50"/>
      <c r="CC571" s="50"/>
      <c r="CD571" s="50"/>
      <c r="CE571" s="50"/>
      <c r="CF571" s="50"/>
      <c r="CG571" s="50"/>
      <c r="CH571" s="50"/>
      <c r="CI571" s="50"/>
      <c r="CJ571" s="50"/>
      <c r="CK571" s="50"/>
      <c r="CL571" s="50"/>
      <c r="CM571" s="50"/>
    </row>
    <row r="572" spans="1:91" ht="14.25" customHeight="1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  <c r="BO572" s="50"/>
      <c r="BP572" s="50"/>
      <c r="BQ572" s="50"/>
      <c r="BR572" s="50"/>
      <c r="BS572" s="50"/>
      <c r="BT572" s="50"/>
      <c r="BU572" s="50"/>
      <c r="BV572" s="50"/>
      <c r="BW572" s="50"/>
      <c r="BX572" s="50"/>
      <c r="BY572" s="50"/>
      <c r="BZ572" s="50"/>
      <c r="CA572" s="50"/>
      <c r="CB572" s="50"/>
      <c r="CC572" s="50"/>
      <c r="CD572" s="50"/>
      <c r="CE572" s="50"/>
      <c r="CF572" s="50"/>
      <c r="CG572" s="50"/>
      <c r="CH572" s="50"/>
      <c r="CI572" s="50"/>
      <c r="CJ572" s="50"/>
      <c r="CK572" s="50"/>
      <c r="CL572" s="50"/>
      <c r="CM572" s="50"/>
    </row>
    <row r="573" spans="1:91" ht="14.25" customHeight="1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  <c r="BO573" s="50"/>
      <c r="BP573" s="50"/>
      <c r="BQ573" s="50"/>
      <c r="BR573" s="50"/>
      <c r="BS573" s="50"/>
      <c r="BT573" s="50"/>
      <c r="BU573" s="50"/>
      <c r="BV573" s="50"/>
      <c r="BW573" s="50"/>
      <c r="BX573" s="50"/>
      <c r="BY573" s="50"/>
      <c r="BZ573" s="50"/>
      <c r="CA573" s="50"/>
      <c r="CB573" s="50"/>
      <c r="CC573" s="50"/>
      <c r="CD573" s="50"/>
      <c r="CE573" s="50"/>
      <c r="CF573" s="50"/>
      <c r="CG573" s="50"/>
      <c r="CH573" s="50"/>
      <c r="CI573" s="50"/>
      <c r="CJ573" s="50"/>
      <c r="CK573" s="50"/>
      <c r="CL573" s="50"/>
      <c r="CM573" s="50"/>
    </row>
    <row r="574" spans="1:91" ht="14.25" customHeight="1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  <c r="BO574" s="50"/>
      <c r="BP574" s="50"/>
      <c r="BQ574" s="50"/>
      <c r="BR574" s="50"/>
      <c r="BS574" s="50"/>
      <c r="BT574" s="50"/>
      <c r="BU574" s="50"/>
      <c r="BV574" s="50"/>
      <c r="BW574" s="50"/>
      <c r="BX574" s="50"/>
      <c r="BY574" s="50"/>
      <c r="BZ574" s="50"/>
      <c r="CA574" s="50"/>
      <c r="CB574" s="50"/>
      <c r="CC574" s="50"/>
      <c r="CD574" s="50"/>
      <c r="CE574" s="50"/>
      <c r="CF574" s="50"/>
      <c r="CG574" s="50"/>
      <c r="CH574" s="50"/>
      <c r="CI574" s="50"/>
      <c r="CJ574" s="50"/>
      <c r="CK574" s="50"/>
      <c r="CL574" s="50"/>
      <c r="CM574" s="50"/>
    </row>
    <row r="575" spans="1:91" ht="14.25" customHeight="1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  <c r="BO575" s="50"/>
      <c r="BP575" s="50"/>
      <c r="BQ575" s="50"/>
      <c r="BR575" s="50"/>
      <c r="BS575" s="50"/>
      <c r="BT575" s="50"/>
      <c r="BU575" s="50"/>
      <c r="BV575" s="50"/>
      <c r="BW575" s="50"/>
      <c r="BX575" s="50"/>
      <c r="BY575" s="50"/>
      <c r="BZ575" s="50"/>
      <c r="CA575" s="50"/>
      <c r="CB575" s="50"/>
      <c r="CC575" s="50"/>
      <c r="CD575" s="50"/>
      <c r="CE575" s="50"/>
      <c r="CF575" s="50"/>
      <c r="CG575" s="50"/>
      <c r="CH575" s="50"/>
      <c r="CI575" s="50"/>
      <c r="CJ575" s="50"/>
      <c r="CK575" s="50"/>
      <c r="CL575" s="50"/>
      <c r="CM575" s="50"/>
    </row>
    <row r="576" spans="1:91" ht="14.25" customHeight="1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  <c r="BO576" s="50"/>
      <c r="BP576" s="50"/>
      <c r="BQ576" s="50"/>
      <c r="BR576" s="50"/>
      <c r="BS576" s="50"/>
      <c r="BT576" s="50"/>
      <c r="BU576" s="50"/>
      <c r="BV576" s="50"/>
      <c r="BW576" s="50"/>
      <c r="BX576" s="50"/>
      <c r="BY576" s="50"/>
      <c r="BZ576" s="50"/>
      <c r="CA576" s="50"/>
      <c r="CB576" s="50"/>
      <c r="CC576" s="50"/>
      <c r="CD576" s="50"/>
      <c r="CE576" s="50"/>
      <c r="CF576" s="50"/>
      <c r="CG576" s="50"/>
      <c r="CH576" s="50"/>
      <c r="CI576" s="50"/>
      <c r="CJ576" s="50"/>
      <c r="CK576" s="50"/>
      <c r="CL576" s="50"/>
      <c r="CM576" s="50"/>
    </row>
    <row r="577" spans="1:91" ht="14.25" customHeight="1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  <c r="BO577" s="50"/>
      <c r="BP577" s="50"/>
      <c r="BQ577" s="50"/>
      <c r="BR577" s="50"/>
      <c r="BS577" s="50"/>
      <c r="BT577" s="50"/>
      <c r="BU577" s="50"/>
      <c r="BV577" s="50"/>
      <c r="BW577" s="50"/>
      <c r="BX577" s="50"/>
      <c r="BY577" s="50"/>
      <c r="BZ577" s="50"/>
      <c r="CA577" s="50"/>
      <c r="CB577" s="50"/>
      <c r="CC577" s="50"/>
      <c r="CD577" s="50"/>
      <c r="CE577" s="50"/>
      <c r="CF577" s="50"/>
      <c r="CG577" s="50"/>
      <c r="CH577" s="50"/>
      <c r="CI577" s="50"/>
      <c r="CJ577" s="50"/>
      <c r="CK577" s="50"/>
      <c r="CL577" s="50"/>
      <c r="CM577" s="50"/>
    </row>
    <row r="578" spans="1:91" ht="14.25" customHeight="1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  <c r="BO578" s="50"/>
      <c r="BP578" s="50"/>
      <c r="BQ578" s="50"/>
      <c r="BR578" s="50"/>
      <c r="BS578" s="50"/>
      <c r="BT578" s="50"/>
      <c r="BU578" s="50"/>
      <c r="BV578" s="50"/>
      <c r="BW578" s="50"/>
      <c r="BX578" s="50"/>
      <c r="BY578" s="50"/>
      <c r="BZ578" s="50"/>
      <c r="CA578" s="50"/>
      <c r="CB578" s="50"/>
      <c r="CC578" s="50"/>
      <c r="CD578" s="50"/>
      <c r="CE578" s="50"/>
      <c r="CF578" s="50"/>
      <c r="CG578" s="50"/>
      <c r="CH578" s="50"/>
      <c r="CI578" s="50"/>
      <c r="CJ578" s="50"/>
      <c r="CK578" s="50"/>
      <c r="CL578" s="50"/>
      <c r="CM578" s="50"/>
    </row>
    <row r="579" spans="1:91" ht="14.25" customHeight="1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  <c r="BO579" s="50"/>
      <c r="BP579" s="50"/>
      <c r="BQ579" s="50"/>
      <c r="BR579" s="50"/>
      <c r="BS579" s="50"/>
      <c r="BT579" s="50"/>
      <c r="BU579" s="50"/>
      <c r="BV579" s="50"/>
      <c r="BW579" s="50"/>
      <c r="BX579" s="50"/>
      <c r="BY579" s="50"/>
      <c r="BZ579" s="50"/>
      <c r="CA579" s="50"/>
      <c r="CB579" s="50"/>
      <c r="CC579" s="50"/>
      <c r="CD579" s="50"/>
      <c r="CE579" s="50"/>
      <c r="CF579" s="50"/>
      <c r="CG579" s="50"/>
      <c r="CH579" s="50"/>
      <c r="CI579" s="50"/>
      <c r="CJ579" s="50"/>
      <c r="CK579" s="50"/>
      <c r="CL579" s="50"/>
      <c r="CM579" s="50"/>
    </row>
    <row r="580" spans="1:91" ht="14.25" customHeight="1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  <c r="BO580" s="50"/>
      <c r="BP580" s="50"/>
      <c r="BQ580" s="50"/>
      <c r="BR580" s="50"/>
      <c r="BS580" s="50"/>
      <c r="BT580" s="50"/>
      <c r="BU580" s="50"/>
      <c r="BV580" s="50"/>
      <c r="BW580" s="50"/>
      <c r="BX580" s="50"/>
      <c r="BY580" s="50"/>
      <c r="BZ580" s="50"/>
      <c r="CA580" s="50"/>
      <c r="CB580" s="50"/>
      <c r="CC580" s="50"/>
      <c r="CD580" s="50"/>
      <c r="CE580" s="50"/>
      <c r="CF580" s="50"/>
      <c r="CG580" s="50"/>
      <c r="CH580" s="50"/>
      <c r="CI580" s="50"/>
      <c r="CJ580" s="50"/>
      <c r="CK580" s="50"/>
      <c r="CL580" s="50"/>
      <c r="CM580" s="50"/>
    </row>
    <row r="581" spans="1:91" ht="14.25" customHeight="1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  <c r="BO581" s="50"/>
      <c r="BP581" s="50"/>
      <c r="BQ581" s="50"/>
      <c r="BR581" s="50"/>
      <c r="BS581" s="50"/>
      <c r="BT581" s="50"/>
      <c r="BU581" s="50"/>
      <c r="BV581" s="50"/>
      <c r="BW581" s="50"/>
      <c r="BX581" s="50"/>
      <c r="BY581" s="50"/>
      <c r="BZ581" s="50"/>
      <c r="CA581" s="50"/>
      <c r="CB581" s="50"/>
      <c r="CC581" s="50"/>
      <c r="CD581" s="50"/>
      <c r="CE581" s="50"/>
      <c r="CF581" s="50"/>
      <c r="CG581" s="50"/>
      <c r="CH581" s="50"/>
      <c r="CI581" s="50"/>
      <c r="CJ581" s="50"/>
      <c r="CK581" s="50"/>
      <c r="CL581" s="50"/>
      <c r="CM581" s="50"/>
    </row>
    <row r="582" spans="1:91" ht="14.25" customHeight="1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  <c r="BO582" s="50"/>
      <c r="BP582" s="50"/>
      <c r="BQ582" s="50"/>
      <c r="BR582" s="50"/>
      <c r="BS582" s="50"/>
      <c r="BT582" s="50"/>
      <c r="BU582" s="50"/>
      <c r="BV582" s="50"/>
      <c r="BW582" s="50"/>
      <c r="BX582" s="50"/>
      <c r="BY582" s="50"/>
      <c r="BZ582" s="50"/>
      <c r="CA582" s="50"/>
      <c r="CB582" s="50"/>
      <c r="CC582" s="50"/>
      <c r="CD582" s="50"/>
      <c r="CE582" s="50"/>
      <c r="CF582" s="50"/>
      <c r="CG582" s="50"/>
      <c r="CH582" s="50"/>
      <c r="CI582" s="50"/>
      <c r="CJ582" s="50"/>
      <c r="CK582" s="50"/>
      <c r="CL582" s="50"/>
      <c r="CM582" s="50"/>
    </row>
    <row r="583" spans="1:91" ht="14.25" customHeight="1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  <c r="BO583" s="50"/>
      <c r="BP583" s="50"/>
      <c r="BQ583" s="50"/>
      <c r="BR583" s="50"/>
      <c r="BS583" s="50"/>
      <c r="BT583" s="50"/>
      <c r="BU583" s="50"/>
      <c r="BV583" s="50"/>
      <c r="BW583" s="50"/>
      <c r="BX583" s="50"/>
      <c r="BY583" s="50"/>
      <c r="BZ583" s="50"/>
      <c r="CA583" s="50"/>
      <c r="CB583" s="50"/>
      <c r="CC583" s="50"/>
      <c r="CD583" s="50"/>
      <c r="CE583" s="50"/>
      <c r="CF583" s="50"/>
      <c r="CG583" s="50"/>
      <c r="CH583" s="50"/>
      <c r="CI583" s="50"/>
      <c r="CJ583" s="50"/>
      <c r="CK583" s="50"/>
      <c r="CL583" s="50"/>
      <c r="CM583" s="50"/>
    </row>
    <row r="584" spans="1:91" ht="14.25" customHeight="1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  <c r="BO584" s="50"/>
      <c r="BP584" s="50"/>
      <c r="BQ584" s="50"/>
      <c r="BR584" s="50"/>
      <c r="BS584" s="50"/>
      <c r="BT584" s="50"/>
      <c r="BU584" s="50"/>
      <c r="BV584" s="50"/>
      <c r="BW584" s="50"/>
      <c r="BX584" s="50"/>
      <c r="BY584" s="50"/>
      <c r="BZ584" s="50"/>
      <c r="CA584" s="50"/>
      <c r="CB584" s="50"/>
      <c r="CC584" s="50"/>
      <c r="CD584" s="50"/>
      <c r="CE584" s="50"/>
      <c r="CF584" s="50"/>
      <c r="CG584" s="50"/>
      <c r="CH584" s="50"/>
      <c r="CI584" s="50"/>
      <c r="CJ584" s="50"/>
      <c r="CK584" s="50"/>
      <c r="CL584" s="50"/>
      <c r="CM584" s="50"/>
    </row>
    <row r="585" spans="1:91" ht="14.25" customHeight="1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  <c r="BO585" s="50"/>
      <c r="BP585" s="50"/>
      <c r="BQ585" s="50"/>
      <c r="BR585" s="50"/>
      <c r="BS585" s="50"/>
      <c r="BT585" s="50"/>
      <c r="BU585" s="50"/>
      <c r="BV585" s="50"/>
      <c r="BW585" s="50"/>
      <c r="BX585" s="50"/>
      <c r="BY585" s="50"/>
      <c r="BZ585" s="50"/>
      <c r="CA585" s="50"/>
      <c r="CB585" s="50"/>
      <c r="CC585" s="50"/>
      <c r="CD585" s="50"/>
      <c r="CE585" s="50"/>
      <c r="CF585" s="50"/>
      <c r="CG585" s="50"/>
      <c r="CH585" s="50"/>
      <c r="CI585" s="50"/>
      <c r="CJ585" s="50"/>
      <c r="CK585" s="50"/>
      <c r="CL585" s="50"/>
      <c r="CM585" s="50"/>
    </row>
    <row r="586" spans="1:91" ht="14.25" customHeight="1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  <c r="BO586" s="50"/>
      <c r="BP586" s="50"/>
      <c r="BQ586" s="50"/>
      <c r="BR586" s="50"/>
      <c r="BS586" s="50"/>
      <c r="BT586" s="50"/>
      <c r="BU586" s="50"/>
      <c r="BV586" s="50"/>
      <c r="BW586" s="50"/>
      <c r="BX586" s="50"/>
      <c r="BY586" s="50"/>
      <c r="BZ586" s="50"/>
      <c r="CA586" s="50"/>
      <c r="CB586" s="50"/>
      <c r="CC586" s="50"/>
      <c r="CD586" s="50"/>
      <c r="CE586" s="50"/>
      <c r="CF586" s="50"/>
      <c r="CG586" s="50"/>
      <c r="CH586" s="50"/>
      <c r="CI586" s="50"/>
      <c r="CJ586" s="50"/>
      <c r="CK586" s="50"/>
      <c r="CL586" s="50"/>
      <c r="CM586" s="50"/>
    </row>
    <row r="587" spans="1:91" ht="14.25" customHeight="1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  <c r="BO587" s="50"/>
      <c r="BP587" s="50"/>
      <c r="BQ587" s="50"/>
      <c r="BR587" s="50"/>
      <c r="BS587" s="50"/>
      <c r="BT587" s="50"/>
      <c r="BU587" s="50"/>
      <c r="BV587" s="50"/>
      <c r="BW587" s="50"/>
      <c r="BX587" s="50"/>
      <c r="BY587" s="50"/>
      <c r="BZ587" s="50"/>
      <c r="CA587" s="50"/>
      <c r="CB587" s="50"/>
      <c r="CC587" s="50"/>
      <c r="CD587" s="50"/>
      <c r="CE587" s="50"/>
      <c r="CF587" s="50"/>
      <c r="CG587" s="50"/>
      <c r="CH587" s="50"/>
      <c r="CI587" s="50"/>
      <c r="CJ587" s="50"/>
      <c r="CK587" s="50"/>
      <c r="CL587" s="50"/>
      <c r="CM587" s="50"/>
    </row>
    <row r="588" spans="1:91" ht="14.25" customHeight="1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  <c r="BO588" s="50"/>
      <c r="BP588" s="50"/>
      <c r="BQ588" s="50"/>
      <c r="BR588" s="50"/>
      <c r="BS588" s="50"/>
      <c r="BT588" s="50"/>
      <c r="BU588" s="50"/>
      <c r="BV588" s="50"/>
      <c r="BW588" s="50"/>
      <c r="BX588" s="50"/>
      <c r="BY588" s="50"/>
      <c r="BZ588" s="50"/>
      <c r="CA588" s="50"/>
      <c r="CB588" s="50"/>
      <c r="CC588" s="50"/>
      <c r="CD588" s="50"/>
      <c r="CE588" s="50"/>
      <c r="CF588" s="50"/>
      <c r="CG588" s="50"/>
      <c r="CH588" s="50"/>
      <c r="CI588" s="50"/>
      <c r="CJ588" s="50"/>
      <c r="CK588" s="50"/>
      <c r="CL588" s="50"/>
      <c r="CM588" s="50"/>
    </row>
    <row r="589" spans="1:91" ht="14.25" customHeight="1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  <c r="BO589" s="50"/>
      <c r="BP589" s="50"/>
      <c r="BQ589" s="50"/>
      <c r="BR589" s="50"/>
      <c r="BS589" s="50"/>
      <c r="BT589" s="50"/>
      <c r="BU589" s="50"/>
      <c r="BV589" s="50"/>
      <c r="BW589" s="50"/>
      <c r="BX589" s="50"/>
      <c r="BY589" s="50"/>
      <c r="BZ589" s="50"/>
      <c r="CA589" s="50"/>
      <c r="CB589" s="50"/>
      <c r="CC589" s="50"/>
      <c r="CD589" s="50"/>
      <c r="CE589" s="50"/>
      <c r="CF589" s="50"/>
      <c r="CG589" s="50"/>
      <c r="CH589" s="50"/>
      <c r="CI589" s="50"/>
      <c r="CJ589" s="50"/>
      <c r="CK589" s="50"/>
      <c r="CL589" s="50"/>
      <c r="CM589" s="50"/>
    </row>
    <row r="590" spans="1:91" ht="14.25" customHeight="1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  <c r="BO590" s="50"/>
      <c r="BP590" s="50"/>
      <c r="BQ590" s="50"/>
      <c r="BR590" s="50"/>
      <c r="BS590" s="50"/>
      <c r="BT590" s="50"/>
      <c r="BU590" s="50"/>
      <c r="BV590" s="50"/>
      <c r="BW590" s="50"/>
      <c r="BX590" s="50"/>
      <c r="BY590" s="50"/>
      <c r="BZ590" s="50"/>
      <c r="CA590" s="50"/>
      <c r="CB590" s="50"/>
      <c r="CC590" s="50"/>
      <c r="CD590" s="50"/>
      <c r="CE590" s="50"/>
      <c r="CF590" s="50"/>
      <c r="CG590" s="50"/>
      <c r="CH590" s="50"/>
      <c r="CI590" s="50"/>
      <c r="CJ590" s="50"/>
      <c r="CK590" s="50"/>
      <c r="CL590" s="50"/>
      <c r="CM590" s="50"/>
    </row>
    <row r="591" spans="1:91" ht="14.25" customHeight="1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  <c r="BO591" s="50"/>
      <c r="BP591" s="50"/>
      <c r="BQ591" s="50"/>
      <c r="BR591" s="50"/>
      <c r="BS591" s="50"/>
      <c r="BT591" s="50"/>
      <c r="BU591" s="50"/>
      <c r="BV591" s="50"/>
      <c r="BW591" s="50"/>
      <c r="BX591" s="50"/>
      <c r="BY591" s="50"/>
      <c r="BZ591" s="50"/>
      <c r="CA591" s="50"/>
      <c r="CB591" s="50"/>
      <c r="CC591" s="50"/>
      <c r="CD591" s="50"/>
      <c r="CE591" s="50"/>
      <c r="CF591" s="50"/>
      <c r="CG591" s="50"/>
      <c r="CH591" s="50"/>
      <c r="CI591" s="50"/>
      <c r="CJ591" s="50"/>
      <c r="CK591" s="50"/>
      <c r="CL591" s="50"/>
      <c r="CM591" s="50"/>
    </row>
    <row r="592" spans="1:91" ht="14.25" customHeight="1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  <c r="BO592" s="50"/>
      <c r="BP592" s="50"/>
      <c r="BQ592" s="50"/>
      <c r="BR592" s="50"/>
      <c r="BS592" s="50"/>
      <c r="BT592" s="50"/>
      <c r="BU592" s="50"/>
      <c r="BV592" s="50"/>
      <c r="BW592" s="50"/>
      <c r="BX592" s="50"/>
      <c r="BY592" s="50"/>
      <c r="BZ592" s="50"/>
      <c r="CA592" s="50"/>
      <c r="CB592" s="50"/>
      <c r="CC592" s="50"/>
      <c r="CD592" s="50"/>
      <c r="CE592" s="50"/>
      <c r="CF592" s="50"/>
      <c r="CG592" s="50"/>
      <c r="CH592" s="50"/>
      <c r="CI592" s="50"/>
      <c r="CJ592" s="50"/>
      <c r="CK592" s="50"/>
      <c r="CL592" s="50"/>
      <c r="CM592" s="50"/>
    </row>
    <row r="593" spans="1:91" ht="14.25" customHeight="1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  <c r="BO593" s="50"/>
      <c r="BP593" s="50"/>
      <c r="BQ593" s="50"/>
      <c r="BR593" s="50"/>
      <c r="BS593" s="50"/>
      <c r="BT593" s="50"/>
      <c r="BU593" s="50"/>
      <c r="BV593" s="50"/>
      <c r="BW593" s="50"/>
      <c r="BX593" s="50"/>
      <c r="BY593" s="50"/>
      <c r="BZ593" s="50"/>
      <c r="CA593" s="50"/>
      <c r="CB593" s="50"/>
      <c r="CC593" s="50"/>
      <c r="CD593" s="50"/>
      <c r="CE593" s="50"/>
      <c r="CF593" s="50"/>
      <c r="CG593" s="50"/>
      <c r="CH593" s="50"/>
      <c r="CI593" s="50"/>
      <c r="CJ593" s="50"/>
      <c r="CK593" s="50"/>
      <c r="CL593" s="50"/>
      <c r="CM593" s="50"/>
    </row>
    <row r="594" spans="1:91" ht="14.25" customHeight="1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  <c r="BO594" s="50"/>
      <c r="BP594" s="50"/>
      <c r="BQ594" s="50"/>
      <c r="BR594" s="50"/>
      <c r="BS594" s="50"/>
      <c r="BT594" s="50"/>
      <c r="BU594" s="50"/>
      <c r="BV594" s="50"/>
      <c r="BW594" s="50"/>
      <c r="BX594" s="50"/>
      <c r="BY594" s="50"/>
      <c r="BZ594" s="50"/>
      <c r="CA594" s="50"/>
      <c r="CB594" s="50"/>
      <c r="CC594" s="50"/>
      <c r="CD594" s="50"/>
      <c r="CE594" s="50"/>
      <c r="CF594" s="50"/>
      <c r="CG594" s="50"/>
      <c r="CH594" s="50"/>
      <c r="CI594" s="50"/>
      <c r="CJ594" s="50"/>
      <c r="CK594" s="50"/>
      <c r="CL594" s="50"/>
      <c r="CM594" s="50"/>
    </row>
    <row r="595" spans="1:91" ht="14.25" customHeight="1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  <c r="BO595" s="50"/>
      <c r="BP595" s="50"/>
      <c r="BQ595" s="50"/>
      <c r="BR595" s="50"/>
      <c r="BS595" s="50"/>
      <c r="BT595" s="50"/>
      <c r="BU595" s="50"/>
      <c r="BV595" s="50"/>
      <c r="BW595" s="50"/>
      <c r="BX595" s="50"/>
      <c r="BY595" s="50"/>
      <c r="BZ595" s="50"/>
      <c r="CA595" s="50"/>
      <c r="CB595" s="50"/>
      <c r="CC595" s="50"/>
      <c r="CD595" s="50"/>
      <c r="CE595" s="50"/>
      <c r="CF595" s="50"/>
      <c r="CG595" s="50"/>
      <c r="CH595" s="50"/>
      <c r="CI595" s="50"/>
      <c r="CJ595" s="50"/>
      <c r="CK595" s="50"/>
      <c r="CL595" s="50"/>
      <c r="CM595" s="50"/>
    </row>
    <row r="596" spans="1:91" ht="14.25" customHeight="1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  <c r="BO596" s="50"/>
      <c r="BP596" s="50"/>
      <c r="BQ596" s="50"/>
      <c r="BR596" s="50"/>
      <c r="BS596" s="50"/>
      <c r="BT596" s="50"/>
      <c r="BU596" s="50"/>
      <c r="BV596" s="50"/>
      <c r="BW596" s="50"/>
      <c r="BX596" s="50"/>
      <c r="BY596" s="50"/>
      <c r="BZ596" s="50"/>
      <c r="CA596" s="50"/>
      <c r="CB596" s="50"/>
      <c r="CC596" s="50"/>
      <c r="CD596" s="50"/>
      <c r="CE596" s="50"/>
      <c r="CF596" s="50"/>
      <c r="CG596" s="50"/>
      <c r="CH596" s="50"/>
      <c r="CI596" s="50"/>
      <c r="CJ596" s="50"/>
      <c r="CK596" s="50"/>
      <c r="CL596" s="50"/>
      <c r="CM596" s="50"/>
    </row>
    <row r="597" spans="1:91" ht="14.25" customHeight="1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  <c r="BO597" s="50"/>
      <c r="BP597" s="50"/>
      <c r="BQ597" s="50"/>
      <c r="BR597" s="50"/>
      <c r="BS597" s="50"/>
      <c r="BT597" s="50"/>
      <c r="BU597" s="50"/>
      <c r="BV597" s="50"/>
      <c r="BW597" s="50"/>
      <c r="BX597" s="50"/>
      <c r="BY597" s="50"/>
      <c r="BZ597" s="50"/>
      <c r="CA597" s="50"/>
      <c r="CB597" s="50"/>
      <c r="CC597" s="50"/>
      <c r="CD597" s="50"/>
      <c r="CE597" s="50"/>
      <c r="CF597" s="50"/>
      <c r="CG597" s="50"/>
      <c r="CH597" s="50"/>
      <c r="CI597" s="50"/>
      <c r="CJ597" s="50"/>
      <c r="CK597" s="50"/>
      <c r="CL597" s="50"/>
      <c r="CM597" s="50"/>
    </row>
    <row r="598" spans="1:91" ht="14.25" customHeight="1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  <c r="BO598" s="50"/>
      <c r="BP598" s="50"/>
      <c r="BQ598" s="50"/>
      <c r="BR598" s="50"/>
      <c r="BS598" s="50"/>
      <c r="BT598" s="50"/>
      <c r="BU598" s="50"/>
      <c r="BV598" s="50"/>
      <c r="BW598" s="50"/>
      <c r="BX598" s="50"/>
      <c r="BY598" s="50"/>
      <c r="BZ598" s="50"/>
      <c r="CA598" s="50"/>
      <c r="CB598" s="50"/>
      <c r="CC598" s="50"/>
      <c r="CD598" s="50"/>
      <c r="CE598" s="50"/>
      <c r="CF598" s="50"/>
      <c r="CG598" s="50"/>
      <c r="CH598" s="50"/>
      <c r="CI598" s="50"/>
      <c r="CJ598" s="50"/>
      <c r="CK598" s="50"/>
      <c r="CL598" s="50"/>
      <c r="CM598" s="50"/>
    </row>
    <row r="599" spans="1:91" ht="14.25" customHeight="1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  <c r="BO599" s="50"/>
      <c r="BP599" s="50"/>
      <c r="BQ599" s="50"/>
      <c r="BR599" s="50"/>
      <c r="BS599" s="50"/>
      <c r="BT599" s="50"/>
      <c r="BU599" s="50"/>
      <c r="BV599" s="50"/>
      <c r="BW599" s="50"/>
      <c r="BX599" s="50"/>
      <c r="BY599" s="50"/>
      <c r="BZ599" s="50"/>
      <c r="CA599" s="50"/>
      <c r="CB599" s="50"/>
      <c r="CC599" s="50"/>
      <c r="CD599" s="50"/>
      <c r="CE599" s="50"/>
      <c r="CF599" s="50"/>
      <c r="CG599" s="50"/>
      <c r="CH599" s="50"/>
      <c r="CI599" s="50"/>
      <c r="CJ599" s="50"/>
      <c r="CK599" s="50"/>
      <c r="CL599" s="50"/>
      <c r="CM599" s="50"/>
    </row>
    <row r="600" spans="1:91" ht="14.25" customHeight="1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  <c r="BO600" s="50"/>
      <c r="BP600" s="50"/>
      <c r="BQ600" s="50"/>
      <c r="BR600" s="50"/>
      <c r="BS600" s="50"/>
      <c r="BT600" s="50"/>
      <c r="BU600" s="50"/>
      <c r="BV600" s="50"/>
      <c r="BW600" s="50"/>
      <c r="BX600" s="50"/>
      <c r="BY600" s="50"/>
      <c r="BZ600" s="50"/>
      <c r="CA600" s="50"/>
      <c r="CB600" s="50"/>
      <c r="CC600" s="50"/>
      <c r="CD600" s="50"/>
      <c r="CE600" s="50"/>
      <c r="CF600" s="50"/>
      <c r="CG600" s="50"/>
      <c r="CH600" s="50"/>
      <c r="CI600" s="50"/>
      <c r="CJ600" s="50"/>
      <c r="CK600" s="50"/>
      <c r="CL600" s="50"/>
      <c r="CM600" s="50"/>
    </row>
    <row r="601" spans="1:91" ht="14.25" customHeight="1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  <c r="BO601" s="50"/>
      <c r="BP601" s="50"/>
      <c r="BQ601" s="50"/>
      <c r="BR601" s="50"/>
      <c r="BS601" s="50"/>
      <c r="BT601" s="50"/>
      <c r="BU601" s="50"/>
      <c r="BV601" s="50"/>
      <c r="BW601" s="50"/>
      <c r="BX601" s="50"/>
      <c r="BY601" s="50"/>
      <c r="BZ601" s="50"/>
      <c r="CA601" s="50"/>
      <c r="CB601" s="50"/>
      <c r="CC601" s="50"/>
      <c r="CD601" s="50"/>
      <c r="CE601" s="50"/>
      <c r="CF601" s="50"/>
      <c r="CG601" s="50"/>
      <c r="CH601" s="50"/>
      <c r="CI601" s="50"/>
      <c r="CJ601" s="50"/>
      <c r="CK601" s="50"/>
      <c r="CL601" s="50"/>
      <c r="CM601" s="50"/>
    </row>
    <row r="602" spans="1:91" ht="14.25" customHeight="1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  <c r="BO602" s="50"/>
      <c r="BP602" s="50"/>
      <c r="BQ602" s="50"/>
      <c r="BR602" s="50"/>
      <c r="BS602" s="50"/>
      <c r="BT602" s="50"/>
      <c r="BU602" s="50"/>
      <c r="BV602" s="50"/>
      <c r="BW602" s="50"/>
      <c r="BX602" s="50"/>
      <c r="BY602" s="50"/>
      <c r="BZ602" s="50"/>
      <c r="CA602" s="50"/>
      <c r="CB602" s="50"/>
      <c r="CC602" s="50"/>
      <c r="CD602" s="50"/>
      <c r="CE602" s="50"/>
      <c r="CF602" s="50"/>
      <c r="CG602" s="50"/>
      <c r="CH602" s="50"/>
      <c r="CI602" s="50"/>
      <c r="CJ602" s="50"/>
      <c r="CK602" s="50"/>
      <c r="CL602" s="50"/>
      <c r="CM602" s="50"/>
    </row>
    <row r="603" spans="1:91" ht="14.25" customHeight="1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  <c r="BO603" s="50"/>
      <c r="BP603" s="50"/>
      <c r="BQ603" s="50"/>
      <c r="BR603" s="50"/>
      <c r="BS603" s="50"/>
      <c r="BT603" s="50"/>
      <c r="BU603" s="50"/>
      <c r="BV603" s="50"/>
      <c r="BW603" s="50"/>
      <c r="BX603" s="50"/>
      <c r="BY603" s="50"/>
      <c r="BZ603" s="50"/>
      <c r="CA603" s="50"/>
      <c r="CB603" s="50"/>
      <c r="CC603" s="50"/>
      <c r="CD603" s="50"/>
      <c r="CE603" s="50"/>
      <c r="CF603" s="50"/>
      <c r="CG603" s="50"/>
      <c r="CH603" s="50"/>
      <c r="CI603" s="50"/>
      <c r="CJ603" s="50"/>
      <c r="CK603" s="50"/>
      <c r="CL603" s="50"/>
      <c r="CM603" s="50"/>
    </row>
    <row r="604" spans="1:91" ht="14.25" customHeight="1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  <c r="BO604" s="50"/>
      <c r="BP604" s="50"/>
      <c r="BQ604" s="50"/>
      <c r="BR604" s="50"/>
      <c r="BS604" s="50"/>
      <c r="BT604" s="50"/>
      <c r="BU604" s="50"/>
      <c r="BV604" s="50"/>
      <c r="BW604" s="50"/>
      <c r="BX604" s="50"/>
      <c r="BY604" s="50"/>
      <c r="BZ604" s="50"/>
      <c r="CA604" s="50"/>
      <c r="CB604" s="50"/>
      <c r="CC604" s="50"/>
      <c r="CD604" s="50"/>
      <c r="CE604" s="50"/>
      <c r="CF604" s="50"/>
      <c r="CG604" s="50"/>
      <c r="CH604" s="50"/>
      <c r="CI604" s="50"/>
      <c r="CJ604" s="50"/>
      <c r="CK604" s="50"/>
      <c r="CL604" s="50"/>
      <c r="CM604" s="50"/>
    </row>
    <row r="605" spans="1:91" ht="14.25" customHeight="1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  <c r="BP605" s="50"/>
      <c r="BQ605" s="50"/>
      <c r="BR605" s="50"/>
      <c r="BS605" s="50"/>
      <c r="BT605" s="50"/>
      <c r="BU605" s="50"/>
      <c r="BV605" s="50"/>
      <c r="BW605" s="50"/>
      <c r="BX605" s="50"/>
      <c r="BY605" s="50"/>
      <c r="BZ605" s="50"/>
      <c r="CA605" s="50"/>
      <c r="CB605" s="50"/>
      <c r="CC605" s="50"/>
      <c r="CD605" s="50"/>
      <c r="CE605" s="50"/>
      <c r="CF605" s="50"/>
      <c r="CG605" s="50"/>
      <c r="CH605" s="50"/>
      <c r="CI605" s="50"/>
      <c r="CJ605" s="50"/>
      <c r="CK605" s="50"/>
      <c r="CL605" s="50"/>
      <c r="CM605" s="50"/>
    </row>
    <row r="606" spans="1:91" ht="14.25" customHeight="1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  <c r="BO606" s="50"/>
      <c r="BP606" s="50"/>
      <c r="BQ606" s="50"/>
      <c r="BR606" s="50"/>
      <c r="BS606" s="50"/>
      <c r="BT606" s="50"/>
      <c r="BU606" s="50"/>
      <c r="BV606" s="50"/>
      <c r="BW606" s="50"/>
      <c r="BX606" s="50"/>
      <c r="BY606" s="50"/>
      <c r="BZ606" s="50"/>
      <c r="CA606" s="50"/>
      <c r="CB606" s="50"/>
      <c r="CC606" s="50"/>
      <c r="CD606" s="50"/>
      <c r="CE606" s="50"/>
      <c r="CF606" s="50"/>
      <c r="CG606" s="50"/>
      <c r="CH606" s="50"/>
      <c r="CI606" s="50"/>
      <c r="CJ606" s="50"/>
      <c r="CK606" s="50"/>
      <c r="CL606" s="50"/>
      <c r="CM606" s="50"/>
    </row>
    <row r="607" spans="1:91" ht="14.25" customHeight="1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  <c r="BO607" s="50"/>
      <c r="BP607" s="50"/>
      <c r="BQ607" s="50"/>
      <c r="BR607" s="50"/>
      <c r="BS607" s="50"/>
      <c r="BT607" s="50"/>
      <c r="BU607" s="50"/>
      <c r="BV607" s="50"/>
      <c r="BW607" s="50"/>
      <c r="BX607" s="50"/>
      <c r="BY607" s="50"/>
      <c r="BZ607" s="50"/>
      <c r="CA607" s="50"/>
      <c r="CB607" s="50"/>
      <c r="CC607" s="50"/>
      <c r="CD607" s="50"/>
      <c r="CE607" s="50"/>
      <c r="CF607" s="50"/>
      <c r="CG607" s="50"/>
      <c r="CH607" s="50"/>
      <c r="CI607" s="50"/>
      <c r="CJ607" s="50"/>
      <c r="CK607" s="50"/>
      <c r="CL607" s="50"/>
      <c r="CM607" s="50"/>
    </row>
    <row r="608" spans="1:91" ht="14.25" customHeight="1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  <c r="BO608" s="50"/>
      <c r="BP608" s="50"/>
      <c r="BQ608" s="50"/>
      <c r="BR608" s="50"/>
      <c r="BS608" s="50"/>
      <c r="BT608" s="50"/>
      <c r="BU608" s="50"/>
      <c r="BV608" s="50"/>
      <c r="BW608" s="50"/>
      <c r="BX608" s="50"/>
      <c r="BY608" s="50"/>
      <c r="BZ608" s="50"/>
      <c r="CA608" s="50"/>
      <c r="CB608" s="50"/>
      <c r="CC608" s="50"/>
      <c r="CD608" s="50"/>
      <c r="CE608" s="50"/>
      <c r="CF608" s="50"/>
      <c r="CG608" s="50"/>
      <c r="CH608" s="50"/>
      <c r="CI608" s="50"/>
      <c r="CJ608" s="50"/>
      <c r="CK608" s="50"/>
      <c r="CL608" s="50"/>
      <c r="CM608" s="50"/>
    </row>
    <row r="609" spans="1:91" ht="14.25" customHeight="1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  <c r="BO609" s="50"/>
      <c r="BP609" s="50"/>
      <c r="BQ609" s="50"/>
      <c r="BR609" s="50"/>
      <c r="BS609" s="50"/>
      <c r="BT609" s="50"/>
      <c r="BU609" s="50"/>
      <c r="BV609" s="50"/>
      <c r="BW609" s="50"/>
      <c r="BX609" s="50"/>
      <c r="BY609" s="50"/>
      <c r="BZ609" s="50"/>
      <c r="CA609" s="50"/>
      <c r="CB609" s="50"/>
      <c r="CC609" s="50"/>
      <c r="CD609" s="50"/>
      <c r="CE609" s="50"/>
      <c r="CF609" s="50"/>
      <c r="CG609" s="50"/>
      <c r="CH609" s="50"/>
      <c r="CI609" s="50"/>
      <c r="CJ609" s="50"/>
      <c r="CK609" s="50"/>
      <c r="CL609" s="50"/>
      <c r="CM609" s="50"/>
    </row>
    <row r="610" spans="1:91" ht="14.25" customHeight="1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  <c r="BO610" s="50"/>
      <c r="BP610" s="50"/>
      <c r="BQ610" s="50"/>
      <c r="BR610" s="50"/>
      <c r="BS610" s="50"/>
      <c r="BT610" s="50"/>
      <c r="BU610" s="50"/>
      <c r="BV610" s="50"/>
      <c r="BW610" s="50"/>
      <c r="BX610" s="50"/>
      <c r="BY610" s="50"/>
      <c r="BZ610" s="50"/>
      <c r="CA610" s="50"/>
      <c r="CB610" s="50"/>
      <c r="CC610" s="50"/>
      <c r="CD610" s="50"/>
      <c r="CE610" s="50"/>
      <c r="CF610" s="50"/>
      <c r="CG610" s="50"/>
      <c r="CH610" s="50"/>
      <c r="CI610" s="50"/>
      <c r="CJ610" s="50"/>
      <c r="CK610" s="50"/>
      <c r="CL610" s="50"/>
      <c r="CM610" s="50"/>
    </row>
    <row r="611" spans="1:91" ht="14.25" customHeight="1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  <c r="BO611" s="50"/>
      <c r="BP611" s="50"/>
      <c r="BQ611" s="50"/>
      <c r="BR611" s="50"/>
      <c r="BS611" s="50"/>
      <c r="BT611" s="50"/>
      <c r="BU611" s="50"/>
      <c r="BV611" s="50"/>
      <c r="BW611" s="50"/>
      <c r="BX611" s="50"/>
      <c r="BY611" s="50"/>
      <c r="BZ611" s="50"/>
      <c r="CA611" s="50"/>
      <c r="CB611" s="50"/>
      <c r="CC611" s="50"/>
      <c r="CD611" s="50"/>
      <c r="CE611" s="50"/>
      <c r="CF611" s="50"/>
      <c r="CG611" s="50"/>
      <c r="CH611" s="50"/>
      <c r="CI611" s="50"/>
      <c r="CJ611" s="50"/>
      <c r="CK611" s="50"/>
      <c r="CL611" s="50"/>
      <c r="CM611" s="50"/>
    </row>
    <row r="612" spans="1:91" ht="14.25" customHeight="1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  <c r="BO612" s="50"/>
      <c r="BP612" s="50"/>
      <c r="BQ612" s="50"/>
      <c r="BR612" s="50"/>
      <c r="BS612" s="50"/>
      <c r="BT612" s="50"/>
      <c r="BU612" s="50"/>
      <c r="BV612" s="50"/>
      <c r="BW612" s="50"/>
      <c r="BX612" s="50"/>
      <c r="BY612" s="50"/>
      <c r="BZ612" s="50"/>
      <c r="CA612" s="50"/>
      <c r="CB612" s="50"/>
      <c r="CC612" s="50"/>
      <c r="CD612" s="50"/>
      <c r="CE612" s="50"/>
      <c r="CF612" s="50"/>
      <c r="CG612" s="50"/>
      <c r="CH612" s="50"/>
      <c r="CI612" s="50"/>
      <c r="CJ612" s="50"/>
      <c r="CK612" s="50"/>
      <c r="CL612" s="50"/>
      <c r="CM612" s="50"/>
    </row>
    <row r="613" spans="1:91" ht="14.25" customHeight="1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  <c r="BO613" s="50"/>
      <c r="BP613" s="50"/>
      <c r="BQ613" s="50"/>
      <c r="BR613" s="50"/>
      <c r="BS613" s="50"/>
      <c r="BT613" s="50"/>
      <c r="BU613" s="50"/>
      <c r="BV613" s="50"/>
      <c r="BW613" s="50"/>
      <c r="BX613" s="50"/>
      <c r="BY613" s="50"/>
      <c r="BZ613" s="50"/>
      <c r="CA613" s="50"/>
      <c r="CB613" s="50"/>
      <c r="CC613" s="50"/>
      <c r="CD613" s="50"/>
      <c r="CE613" s="50"/>
      <c r="CF613" s="50"/>
      <c r="CG613" s="50"/>
      <c r="CH613" s="50"/>
      <c r="CI613" s="50"/>
      <c r="CJ613" s="50"/>
      <c r="CK613" s="50"/>
      <c r="CL613" s="50"/>
      <c r="CM613" s="50"/>
    </row>
    <row r="614" spans="1:91" ht="14.25" customHeight="1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  <c r="BO614" s="50"/>
      <c r="BP614" s="50"/>
      <c r="BQ614" s="50"/>
      <c r="BR614" s="50"/>
      <c r="BS614" s="50"/>
      <c r="BT614" s="50"/>
      <c r="BU614" s="50"/>
      <c r="BV614" s="50"/>
      <c r="BW614" s="50"/>
      <c r="BX614" s="50"/>
      <c r="BY614" s="50"/>
      <c r="BZ614" s="50"/>
      <c r="CA614" s="50"/>
      <c r="CB614" s="50"/>
      <c r="CC614" s="50"/>
      <c r="CD614" s="50"/>
      <c r="CE614" s="50"/>
      <c r="CF614" s="50"/>
      <c r="CG614" s="50"/>
      <c r="CH614" s="50"/>
      <c r="CI614" s="50"/>
      <c r="CJ614" s="50"/>
      <c r="CK614" s="50"/>
      <c r="CL614" s="50"/>
      <c r="CM614" s="50"/>
    </row>
    <row r="615" spans="1:91" ht="14.25" customHeight="1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  <c r="BO615" s="50"/>
      <c r="BP615" s="50"/>
      <c r="BQ615" s="50"/>
      <c r="BR615" s="50"/>
      <c r="BS615" s="50"/>
      <c r="BT615" s="50"/>
      <c r="BU615" s="50"/>
      <c r="BV615" s="50"/>
      <c r="BW615" s="50"/>
      <c r="BX615" s="50"/>
      <c r="BY615" s="50"/>
      <c r="BZ615" s="50"/>
      <c r="CA615" s="50"/>
      <c r="CB615" s="50"/>
      <c r="CC615" s="50"/>
      <c r="CD615" s="50"/>
      <c r="CE615" s="50"/>
      <c r="CF615" s="50"/>
      <c r="CG615" s="50"/>
      <c r="CH615" s="50"/>
      <c r="CI615" s="50"/>
      <c r="CJ615" s="50"/>
      <c r="CK615" s="50"/>
      <c r="CL615" s="50"/>
      <c r="CM615" s="50"/>
    </row>
    <row r="616" spans="1:91" ht="14.25" customHeight="1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  <c r="BO616" s="50"/>
      <c r="BP616" s="50"/>
      <c r="BQ616" s="50"/>
      <c r="BR616" s="50"/>
      <c r="BS616" s="50"/>
      <c r="BT616" s="50"/>
      <c r="BU616" s="50"/>
      <c r="BV616" s="50"/>
      <c r="BW616" s="50"/>
      <c r="BX616" s="50"/>
      <c r="BY616" s="50"/>
      <c r="BZ616" s="50"/>
      <c r="CA616" s="50"/>
      <c r="CB616" s="50"/>
      <c r="CC616" s="50"/>
      <c r="CD616" s="50"/>
      <c r="CE616" s="50"/>
      <c r="CF616" s="50"/>
      <c r="CG616" s="50"/>
      <c r="CH616" s="50"/>
      <c r="CI616" s="50"/>
      <c r="CJ616" s="50"/>
      <c r="CK616" s="50"/>
      <c r="CL616" s="50"/>
      <c r="CM616" s="50"/>
    </row>
    <row r="617" spans="1:91" ht="14.25" customHeight="1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  <c r="BO617" s="50"/>
      <c r="BP617" s="50"/>
      <c r="BQ617" s="50"/>
      <c r="BR617" s="50"/>
      <c r="BS617" s="50"/>
      <c r="BT617" s="50"/>
      <c r="BU617" s="50"/>
      <c r="BV617" s="50"/>
      <c r="BW617" s="50"/>
      <c r="BX617" s="50"/>
      <c r="BY617" s="50"/>
      <c r="BZ617" s="50"/>
      <c r="CA617" s="50"/>
      <c r="CB617" s="50"/>
      <c r="CC617" s="50"/>
      <c r="CD617" s="50"/>
      <c r="CE617" s="50"/>
      <c r="CF617" s="50"/>
      <c r="CG617" s="50"/>
      <c r="CH617" s="50"/>
      <c r="CI617" s="50"/>
      <c r="CJ617" s="50"/>
      <c r="CK617" s="50"/>
      <c r="CL617" s="50"/>
      <c r="CM617" s="50"/>
    </row>
    <row r="618" spans="1:91" ht="14.25" customHeight="1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  <c r="BO618" s="50"/>
      <c r="BP618" s="50"/>
      <c r="BQ618" s="50"/>
      <c r="BR618" s="50"/>
      <c r="BS618" s="50"/>
      <c r="BT618" s="50"/>
      <c r="BU618" s="50"/>
      <c r="BV618" s="50"/>
      <c r="BW618" s="50"/>
      <c r="BX618" s="50"/>
      <c r="BY618" s="50"/>
      <c r="BZ618" s="50"/>
      <c r="CA618" s="50"/>
      <c r="CB618" s="50"/>
      <c r="CC618" s="50"/>
      <c r="CD618" s="50"/>
      <c r="CE618" s="50"/>
      <c r="CF618" s="50"/>
      <c r="CG618" s="50"/>
      <c r="CH618" s="50"/>
      <c r="CI618" s="50"/>
      <c r="CJ618" s="50"/>
      <c r="CK618" s="50"/>
      <c r="CL618" s="50"/>
      <c r="CM618" s="50"/>
    </row>
    <row r="619" spans="1:91" ht="14.25" customHeight="1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  <c r="BO619" s="50"/>
      <c r="BP619" s="50"/>
      <c r="BQ619" s="50"/>
      <c r="BR619" s="50"/>
      <c r="BS619" s="50"/>
      <c r="BT619" s="50"/>
      <c r="BU619" s="50"/>
      <c r="BV619" s="50"/>
      <c r="BW619" s="50"/>
      <c r="BX619" s="50"/>
      <c r="BY619" s="50"/>
      <c r="BZ619" s="50"/>
      <c r="CA619" s="50"/>
      <c r="CB619" s="50"/>
      <c r="CC619" s="50"/>
      <c r="CD619" s="50"/>
      <c r="CE619" s="50"/>
      <c r="CF619" s="50"/>
      <c r="CG619" s="50"/>
      <c r="CH619" s="50"/>
      <c r="CI619" s="50"/>
      <c r="CJ619" s="50"/>
      <c r="CK619" s="50"/>
      <c r="CL619" s="50"/>
      <c r="CM619" s="50"/>
    </row>
    <row r="620" spans="1:91" ht="14.25" customHeight="1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  <c r="BO620" s="50"/>
      <c r="BP620" s="50"/>
      <c r="BQ620" s="50"/>
      <c r="BR620" s="50"/>
      <c r="BS620" s="50"/>
      <c r="BT620" s="50"/>
      <c r="BU620" s="50"/>
      <c r="BV620" s="50"/>
      <c r="BW620" s="50"/>
      <c r="BX620" s="50"/>
      <c r="BY620" s="50"/>
      <c r="BZ620" s="50"/>
      <c r="CA620" s="50"/>
      <c r="CB620" s="50"/>
      <c r="CC620" s="50"/>
      <c r="CD620" s="50"/>
      <c r="CE620" s="50"/>
      <c r="CF620" s="50"/>
      <c r="CG620" s="50"/>
      <c r="CH620" s="50"/>
      <c r="CI620" s="50"/>
      <c r="CJ620" s="50"/>
      <c r="CK620" s="50"/>
      <c r="CL620" s="50"/>
      <c r="CM620" s="50"/>
    </row>
    <row r="621" spans="1:91" ht="14.25" customHeight="1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  <c r="BO621" s="50"/>
      <c r="BP621" s="50"/>
      <c r="BQ621" s="50"/>
      <c r="BR621" s="50"/>
      <c r="BS621" s="50"/>
      <c r="BT621" s="50"/>
      <c r="BU621" s="50"/>
      <c r="BV621" s="50"/>
      <c r="BW621" s="50"/>
      <c r="BX621" s="50"/>
      <c r="BY621" s="50"/>
      <c r="BZ621" s="50"/>
      <c r="CA621" s="50"/>
      <c r="CB621" s="50"/>
      <c r="CC621" s="50"/>
      <c r="CD621" s="50"/>
      <c r="CE621" s="50"/>
      <c r="CF621" s="50"/>
      <c r="CG621" s="50"/>
      <c r="CH621" s="50"/>
      <c r="CI621" s="50"/>
      <c r="CJ621" s="50"/>
      <c r="CK621" s="50"/>
      <c r="CL621" s="50"/>
      <c r="CM621" s="50"/>
    </row>
    <row r="622" spans="1:91" ht="14.25" customHeight="1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  <c r="BO622" s="50"/>
      <c r="BP622" s="50"/>
      <c r="BQ622" s="50"/>
      <c r="BR622" s="50"/>
      <c r="BS622" s="50"/>
      <c r="BT622" s="50"/>
      <c r="BU622" s="50"/>
      <c r="BV622" s="50"/>
      <c r="BW622" s="50"/>
      <c r="BX622" s="50"/>
      <c r="BY622" s="50"/>
      <c r="BZ622" s="50"/>
      <c r="CA622" s="50"/>
      <c r="CB622" s="50"/>
      <c r="CC622" s="50"/>
      <c r="CD622" s="50"/>
      <c r="CE622" s="50"/>
      <c r="CF622" s="50"/>
      <c r="CG622" s="50"/>
      <c r="CH622" s="50"/>
      <c r="CI622" s="50"/>
      <c r="CJ622" s="50"/>
      <c r="CK622" s="50"/>
      <c r="CL622" s="50"/>
      <c r="CM622" s="50"/>
    </row>
    <row r="623" spans="1:91" ht="14.25" customHeight="1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  <c r="BO623" s="50"/>
      <c r="BP623" s="50"/>
      <c r="BQ623" s="50"/>
      <c r="BR623" s="50"/>
      <c r="BS623" s="50"/>
      <c r="BT623" s="50"/>
      <c r="BU623" s="50"/>
      <c r="BV623" s="50"/>
      <c r="BW623" s="50"/>
      <c r="BX623" s="50"/>
      <c r="BY623" s="50"/>
      <c r="BZ623" s="50"/>
      <c r="CA623" s="50"/>
      <c r="CB623" s="50"/>
      <c r="CC623" s="50"/>
      <c r="CD623" s="50"/>
      <c r="CE623" s="50"/>
      <c r="CF623" s="50"/>
      <c r="CG623" s="50"/>
      <c r="CH623" s="50"/>
      <c r="CI623" s="50"/>
      <c r="CJ623" s="50"/>
      <c r="CK623" s="50"/>
      <c r="CL623" s="50"/>
      <c r="CM623" s="50"/>
    </row>
    <row r="624" spans="1:91" ht="14.25" customHeight="1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  <c r="BO624" s="50"/>
      <c r="BP624" s="50"/>
      <c r="BQ624" s="50"/>
      <c r="BR624" s="50"/>
      <c r="BS624" s="50"/>
      <c r="BT624" s="50"/>
      <c r="BU624" s="50"/>
      <c r="BV624" s="50"/>
      <c r="BW624" s="50"/>
      <c r="BX624" s="50"/>
      <c r="BY624" s="50"/>
      <c r="BZ624" s="50"/>
      <c r="CA624" s="50"/>
      <c r="CB624" s="50"/>
      <c r="CC624" s="50"/>
      <c r="CD624" s="50"/>
      <c r="CE624" s="50"/>
      <c r="CF624" s="50"/>
      <c r="CG624" s="50"/>
      <c r="CH624" s="50"/>
      <c r="CI624" s="50"/>
      <c r="CJ624" s="50"/>
      <c r="CK624" s="50"/>
      <c r="CL624" s="50"/>
      <c r="CM624" s="50"/>
    </row>
    <row r="625" spans="1:91" ht="14.25" customHeight="1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  <c r="AT625" s="50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  <c r="BO625" s="50"/>
      <c r="BP625" s="50"/>
      <c r="BQ625" s="50"/>
      <c r="BR625" s="50"/>
      <c r="BS625" s="50"/>
      <c r="BT625" s="50"/>
      <c r="BU625" s="50"/>
      <c r="BV625" s="50"/>
      <c r="BW625" s="50"/>
      <c r="BX625" s="50"/>
      <c r="BY625" s="50"/>
      <c r="BZ625" s="50"/>
      <c r="CA625" s="50"/>
      <c r="CB625" s="50"/>
      <c r="CC625" s="50"/>
      <c r="CD625" s="50"/>
      <c r="CE625" s="50"/>
      <c r="CF625" s="50"/>
      <c r="CG625" s="50"/>
      <c r="CH625" s="50"/>
      <c r="CI625" s="50"/>
      <c r="CJ625" s="50"/>
      <c r="CK625" s="50"/>
      <c r="CL625" s="50"/>
      <c r="CM625" s="50"/>
    </row>
    <row r="626" spans="1:91" ht="14.25" customHeight="1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  <c r="BO626" s="50"/>
      <c r="BP626" s="50"/>
      <c r="BQ626" s="50"/>
      <c r="BR626" s="50"/>
      <c r="BS626" s="50"/>
      <c r="BT626" s="50"/>
      <c r="BU626" s="50"/>
      <c r="BV626" s="50"/>
      <c r="BW626" s="50"/>
      <c r="BX626" s="50"/>
      <c r="BY626" s="50"/>
      <c r="BZ626" s="50"/>
      <c r="CA626" s="50"/>
      <c r="CB626" s="50"/>
      <c r="CC626" s="50"/>
      <c r="CD626" s="50"/>
      <c r="CE626" s="50"/>
      <c r="CF626" s="50"/>
      <c r="CG626" s="50"/>
      <c r="CH626" s="50"/>
      <c r="CI626" s="50"/>
      <c r="CJ626" s="50"/>
      <c r="CK626" s="50"/>
      <c r="CL626" s="50"/>
      <c r="CM626" s="50"/>
    </row>
    <row r="627" spans="1:91" ht="14.25" customHeight="1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  <c r="BO627" s="50"/>
      <c r="BP627" s="50"/>
      <c r="BQ627" s="50"/>
      <c r="BR627" s="50"/>
      <c r="BS627" s="50"/>
      <c r="BT627" s="50"/>
      <c r="BU627" s="50"/>
      <c r="BV627" s="50"/>
      <c r="BW627" s="50"/>
      <c r="BX627" s="50"/>
      <c r="BY627" s="50"/>
      <c r="BZ627" s="50"/>
      <c r="CA627" s="50"/>
      <c r="CB627" s="50"/>
      <c r="CC627" s="50"/>
      <c r="CD627" s="50"/>
      <c r="CE627" s="50"/>
      <c r="CF627" s="50"/>
      <c r="CG627" s="50"/>
      <c r="CH627" s="50"/>
      <c r="CI627" s="50"/>
      <c r="CJ627" s="50"/>
      <c r="CK627" s="50"/>
      <c r="CL627" s="50"/>
      <c r="CM627" s="50"/>
    </row>
    <row r="628" spans="1:91" ht="14.25" customHeight="1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  <c r="AT628" s="50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  <c r="BO628" s="50"/>
      <c r="BP628" s="50"/>
      <c r="BQ628" s="50"/>
      <c r="BR628" s="50"/>
      <c r="BS628" s="50"/>
      <c r="BT628" s="50"/>
      <c r="BU628" s="50"/>
      <c r="BV628" s="50"/>
      <c r="BW628" s="50"/>
      <c r="BX628" s="50"/>
      <c r="BY628" s="50"/>
      <c r="BZ628" s="50"/>
      <c r="CA628" s="50"/>
      <c r="CB628" s="50"/>
      <c r="CC628" s="50"/>
      <c r="CD628" s="50"/>
      <c r="CE628" s="50"/>
      <c r="CF628" s="50"/>
      <c r="CG628" s="50"/>
      <c r="CH628" s="50"/>
      <c r="CI628" s="50"/>
      <c r="CJ628" s="50"/>
      <c r="CK628" s="50"/>
      <c r="CL628" s="50"/>
      <c r="CM628" s="50"/>
    </row>
    <row r="629" spans="1:91" ht="14.25" customHeight="1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  <c r="BO629" s="50"/>
      <c r="BP629" s="50"/>
      <c r="BQ629" s="50"/>
      <c r="BR629" s="50"/>
      <c r="BS629" s="50"/>
      <c r="BT629" s="50"/>
      <c r="BU629" s="50"/>
      <c r="BV629" s="50"/>
      <c r="BW629" s="50"/>
      <c r="BX629" s="50"/>
      <c r="BY629" s="50"/>
      <c r="BZ629" s="50"/>
      <c r="CA629" s="50"/>
      <c r="CB629" s="50"/>
      <c r="CC629" s="50"/>
      <c r="CD629" s="50"/>
      <c r="CE629" s="50"/>
      <c r="CF629" s="50"/>
      <c r="CG629" s="50"/>
      <c r="CH629" s="50"/>
      <c r="CI629" s="50"/>
      <c r="CJ629" s="50"/>
      <c r="CK629" s="50"/>
      <c r="CL629" s="50"/>
      <c r="CM629" s="50"/>
    </row>
    <row r="630" spans="1:91" ht="14.25" customHeight="1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  <c r="BO630" s="50"/>
      <c r="BP630" s="50"/>
      <c r="BQ630" s="50"/>
      <c r="BR630" s="50"/>
      <c r="BS630" s="50"/>
      <c r="BT630" s="50"/>
      <c r="BU630" s="50"/>
      <c r="BV630" s="50"/>
      <c r="BW630" s="50"/>
      <c r="BX630" s="50"/>
      <c r="BY630" s="50"/>
      <c r="BZ630" s="50"/>
      <c r="CA630" s="50"/>
      <c r="CB630" s="50"/>
      <c r="CC630" s="50"/>
      <c r="CD630" s="50"/>
      <c r="CE630" s="50"/>
      <c r="CF630" s="50"/>
      <c r="CG630" s="50"/>
      <c r="CH630" s="50"/>
      <c r="CI630" s="50"/>
      <c r="CJ630" s="50"/>
      <c r="CK630" s="50"/>
      <c r="CL630" s="50"/>
      <c r="CM630" s="50"/>
    </row>
    <row r="631" spans="1:91" ht="14.25" customHeight="1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  <c r="BO631" s="50"/>
      <c r="BP631" s="50"/>
      <c r="BQ631" s="50"/>
      <c r="BR631" s="50"/>
      <c r="BS631" s="50"/>
      <c r="BT631" s="50"/>
      <c r="BU631" s="50"/>
      <c r="BV631" s="50"/>
      <c r="BW631" s="50"/>
      <c r="BX631" s="50"/>
      <c r="BY631" s="50"/>
      <c r="BZ631" s="50"/>
      <c r="CA631" s="50"/>
      <c r="CB631" s="50"/>
      <c r="CC631" s="50"/>
      <c r="CD631" s="50"/>
      <c r="CE631" s="50"/>
      <c r="CF631" s="50"/>
      <c r="CG631" s="50"/>
      <c r="CH631" s="50"/>
      <c r="CI631" s="50"/>
      <c r="CJ631" s="50"/>
      <c r="CK631" s="50"/>
      <c r="CL631" s="50"/>
      <c r="CM631" s="50"/>
    </row>
    <row r="632" spans="1:91" ht="14.25" customHeight="1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  <c r="BO632" s="50"/>
      <c r="BP632" s="50"/>
      <c r="BQ632" s="50"/>
      <c r="BR632" s="50"/>
      <c r="BS632" s="50"/>
      <c r="BT632" s="50"/>
      <c r="BU632" s="50"/>
      <c r="BV632" s="50"/>
      <c r="BW632" s="50"/>
      <c r="BX632" s="50"/>
      <c r="BY632" s="50"/>
      <c r="BZ632" s="50"/>
      <c r="CA632" s="50"/>
      <c r="CB632" s="50"/>
      <c r="CC632" s="50"/>
      <c r="CD632" s="50"/>
      <c r="CE632" s="50"/>
      <c r="CF632" s="50"/>
      <c r="CG632" s="50"/>
      <c r="CH632" s="50"/>
      <c r="CI632" s="50"/>
      <c r="CJ632" s="50"/>
      <c r="CK632" s="50"/>
      <c r="CL632" s="50"/>
      <c r="CM632" s="50"/>
    </row>
    <row r="633" spans="1:91" ht="14.25" customHeight="1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  <c r="BO633" s="50"/>
      <c r="BP633" s="50"/>
      <c r="BQ633" s="50"/>
      <c r="BR633" s="50"/>
      <c r="BS633" s="50"/>
      <c r="BT633" s="50"/>
      <c r="BU633" s="50"/>
      <c r="BV633" s="50"/>
      <c r="BW633" s="50"/>
      <c r="BX633" s="50"/>
      <c r="BY633" s="50"/>
      <c r="BZ633" s="50"/>
      <c r="CA633" s="50"/>
      <c r="CB633" s="50"/>
      <c r="CC633" s="50"/>
      <c r="CD633" s="50"/>
      <c r="CE633" s="50"/>
      <c r="CF633" s="50"/>
      <c r="CG633" s="50"/>
      <c r="CH633" s="50"/>
      <c r="CI633" s="50"/>
      <c r="CJ633" s="50"/>
      <c r="CK633" s="50"/>
      <c r="CL633" s="50"/>
      <c r="CM633" s="50"/>
    </row>
    <row r="634" spans="1:91" ht="14.25" customHeight="1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  <c r="BO634" s="50"/>
      <c r="BP634" s="50"/>
      <c r="BQ634" s="50"/>
      <c r="BR634" s="50"/>
      <c r="BS634" s="50"/>
      <c r="BT634" s="50"/>
      <c r="BU634" s="50"/>
      <c r="BV634" s="50"/>
      <c r="BW634" s="50"/>
      <c r="BX634" s="50"/>
      <c r="BY634" s="50"/>
      <c r="BZ634" s="50"/>
      <c r="CA634" s="50"/>
      <c r="CB634" s="50"/>
      <c r="CC634" s="50"/>
      <c r="CD634" s="50"/>
      <c r="CE634" s="50"/>
      <c r="CF634" s="50"/>
      <c r="CG634" s="50"/>
      <c r="CH634" s="50"/>
      <c r="CI634" s="50"/>
      <c r="CJ634" s="50"/>
      <c r="CK634" s="50"/>
      <c r="CL634" s="50"/>
      <c r="CM634" s="50"/>
    </row>
    <row r="635" spans="1:91" ht="14.25" customHeight="1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  <c r="BO635" s="50"/>
      <c r="BP635" s="50"/>
      <c r="BQ635" s="50"/>
      <c r="BR635" s="50"/>
      <c r="BS635" s="50"/>
      <c r="BT635" s="50"/>
      <c r="BU635" s="50"/>
      <c r="BV635" s="50"/>
      <c r="BW635" s="50"/>
      <c r="BX635" s="50"/>
      <c r="BY635" s="50"/>
      <c r="BZ635" s="50"/>
      <c r="CA635" s="50"/>
      <c r="CB635" s="50"/>
      <c r="CC635" s="50"/>
      <c r="CD635" s="50"/>
      <c r="CE635" s="50"/>
      <c r="CF635" s="50"/>
      <c r="CG635" s="50"/>
      <c r="CH635" s="50"/>
      <c r="CI635" s="50"/>
      <c r="CJ635" s="50"/>
      <c r="CK635" s="50"/>
      <c r="CL635" s="50"/>
      <c r="CM635" s="50"/>
    </row>
    <row r="636" spans="1:91" ht="14.25" customHeight="1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  <c r="BO636" s="50"/>
      <c r="BP636" s="50"/>
      <c r="BQ636" s="50"/>
      <c r="BR636" s="50"/>
      <c r="BS636" s="50"/>
      <c r="BT636" s="50"/>
      <c r="BU636" s="50"/>
      <c r="BV636" s="50"/>
      <c r="BW636" s="50"/>
      <c r="BX636" s="50"/>
      <c r="BY636" s="50"/>
      <c r="BZ636" s="50"/>
      <c r="CA636" s="50"/>
      <c r="CB636" s="50"/>
      <c r="CC636" s="50"/>
      <c r="CD636" s="50"/>
      <c r="CE636" s="50"/>
      <c r="CF636" s="50"/>
      <c r="CG636" s="50"/>
      <c r="CH636" s="50"/>
      <c r="CI636" s="50"/>
      <c r="CJ636" s="50"/>
      <c r="CK636" s="50"/>
      <c r="CL636" s="50"/>
      <c r="CM636" s="50"/>
    </row>
    <row r="637" spans="1:91" ht="14.25" customHeight="1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  <c r="BO637" s="50"/>
      <c r="BP637" s="50"/>
      <c r="BQ637" s="50"/>
      <c r="BR637" s="50"/>
      <c r="BS637" s="50"/>
      <c r="BT637" s="50"/>
      <c r="BU637" s="50"/>
      <c r="BV637" s="50"/>
      <c r="BW637" s="50"/>
      <c r="BX637" s="50"/>
      <c r="BY637" s="50"/>
      <c r="BZ637" s="50"/>
      <c r="CA637" s="50"/>
      <c r="CB637" s="50"/>
      <c r="CC637" s="50"/>
      <c r="CD637" s="50"/>
      <c r="CE637" s="50"/>
      <c r="CF637" s="50"/>
      <c r="CG637" s="50"/>
      <c r="CH637" s="50"/>
      <c r="CI637" s="50"/>
      <c r="CJ637" s="50"/>
      <c r="CK637" s="50"/>
      <c r="CL637" s="50"/>
      <c r="CM637" s="50"/>
    </row>
    <row r="638" spans="1:91" ht="14.25" customHeight="1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  <c r="BO638" s="50"/>
      <c r="BP638" s="50"/>
      <c r="BQ638" s="50"/>
      <c r="BR638" s="50"/>
      <c r="BS638" s="50"/>
      <c r="BT638" s="50"/>
      <c r="BU638" s="50"/>
      <c r="BV638" s="50"/>
      <c r="BW638" s="50"/>
      <c r="BX638" s="50"/>
      <c r="BY638" s="50"/>
      <c r="BZ638" s="50"/>
      <c r="CA638" s="50"/>
      <c r="CB638" s="50"/>
      <c r="CC638" s="50"/>
      <c r="CD638" s="50"/>
      <c r="CE638" s="50"/>
      <c r="CF638" s="50"/>
      <c r="CG638" s="50"/>
      <c r="CH638" s="50"/>
      <c r="CI638" s="50"/>
      <c r="CJ638" s="50"/>
      <c r="CK638" s="50"/>
      <c r="CL638" s="50"/>
      <c r="CM638" s="50"/>
    </row>
    <row r="639" spans="1:91" ht="14.25" customHeight="1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  <c r="BO639" s="50"/>
      <c r="BP639" s="50"/>
      <c r="BQ639" s="50"/>
      <c r="BR639" s="50"/>
      <c r="BS639" s="50"/>
      <c r="BT639" s="50"/>
      <c r="BU639" s="50"/>
      <c r="BV639" s="50"/>
      <c r="BW639" s="50"/>
      <c r="BX639" s="50"/>
      <c r="BY639" s="50"/>
      <c r="BZ639" s="50"/>
      <c r="CA639" s="50"/>
      <c r="CB639" s="50"/>
      <c r="CC639" s="50"/>
      <c r="CD639" s="50"/>
      <c r="CE639" s="50"/>
      <c r="CF639" s="50"/>
      <c r="CG639" s="50"/>
      <c r="CH639" s="50"/>
      <c r="CI639" s="50"/>
      <c r="CJ639" s="50"/>
      <c r="CK639" s="50"/>
      <c r="CL639" s="50"/>
      <c r="CM639" s="50"/>
    </row>
    <row r="640" spans="1:91" ht="14.25" customHeight="1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  <c r="BO640" s="50"/>
      <c r="BP640" s="50"/>
      <c r="BQ640" s="50"/>
      <c r="BR640" s="50"/>
      <c r="BS640" s="50"/>
      <c r="BT640" s="50"/>
      <c r="BU640" s="50"/>
      <c r="BV640" s="50"/>
      <c r="BW640" s="50"/>
      <c r="BX640" s="50"/>
      <c r="BY640" s="50"/>
      <c r="BZ640" s="50"/>
      <c r="CA640" s="50"/>
      <c r="CB640" s="50"/>
      <c r="CC640" s="50"/>
      <c r="CD640" s="50"/>
      <c r="CE640" s="50"/>
      <c r="CF640" s="50"/>
      <c r="CG640" s="50"/>
      <c r="CH640" s="50"/>
      <c r="CI640" s="50"/>
      <c r="CJ640" s="50"/>
      <c r="CK640" s="50"/>
      <c r="CL640" s="50"/>
      <c r="CM640" s="50"/>
    </row>
    <row r="641" spans="1:91" ht="14.25" customHeight="1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  <c r="BO641" s="50"/>
      <c r="BP641" s="50"/>
      <c r="BQ641" s="50"/>
      <c r="BR641" s="50"/>
      <c r="BS641" s="50"/>
      <c r="BT641" s="50"/>
      <c r="BU641" s="50"/>
      <c r="BV641" s="50"/>
      <c r="BW641" s="50"/>
      <c r="BX641" s="50"/>
      <c r="BY641" s="50"/>
      <c r="BZ641" s="50"/>
      <c r="CA641" s="50"/>
      <c r="CB641" s="50"/>
      <c r="CC641" s="50"/>
      <c r="CD641" s="50"/>
      <c r="CE641" s="50"/>
      <c r="CF641" s="50"/>
      <c r="CG641" s="50"/>
      <c r="CH641" s="50"/>
      <c r="CI641" s="50"/>
      <c r="CJ641" s="50"/>
      <c r="CK641" s="50"/>
      <c r="CL641" s="50"/>
      <c r="CM641" s="50"/>
    </row>
    <row r="642" spans="1:91" ht="14.25" customHeight="1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  <c r="BO642" s="50"/>
      <c r="BP642" s="50"/>
      <c r="BQ642" s="50"/>
      <c r="BR642" s="50"/>
      <c r="BS642" s="50"/>
      <c r="BT642" s="50"/>
      <c r="BU642" s="50"/>
      <c r="BV642" s="50"/>
      <c r="BW642" s="50"/>
      <c r="BX642" s="50"/>
      <c r="BY642" s="50"/>
      <c r="BZ642" s="50"/>
      <c r="CA642" s="50"/>
      <c r="CB642" s="50"/>
      <c r="CC642" s="50"/>
      <c r="CD642" s="50"/>
      <c r="CE642" s="50"/>
      <c r="CF642" s="50"/>
      <c r="CG642" s="50"/>
      <c r="CH642" s="50"/>
      <c r="CI642" s="50"/>
      <c r="CJ642" s="50"/>
      <c r="CK642" s="50"/>
      <c r="CL642" s="50"/>
      <c r="CM642" s="50"/>
    </row>
    <row r="643" spans="1:91" ht="14.25" customHeight="1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  <c r="BO643" s="50"/>
      <c r="BP643" s="50"/>
      <c r="BQ643" s="50"/>
      <c r="BR643" s="50"/>
      <c r="BS643" s="50"/>
      <c r="BT643" s="50"/>
      <c r="BU643" s="50"/>
      <c r="BV643" s="50"/>
      <c r="BW643" s="50"/>
      <c r="BX643" s="50"/>
      <c r="BY643" s="50"/>
      <c r="BZ643" s="50"/>
      <c r="CA643" s="50"/>
      <c r="CB643" s="50"/>
      <c r="CC643" s="50"/>
      <c r="CD643" s="50"/>
      <c r="CE643" s="50"/>
      <c r="CF643" s="50"/>
      <c r="CG643" s="50"/>
      <c r="CH643" s="50"/>
      <c r="CI643" s="50"/>
      <c r="CJ643" s="50"/>
      <c r="CK643" s="50"/>
      <c r="CL643" s="50"/>
      <c r="CM643" s="50"/>
    </row>
    <row r="644" spans="1:91" ht="14.25" customHeight="1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  <c r="BO644" s="50"/>
      <c r="BP644" s="50"/>
      <c r="BQ644" s="50"/>
      <c r="BR644" s="50"/>
      <c r="BS644" s="50"/>
      <c r="BT644" s="50"/>
      <c r="BU644" s="50"/>
      <c r="BV644" s="50"/>
      <c r="BW644" s="50"/>
      <c r="BX644" s="50"/>
      <c r="BY644" s="50"/>
      <c r="BZ644" s="50"/>
      <c r="CA644" s="50"/>
      <c r="CB644" s="50"/>
      <c r="CC644" s="50"/>
      <c r="CD644" s="50"/>
      <c r="CE644" s="50"/>
      <c r="CF644" s="50"/>
      <c r="CG644" s="50"/>
      <c r="CH644" s="50"/>
      <c r="CI644" s="50"/>
      <c r="CJ644" s="50"/>
      <c r="CK644" s="50"/>
      <c r="CL644" s="50"/>
      <c r="CM644" s="50"/>
    </row>
    <row r="645" spans="1:91" ht="14.25" customHeight="1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  <c r="BO645" s="50"/>
      <c r="BP645" s="50"/>
      <c r="BQ645" s="50"/>
      <c r="BR645" s="50"/>
      <c r="BS645" s="50"/>
      <c r="BT645" s="50"/>
      <c r="BU645" s="50"/>
      <c r="BV645" s="50"/>
      <c r="BW645" s="50"/>
      <c r="BX645" s="50"/>
      <c r="BY645" s="50"/>
      <c r="BZ645" s="50"/>
      <c r="CA645" s="50"/>
      <c r="CB645" s="50"/>
      <c r="CC645" s="50"/>
      <c r="CD645" s="50"/>
      <c r="CE645" s="50"/>
      <c r="CF645" s="50"/>
      <c r="CG645" s="50"/>
      <c r="CH645" s="50"/>
      <c r="CI645" s="50"/>
      <c r="CJ645" s="50"/>
      <c r="CK645" s="50"/>
      <c r="CL645" s="50"/>
      <c r="CM645" s="50"/>
    </row>
    <row r="646" spans="1:91" ht="14.25" customHeight="1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50"/>
      <c r="BL646" s="50"/>
      <c r="BM646" s="50"/>
      <c r="BN646" s="50"/>
      <c r="BO646" s="50"/>
      <c r="BP646" s="50"/>
      <c r="BQ646" s="50"/>
      <c r="BR646" s="50"/>
      <c r="BS646" s="50"/>
      <c r="BT646" s="50"/>
      <c r="BU646" s="50"/>
      <c r="BV646" s="50"/>
      <c r="BW646" s="50"/>
      <c r="BX646" s="50"/>
      <c r="BY646" s="50"/>
      <c r="BZ646" s="50"/>
      <c r="CA646" s="50"/>
      <c r="CB646" s="50"/>
      <c r="CC646" s="50"/>
      <c r="CD646" s="50"/>
      <c r="CE646" s="50"/>
      <c r="CF646" s="50"/>
      <c r="CG646" s="50"/>
      <c r="CH646" s="50"/>
      <c r="CI646" s="50"/>
      <c r="CJ646" s="50"/>
      <c r="CK646" s="50"/>
      <c r="CL646" s="50"/>
      <c r="CM646" s="50"/>
    </row>
    <row r="647" spans="1:91" ht="14.25" customHeight="1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50"/>
      <c r="BL647" s="50"/>
      <c r="BM647" s="50"/>
      <c r="BN647" s="50"/>
      <c r="BO647" s="50"/>
      <c r="BP647" s="50"/>
      <c r="BQ647" s="50"/>
      <c r="BR647" s="50"/>
      <c r="BS647" s="50"/>
      <c r="BT647" s="50"/>
      <c r="BU647" s="50"/>
      <c r="BV647" s="50"/>
      <c r="BW647" s="50"/>
      <c r="BX647" s="50"/>
      <c r="BY647" s="50"/>
      <c r="BZ647" s="50"/>
      <c r="CA647" s="50"/>
      <c r="CB647" s="50"/>
      <c r="CC647" s="50"/>
      <c r="CD647" s="50"/>
      <c r="CE647" s="50"/>
      <c r="CF647" s="50"/>
      <c r="CG647" s="50"/>
      <c r="CH647" s="50"/>
      <c r="CI647" s="50"/>
      <c r="CJ647" s="50"/>
      <c r="CK647" s="50"/>
      <c r="CL647" s="50"/>
      <c r="CM647" s="50"/>
    </row>
    <row r="648" spans="1:91" ht="14.25" customHeight="1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50"/>
      <c r="BL648" s="50"/>
      <c r="BM648" s="50"/>
      <c r="BN648" s="50"/>
      <c r="BO648" s="50"/>
      <c r="BP648" s="50"/>
      <c r="BQ648" s="50"/>
      <c r="BR648" s="50"/>
      <c r="BS648" s="50"/>
      <c r="BT648" s="50"/>
      <c r="BU648" s="50"/>
      <c r="BV648" s="50"/>
      <c r="BW648" s="50"/>
      <c r="BX648" s="50"/>
      <c r="BY648" s="50"/>
      <c r="BZ648" s="50"/>
      <c r="CA648" s="50"/>
      <c r="CB648" s="50"/>
      <c r="CC648" s="50"/>
      <c r="CD648" s="50"/>
      <c r="CE648" s="50"/>
      <c r="CF648" s="50"/>
      <c r="CG648" s="50"/>
      <c r="CH648" s="50"/>
      <c r="CI648" s="50"/>
      <c r="CJ648" s="50"/>
      <c r="CK648" s="50"/>
      <c r="CL648" s="50"/>
      <c r="CM648" s="50"/>
    </row>
    <row r="649" spans="1:91" ht="14.25" customHeight="1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50"/>
      <c r="BL649" s="50"/>
      <c r="BM649" s="50"/>
      <c r="BN649" s="50"/>
      <c r="BO649" s="50"/>
      <c r="BP649" s="50"/>
      <c r="BQ649" s="50"/>
      <c r="BR649" s="50"/>
      <c r="BS649" s="50"/>
      <c r="BT649" s="50"/>
      <c r="BU649" s="50"/>
      <c r="BV649" s="50"/>
      <c r="BW649" s="50"/>
      <c r="BX649" s="50"/>
      <c r="BY649" s="50"/>
      <c r="BZ649" s="50"/>
      <c r="CA649" s="50"/>
      <c r="CB649" s="50"/>
      <c r="CC649" s="50"/>
      <c r="CD649" s="50"/>
      <c r="CE649" s="50"/>
      <c r="CF649" s="50"/>
      <c r="CG649" s="50"/>
      <c r="CH649" s="50"/>
      <c r="CI649" s="50"/>
      <c r="CJ649" s="50"/>
      <c r="CK649" s="50"/>
      <c r="CL649" s="50"/>
      <c r="CM649" s="50"/>
    </row>
    <row r="650" spans="1:91" ht="14.25" customHeight="1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50"/>
      <c r="BL650" s="50"/>
      <c r="BM650" s="50"/>
      <c r="BN650" s="50"/>
      <c r="BO650" s="50"/>
      <c r="BP650" s="50"/>
      <c r="BQ650" s="50"/>
      <c r="BR650" s="50"/>
      <c r="BS650" s="50"/>
      <c r="BT650" s="50"/>
      <c r="BU650" s="50"/>
      <c r="BV650" s="50"/>
      <c r="BW650" s="50"/>
      <c r="BX650" s="50"/>
      <c r="BY650" s="50"/>
      <c r="BZ650" s="50"/>
      <c r="CA650" s="50"/>
      <c r="CB650" s="50"/>
      <c r="CC650" s="50"/>
      <c r="CD650" s="50"/>
      <c r="CE650" s="50"/>
      <c r="CF650" s="50"/>
      <c r="CG650" s="50"/>
      <c r="CH650" s="50"/>
      <c r="CI650" s="50"/>
      <c r="CJ650" s="50"/>
      <c r="CK650" s="50"/>
      <c r="CL650" s="50"/>
      <c r="CM650" s="50"/>
    </row>
    <row r="651" spans="1:91" ht="14.25" customHeight="1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  <c r="AZ651" s="50"/>
      <c r="BA651" s="50"/>
      <c r="BB651" s="50"/>
      <c r="BC651" s="50"/>
      <c r="BD651" s="50"/>
      <c r="BE651" s="50"/>
      <c r="BF651" s="50"/>
      <c r="BG651" s="50"/>
      <c r="BH651" s="50"/>
      <c r="BI651" s="50"/>
      <c r="BJ651" s="50"/>
      <c r="BK651" s="50"/>
      <c r="BL651" s="50"/>
      <c r="BM651" s="50"/>
      <c r="BN651" s="50"/>
      <c r="BO651" s="50"/>
      <c r="BP651" s="50"/>
      <c r="BQ651" s="50"/>
      <c r="BR651" s="50"/>
      <c r="BS651" s="50"/>
      <c r="BT651" s="50"/>
      <c r="BU651" s="50"/>
      <c r="BV651" s="50"/>
      <c r="BW651" s="50"/>
      <c r="BX651" s="50"/>
      <c r="BY651" s="50"/>
      <c r="BZ651" s="50"/>
      <c r="CA651" s="50"/>
      <c r="CB651" s="50"/>
      <c r="CC651" s="50"/>
      <c r="CD651" s="50"/>
      <c r="CE651" s="50"/>
      <c r="CF651" s="50"/>
      <c r="CG651" s="50"/>
      <c r="CH651" s="50"/>
      <c r="CI651" s="50"/>
      <c r="CJ651" s="50"/>
      <c r="CK651" s="50"/>
      <c r="CL651" s="50"/>
      <c r="CM651" s="50"/>
    </row>
    <row r="652" spans="1:91" ht="14.25" customHeight="1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  <c r="BO652" s="50"/>
      <c r="BP652" s="50"/>
      <c r="BQ652" s="50"/>
      <c r="BR652" s="50"/>
      <c r="BS652" s="50"/>
      <c r="BT652" s="50"/>
      <c r="BU652" s="50"/>
      <c r="BV652" s="50"/>
      <c r="BW652" s="50"/>
      <c r="BX652" s="50"/>
      <c r="BY652" s="50"/>
      <c r="BZ652" s="50"/>
      <c r="CA652" s="50"/>
      <c r="CB652" s="50"/>
      <c r="CC652" s="50"/>
      <c r="CD652" s="50"/>
      <c r="CE652" s="50"/>
      <c r="CF652" s="50"/>
      <c r="CG652" s="50"/>
      <c r="CH652" s="50"/>
      <c r="CI652" s="50"/>
      <c r="CJ652" s="50"/>
      <c r="CK652" s="50"/>
      <c r="CL652" s="50"/>
      <c r="CM652" s="50"/>
    </row>
    <row r="653" spans="1:91" ht="14.25" customHeight="1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  <c r="BO653" s="50"/>
      <c r="BP653" s="50"/>
      <c r="BQ653" s="50"/>
      <c r="BR653" s="50"/>
      <c r="BS653" s="50"/>
      <c r="BT653" s="50"/>
      <c r="BU653" s="50"/>
      <c r="BV653" s="50"/>
      <c r="BW653" s="50"/>
      <c r="BX653" s="50"/>
      <c r="BY653" s="50"/>
      <c r="BZ653" s="50"/>
      <c r="CA653" s="50"/>
      <c r="CB653" s="50"/>
      <c r="CC653" s="50"/>
      <c r="CD653" s="50"/>
      <c r="CE653" s="50"/>
      <c r="CF653" s="50"/>
      <c r="CG653" s="50"/>
      <c r="CH653" s="50"/>
      <c r="CI653" s="50"/>
      <c r="CJ653" s="50"/>
      <c r="CK653" s="50"/>
      <c r="CL653" s="50"/>
      <c r="CM653" s="50"/>
    </row>
    <row r="654" spans="1:91" ht="14.25" customHeight="1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  <c r="BO654" s="50"/>
      <c r="BP654" s="50"/>
      <c r="BQ654" s="50"/>
      <c r="BR654" s="50"/>
      <c r="BS654" s="50"/>
      <c r="BT654" s="50"/>
      <c r="BU654" s="50"/>
      <c r="BV654" s="50"/>
      <c r="BW654" s="50"/>
      <c r="BX654" s="50"/>
      <c r="BY654" s="50"/>
      <c r="BZ654" s="50"/>
      <c r="CA654" s="50"/>
      <c r="CB654" s="50"/>
      <c r="CC654" s="50"/>
      <c r="CD654" s="50"/>
      <c r="CE654" s="50"/>
      <c r="CF654" s="50"/>
      <c r="CG654" s="50"/>
      <c r="CH654" s="50"/>
      <c r="CI654" s="50"/>
      <c r="CJ654" s="50"/>
      <c r="CK654" s="50"/>
      <c r="CL654" s="50"/>
      <c r="CM654" s="50"/>
    </row>
    <row r="655" spans="1:91" ht="14.25" customHeight="1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  <c r="BG655" s="50"/>
      <c r="BH655" s="50"/>
      <c r="BI655" s="50"/>
      <c r="BJ655" s="50"/>
      <c r="BK655" s="50"/>
      <c r="BL655" s="50"/>
      <c r="BM655" s="50"/>
      <c r="BN655" s="50"/>
      <c r="BO655" s="50"/>
      <c r="BP655" s="50"/>
      <c r="BQ655" s="50"/>
      <c r="BR655" s="50"/>
      <c r="BS655" s="50"/>
      <c r="BT655" s="50"/>
      <c r="BU655" s="50"/>
      <c r="BV655" s="50"/>
      <c r="BW655" s="50"/>
      <c r="BX655" s="50"/>
      <c r="BY655" s="50"/>
      <c r="BZ655" s="50"/>
      <c r="CA655" s="50"/>
      <c r="CB655" s="50"/>
      <c r="CC655" s="50"/>
      <c r="CD655" s="50"/>
      <c r="CE655" s="50"/>
      <c r="CF655" s="50"/>
      <c r="CG655" s="50"/>
      <c r="CH655" s="50"/>
      <c r="CI655" s="50"/>
      <c r="CJ655" s="50"/>
      <c r="CK655" s="50"/>
      <c r="CL655" s="50"/>
      <c r="CM655" s="50"/>
    </row>
    <row r="656" spans="1:91" ht="14.25" customHeight="1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  <c r="AZ656" s="50"/>
      <c r="BA656" s="50"/>
      <c r="BB656" s="50"/>
      <c r="BC656" s="50"/>
      <c r="BD656" s="50"/>
      <c r="BE656" s="50"/>
      <c r="BF656" s="50"/>
      <c r="BG656" s="50"/>
      <c r="BH656" s="50"/>
      <c r="BI656" s="50"/>
      <c r="BJ656" s="50"/>
      <c r="BK656" s="50"/>
      <c r="BL656" s="50"/>
      <c r="BM656" s="50"/>
      <c r="BN656" s="50"/>
      <c r="BO656" s="50"/>
      <c r="BP656" s="50"/>
      <c r="BQ656" s="50"/>
      <c r="BR656" s="50"/>
      <c r="BS656" s="50"/>
      <c r="BT656" s="50"/>
      <c r="BU656" s="50"/>
      <c r="BV656" s="50"/>
      <c r="BW656" s="50"/>
      <c r="BX656" s="50"/>
      <c r="BY656" s="50"/>
      <c r="BZ656" s="50"/>
      <c r="CA656" s="50"/>
      <c r="CB656" s="50"/>
      <c r="CC656" s="50"/>
      <c r="CD656" s="50"/>
      <c r="CE656" s="50"/>
      <c r="CF656" s="50"/>
      <c r="CG656" s="50"/>
      <c r="CH656" s="50"/>
      <c r="CI656" s="50"/>
      <c r="CJ656" s="50"/>
      <c r="CK656" s="50"/>
      <c r="CL656" s="50"/>
      <c r="CM656" s="50"/>
    </row>
    <row r="657" spans="1:91" ht="14.25" customHeight="1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  <c r="AZ657" s="50"/>
      <c r="BA657" s="50"/>
      <c r="BB657" s="50"/>
      <c r="BC657" s="50"/>
      <c r="BD657" s="50"/>
      <c r="BE657" s="50"/>
      <c r="BF657" s="50"/>
      <c r="BG657" s="50"/>
      <c r="BH657" s="50"/>
      <c r="BI657" s="50"/>
      <c r="BJ657" s="50"/>
      <c r="BK657" s="50"/>
      <c r="BL657" s="50"/>
      <c r="BM657" s="50"/>
      <c r="BN657" s="50"/>
      <c r="BO657" s="50"/>
      <c r="BP657" s="50"/>
      <c r="BQ657" s="50"/>
      <c r="BR657" s="50"/>
      <c r="BS657" s="50"/>
      <c r="BT657" s="50"/>
      <c r="BU657" s="50"/>
      <c r="BV657" s="50"/>
      <c r="BW657" s="50"/>
      <c r="BX657" s="50"/>
      <c r="BY657" s="50"/>
      <c r="BZ657" s="50"/>
      <c r="CA657" s="50"/>
      <c r="CB657" s="50"/>
      <c r="CC657" s="50"/>
      <c r="CD657" s="50"/>
      <c r="CE657" s="50"/>
      <c r="CF657" s="50"/>
      <c r="CG657" s="50"/>
      <c r="CH657" s="50"/>
      <c r="CI657" s="50"/>
      <c r="CJ657" s="50"/>
      <c r="CK657" s="50"/>
      <c r="CL657" s="50"/>
      <c r="CM657" s="50"/>
    </row>
    <row r="658" spans="1:91" ht="14.25" customHeight="1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50"/>
      <c r="AV658" s="50"/>
      <c r="AW658" s="50"/>
      <c r="AX658" s="50"/>
      <c r="AY658" s="50"/>
      <c r="AZ658" s="50"/>
      <c r="BA658" s="50"/>
      <c r="BB658" s="50"/>
      <c r="BC658" s="50"/>
      <c r="BD658" s="50"/>
      <c r="BE658" s="50"/>
      <c r="BF658" s="50"/>
      <c r="BG658" s="50"/>
      <c r="BH658" s="50"/>
      <c r="BI658" s="50"/>
      <c r="BJ658" s="50"/>
      <c r="BK658" s="50"/>
      <c r="BL658" s="50"/>
      <c r="BM658" s="50"/>
      <c r="BN658" s="50"/>
      <c r="BO658" s="50"/>
      <c r="BP658" s="50"/>
      <c r="BQ658" s="50"/>
      <c r="BR658" s="50"/>
      <c r="BS658" s="50"/>
      <c r="BT658" s="50"/>
      <c r="BU658" s="50"/>
      <c r="BV658" s="50"/>
      <c r="BW658" s="50"/>
      <c r="BX658" s="50"/>
      <c r="BY658" s="50"/>
      <c r="BZ658" s="50"/>
      <c r="CA658" s="50"/>
      <c r="CB658" s="50"/>
      <c r="CC658" s="50"/>
      <c r="CD658" s="50"/>
      <c r="CE658" s="50"/>
      <c r="CF658" s="50"/>
      <c r="CG658" s="50"/>
      <c r="CH658" s="50"/>
      <c r="CI658" s="50"/>
      <c r="CJ658" s="50"/>
      <c r="CK658" s="50"/>
      <c r="CL658" s="50"/>
      <c r="CM658" s="50"/>
    </row>
    <row r="659" spans="1:91" ht="14.25" customHeight="1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  <c r="AU659" s="50"/>
      <c r="AV659" s="50"/>
      <c r="AW659" s="50"/>
      <c r="AX659" s="50"/>
      <c r="AY659" s="50"/>
      <c r="AZ659" s="50"/>
      <c r="BA659" s="50"/>
      <c r="BB659" s="50"/>
      <c r="BC659" s="50"/>
      <c r="BD659" s="50"/>
      <c r="BE659" s="50"/>
      <c r="BF659" s="50"/>
      <c r="BG659" s="50"/>
      <c r="BH659" s="50"/>
      <c r="BI659" s="50"/>
      <c r="BJ659" s="50"/>
      <c r="BK659" s="50"/>
      <c r="BL659" s="50"/>
      <c r="BM659" s="50"/>
      <c r="BN659" s="50"/>
      <c r="BO659" s="50"/>
      <c r="BP659" s="50"/>
      <c r="BQ659" s="50"/>
      <c r="BR659" s="50"/>
      <c r="BS659" s="50"/>
      <c r="BT659" s="50"/>
      <c r="BU659" s="50"/>
      <c r="BV659" s="50"/>
      <c r="BW659" s="50"/>
      <c r="BX659" s="50"/>
      <c r="BY659" s="50"/>
      <c r="BZ659" s="50"/>
      <c r="CA659" s="50"/>
      <c r="CB659" s="50"/>
      <c r="CC659" s="50"/>
      <c r="CD659" s="50"/>
      <c r="CE659" s="50"/>
      <c r="CF659" s="50"/>
      <c r="CG659" s="50"/>
      <c r="CH659" s="50"/>
      <c r="CI659" s="50"/>
      <c r="CJ659" s="50"/>
      <c r="CK659" s="50"/>
      <c r="CL659" s="50"/>
      <c r="CM659" s="50"/>
    </row>
    <row r="660" spans="1:91" ht="14.25" customHeight="1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  <c r="AT660" s="50"/>
      <c r="AU660" s="50"/>
      <c r="AV660" s="50"/>
      <c r="AW660" s="50"/>
      <c r="AX660" s="50"/>
      <c r="AY660" s="50"/>
      <c r="AZ660" s="50"/>
      <c r="BA660" s="50"/>
      <c r="BB660" s="50"/>
      <c r="BC660" s="50"/>
      <c r="BD660" s="50"/>
      <c r="BE660" s="50"/>
      <c r="BF660" s="50"/>
      <c r="BG660" s="50"/>
      <c r="BH660" s="50"/>
      <c r="BI660" s="50"/>
      <c r="BJ660" s="50"/>
      <c r="BK660" s="50"/>
      <c r="BL660" s="50"/>
      <c r="BM660" s="50"/>
      <c r="BN660" s="50"/>
      <c r="BO660" s="50"/>
      <c r="BP660" s="50"/>
      <c r="BQ660" s="50"/>
      <c r="BR660" s="50"/>
      <c r="BS660" s="50"/>
      <c r="BT660" s="50"/>
      <c r="BU660" s="50"/>
      <c r="BV660" s="50"/>
      <c r="BW660" s="50"/>
      <c r="BX660" s="50"/>
      <c r="BY660" s="50"/>
      <c r="BZ660" s="50"/>
      <c r="CA660" s="50"/>
      <c r="CB660" s="50"/>
      <c r="CC660" s="50"/>
      <c r="CD660" s="50"/>
      <c r="CE660" s="50"/>
      <c r="CF660" s="50"/>
      <c r="CG660" s="50"/>
      <c r="CH660" s="50"/>
      <c r="CI660" s="50"/>
      <c r="CJ660" s="50"/>
      <c r="CK660" s="50"/>
      <c r="CL660" s="50"/>
      <c r="CM660" s="50"/>
    </row>
    <row r="661" spans="1:91" ht="14.25" customHeight="1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  <c r="BO661" s="50"/>
      <c r="BP661" s="50"/>
      <c r="BQ661" s="50"/>
      <c r="BR661" s="50"/>
      <c r="BS661" s="50"/>
      <c r="BT661" s="50"/>
      <c r="BU661" s="50"/>
      <c r="BV661" s="50"/>
      <c r="BW661" s="50"/>
      <c r="BX661" s="50"/>
      <c r="BY661" s="50"/>
      <c r="BZ661" s="50"/>
      <c r="CA661" s="50"/>
      <c r="CB661" s="50"/>
      <c r="CC661" s="50"/>
      <c r="CD661" s="50"/>
      <c r="CE661" s="50"/>
      <c r="CF661" s="50"/>
      <c r="CG661" s="50"/>
      <c r="CH661" s="50"/>
      <c r="CI661" s="50"/>
      <c r="CJ661" s="50"/>
      <c r="CK661" s="50"/>
      <c r="CL661" s="50"/>
      <c r="CM661" s="50"/>
    </row>
    <row r="662" spans="1:91" ht="14.25" customHeight="1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  <c r="BO662" s="50"/>
      <c r="BP662" s="50"/>
      <c r="BQ662" s="50"/>
      <c r="BR662" s="50"/>
      <c r="BS662" s="50"/>
      <c r="BT662" s="50"/>
      <c r="BU662" s="50"/>
      <c r="BV662" s="50"/>
      <c r="BW662" s="50"/>
      <c r="BX662" s="50"/>
      <c r="BY662" s="50"/>
      <c r="BZ662" s="50"/>
      <c r="CA662" s="50"/>
      <c r="CB662" s="50"/>
      <c r="CC662" s="50"/>
      <c r="CD662" s="50"/>
      <c r="CE662" s="50"/>
      <c r="CF662" s="50"/>
      <c r="CG662" s="50"/>
      <c r="CH662" s="50"/>
      <c r="CI662" s="50"/>
      <c r="CJ662" s="50"/>
      <c r="CK662" s="50"/>
      <c r="CL662" s="50"/>
      <c r="CM662" s="50"/>
    </row>
    <row r="663" spans="1:91" ht="14.25" customHeight="1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  <c r="BO663" s="50"/>
      <c r="BP663" s="50"/>
      <c r="BQ663" s="50"/>
      <c r="BR663" s="50"/>
      <c r="BS663" s="50"/>
      <c r="BT663" s="50"/>
      <c r="BU663" s="50"/>
      <c r="BV663" s="50"/>
      <c r="BW663" s="50"/>
      <c r="BX663" s="50"/>
      <c r="BY663" s="50"/>
      <c r="BZ663" s="50"/>
      <c r="CA663" s="50"/>
      <c r="CB663" s="50"/>
      <c r="CC663" s="50"/>
      <c r="CD663" s="50"/>
      <c r="CE663" s="50"/>
      <c r="CF663" s="50"/>
      <c r="CG663" s="50"/>
      <c r="CH663" s="50"/>
      <c r="CI663" s="50"/>
      <c r="CJ663" s="50"/>
      <c r="CK663" s="50"/>
      <c r="CL663" s="50"/>
      <c r="CM663" s="50"/>
    </row>
    <row r="664" spans="1:91" ht="14.25" customHeight="1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  <c r="BT664" s="50"/>
      <c r="BU664" s="50"/>
      <c r="BV664" s="50"/>
      <c r="BW664" s="50"/>
      <c r="BX664" s="50"/>
      <c r="BY664" s="50"/>
      <c r="BZ664" s="50"/>
      <c r="CA664" s="50"/>
      <c r="CB664" s="50"/>
      <c r="CC664" s="50"/>
      <c r="CD664" s="50"/>
      <c r="CE664" s="50"/>
      <c r="CF664" s="50"/>
      <c r="CG664" s="50"/>
      <c r="CH664" s="50"/>
      <c r="CI664" s="50"/>
      <c r="CJ664" s="50"/>
      <c r="CK664" s="50"/>
      <c r="CL664" s="50"/>
      <c r="CM664" s="50"/>
    </row>
    <row r="665" spans="1:91" ht="14.25" customHeight="1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  <c r="AZ665" s="50"/>
      <c r="BA665" s="50"/>
      <c r="BB665" s="50"/>
      <c r="BC665" s="50"/>
      <c r="BD665" s="50"/>
      <c r="BE665" s="50"/>
      <c r="BF665" s="50"/>
      <c r="BG665" s="50"/>
      <c r="BH665" s="50"/>
      <c r="BI665" s="50"/>
      <c r="BJ665" s="50"/>
      <c r="BK665" s="50"/>
      <c r="BL665" s="50"/>
      <c r="BM665" s="50"/>
      <c r="BN665" s="50"/>
      <c r="BO665" s="50"/>
      <c r="BP665" s="50"/>
      <c r="BQ665" s="50"/>
      <c r="BR665" s="50"/>
      <c r="BS665" s="50"/>
      <c r="BT665" s="50"/>
      <c r="BU665" s="50"/>
      <c r="BV665" s="50"/>
      <c r="BW665" s="50"/>
      <c r="BX665" s="50"/>
      <c r="BY665" s="50"/>
      <c r="BZ665" s="50"/>
      <c r="CA665" s="50"/>
      <c r="CB665" s="50"/>
      <c r="CC665" s="50"/>
      <c r="CD665" s="50"/>
      <c r="CE665" s="50"/>
      <c r="CF665" s="50"/>
      <c r="CG665" s="50"/>
      <c r="CH665" s="50"/>
      <c r="CI665" s="50"/>
      <c r="CJ665" s="50"/>
      <c r="CK665" s="50"/>
      <c r="CL665" s="50"/>
      <c r="CM665" s="50"/>
    </row>
    <row r="666" spans="1:91" ht="14.25" customHeight="1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  <c r="BA666" s="50"/>
      <c r="BB666" s="50"/>
      <c r="BC666" s="50"/>
      <c r="BD666" s="50"/>
      <c r="BE666" s="50"/>
      <c r="BF666" s="50"/>
      <c r="BG666" s="50"/>
      <c r="BH666" s="50"/>
      <c r="BI666" s="50"/>
      <c r="BJ666" s="50"/>
      <c r="BK666" s="50"/>
      <c r="BL666" s="50"/>
      <c r="BM666" s="50"/>
      <c r="BN666" s="50"/>
      <c r="BO666" s="50"/>
      <c r="BP666" s="50"/>
      <c r="BQ666" s="50"/>
      <c r="BR666" s="50"/>
      <c r="BS666" s="50"/>
      <c r="BT666" s="50"/>
      <c r="BU666" s="50"/>
      <c r="BV666" s="50"/>
      <c r="BW666" s="50"/>
      <c r="BX666" s="50"/>
      <c r="BY666" s="50"/>
      <c r="BZ666" s="50"/>
      <c r="CA666" s="50"/>
      <c r="CB666" s="50"/>
      <c r="CC666" s="50"/>
      <c r="CD666" s="50"/>
      <c r="CE666" s="50"/>
      <c r="CF666" s="50"/>
      <c r="CG666" s="50"/>
      <c r="CH666" s="50"/>
      <c r="CI666" s="50"/>
      <c r="CJ666" s="50"/>
      <c r="CK666" s="50"/>
      <c r="CL666" s="50"/>
      <c r="CM666" s="50"/>
    </row>
    <row r="667" spans="1:91" ht="14.25" customHeight="1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  <c r="BB667" s="50"/>
      <c r="BC667" s="50"/>
      <c r="BD667" s="50"/>
      <c r="BE667" s="50"/>
      <c r="BF667" s="50"/>
      <c r="BG667" s="50"/>
      <c r="BH667" s="50"/>
      <c r="BI667" s="50"/>
      <c r="BJ667" s="50"/>
      <c r="BK667" s="50"/>
      <c r="BL667" s="50"/>
      <c r="BM667" s="50"/>
      <c r="BN667" s="50"/>
      <c r="BO667" s="50"/>
      <c r="BP667" s="50"/>
      <c r="BQ667" s="50"/>
      <c r="BR667" s="50"/>
      <c r="BS667" s="50"/>
      <c r="BT667" s="50"/>
      <c r="BU667" s="50"/>
      <c r="BV667" s="50"/>
      <c r="BW667" s="50"/>
      <c r="BX667" s="50"/>
      <c r="BY667" s="50"/>
      <c r="BZ667" s="50"/>
      <c r="CA667" s="50"/>
      <c r="CB667" s="50"/>
      <c r="CC667" s="50"/>
      <c r="CD667" s="50"/>
      <c r="CE667" s="50"/>
      <c r="CF667" s="50"/>
      <c r="CG667" s="50"/>
      <c r="CH667" s="50"/>
      <c r="CI667" s="50"/>
      <c r="CJ667" s="50"/>
      <c r="CK667" s="50"/>
      <c r="CL667" s="50"/>
      <c r="CM667" s="50"/>
    </row>
    <row r="668" spans="1:91" ht="14.25" customHeight="1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50"/>
      <c r="BT668" s="50"/>
      <c r="BU668" s="50"/>
      <c r="BV668" s="50"/>
      <c r="BW668" s="50"/>
      <c r="BX668" s="50"/>
      <c r="BY668" s="50"/>
      <c r="BZ668" s="50"/>
      <c r="CA668" s="50"/>
      <c r="CB668" s="50"/>
      <c r="CC668" s="50"/>
      <c r="CD668" s="50"/>
      <c r="CE668" s="50"/>
      <c r="CF668" s="50"/>
      <c r="CG668" s="50"/>
      <c r="CH668" s="50"/>
      <c r="CI668" s="50"/>
      <c r="CJ668" s="50"/>
      <c r="CK668" s="50"/>
      <c r="CL668" s="50"/>
      <c r="CM668" s="50"/>
    </row>
    <row r="669" spans="1:91" ht="14.25" customHeight="1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  <c r="BF669" s="50"/>
      <c r="BG669" s="50"/>
      <c r="BH669" s="50"/>
      <c r="BI669" s="50"/>
      <c r="BJ669" s="50"/>
      <c r="BK669" s="50"/>
      <c r="BL669" s="50"/>
      <c r="BM669" s="50"/>
      <c r="BN669" s="50"/>
      <c r="BO669" s="50"/>
      <c r="BP669" s="50"/>
      <c r="BQ669" s="50"/>
      <c r="BR669" s="50"/>
      <c r="BS669" s="50"/>
      <c r="BT669" s="50"/>
      <c r="BU669" s="50"/>
      <c r="BV669" s="50"/>
      <c r="BW669" s="50"/>
      <c r="BX669" s="50"/>
      <c r="BY669" s="50"/>
      <c r="BZ669" s="50"/>
      <c r="CA669" s="50"/>
      <c r="CB669" s="50"/>
      <c r="CC669" s="50"/>
      <c r="CD669" s="50"/>
      <c r="CE669" s="50"/>
      <c r="CF669" s="50"/>
      <c r="CG669" s="50"/>
      <c r="CH669" s="50"/>
      <c r="CI669" s="50"/>
      <c r="CJ669" s="50"/>
      <c r="CK669" s="50"/>
      <c r="CL669" s="50"/>
      <c r="CM669" s="50"/>
    </row>
    <row r="670" spans="1:91" ht="14.25" customHeight="1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  <c r="BO670" s="50"/>
      <c r="BP670" s="50"/>
      <c r="BQ670" s="50"/>
      <c r="BR670" s="50"/>
      <c r="BS670" s="50"/>
      <c r="BT670" s="50"/>
      <c r="BU670" s="50"/>
      <c r="BV670" s="50"/>
      <c r="BW670" s="50"/>
      <c r="BX670" s="50"/>
      <c r="BY670" s="50"/>
      <c r="BZ670" s="50"/>
      <c r="CA670" s="50"/>
      <c r="CB670" s="50"/>
      <c r="CC670" s="50"/>
      <c r="CD670" s="50"/>
      <c r="CE670" s="50"/>
      <c r="CF670" s="50"/>
      <c r="CG670" s="50"/>
      <c r="CH670" s="50"/>
      <c r="CI670" s="50"/>
      <c r="CJ670" s="50"/>
      <c r="CK670" s="50"/>
      <c r="CL670" s="50"/>
      <c r="CM670" s="50"/>
    </row>
    <row r="671" spans="1:91" ht="14.25" customHeight="1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  <c r="BO671" s="50"/>
      <c r="BP671" s="50"/>
      <c r="BQ671" s="50"/>
      <c r="BR671" s="50"/>
      <c r="BS671" s="50"/>
      <c r="BT671" s="50"/>
      <c r="BU671" s="50"/>
      <c r="BV671" s="50"/>
      <c r="BW671" s="50"/>
      <c r="BX671" s="50"/>
      <c r="BY671" s="50"/>
      <c r="BZ671" s="50"/>
      <c r="CA671" s="50"/>
      <c r="CB671" s="50"/>
      <c r="CC671" s="50"/>
      <c r="CD671" s="50"/>
      <c r="CE671" s="50"/>
      <c r="CF671" s="50"/>
      <c r="CG671" s="50"/>
      <c r="CH671" s="50"/>
      <c r="CI671" s="50"/>
      <c r="CJ671" s="50"/>
      <c r="CK671" s="50"/>
      <c r="CL671" s="50"/>
      <c r="CM671" s="50"/>
    </row>
    <row r="672" spans="1:91" ht="14.25" customHeight="1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  <c r="BO672" s="50"/>
      <c r="BP672" s="50"/>
      <c r="BQ672" s="50"/>
      <c r="BR672" s="50"/>
      <c r="BS672" s="50"/>
      <c r="BT672" s="50"/>
      <c r="BU672" s="50"/>
      <c r="BV672" s="50"/>
      <c r="BW672" s="50"/>
      <c r="BX672" s="50"/>
      <c r="BY672" s="50"/>
      <c r="BZ672" s="50"/>
      <c r="CA672" s="50"/>
      <c r="CB672" s="50"/>
      <c r="CC672" s="50"/>
      <c r="CD672" s="50"/>
      <c r="CE672" s="50"/>
      <c r="CF672" s="50"/>
      <c r="CG672" s="50"/>
      <c r="CH672" s="50"/>
      <c r="CI672" s="50"/>
      <c r="CJ672" s="50"/>
      <c r="CK672" s="50"/>
      <c r="CL672" s="50"/>
      <c r="CM672" s="50"/>
    </row>
    <row r="673" spans="1:91" ht="14.25" customHeight="1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  <c r="BO673" s="50"/>
      <c r="BP673" s="50"/>
      <c r="BQ673" s="50"/>
      <c r="BR673" s="50"/>
      <c r="BS673" s="50"/>
      <c r="BT673" s="50"/>
      <c r="BU673" s="50"/>
      <c r="BV673" s="50"/>
      <c r="BW673" s="50"/>
      <c r="BX673" s="50"/>
      <c r="BY673" s="50"/>
      <c r="BZ673" s="50"/>
      <c r="CA673" s="50"/>
      <c r="CB673" s="50"/>
      <c r="CC673" s="50"/>
      <c r="CD673" s="50"/>
      <c r="CE673" s="50"/>
      <c r="CF673" s="50"/>
      <c r="CG673" s="50"/>
      <c r="CH673" s="50"/>
      <c r="CI673" s="50"/>
      <c r="CJ673" s="50"/>
      <c r="CK673" s="50"/>
      <c r="CL673" s="50"/>
      <c r="CM673" s="50"/>
    </row>
    <row r="674" spans="1:91" ht="14.25" customHeight="1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  <c r="BO674" s="50"/>
      <c r="BP674" s="50"/>
      <c r="BQ674" s="50"/>
      <c r="BR674" s="50"/>
      <c r="BS674" s="50"/>
      <c r="BT674" s="50"/>
      <c r="BU674" s="50"/>
      <c r="BV674" s="50"/>
      <c r="BW674" s="50"/>
      <c r="BX674" s="50"/>
      <c r="BY674" s="50"/>
      <c r="BZ674" s="50"/>
      <c r="CA674" s="50"/>
      <c r="CB674" s="50"/>
      <c r="CC674" s="50"/>
      <c r="CD674" s="50"/>
      <c r="CE674" s="50"/>
      <c r="CF674" s="50"/>
      <c r="CG674" s="50"/>
      <c r="CH674" s="50"/>
      <c r="CI674" s="50"/>
      <c r="CJ674" s="50"/>
      <c r="CK674" s="50"/>
      <c r="CL674" s="50"/>
      <c r="CM674" s="50"/>
    </row>
    <row r="675" spans="1:91" ht="14.25" customHeight="1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  <c r="BO675" s="50"/>
      <c r="BP675" s="50"/>
      <c r="BQ675" s="50"/>
      <c r="BR675" s="50"/>
      <c r="BS675" s="50"/>
      <c r="BT675" s="50"/>
      <c r="BU675" s="50"/>
      <c r="BV675" s="50"/>
      <c r="BW675" s="50"/>
      <c r="BX675" s="50"/>
      <c r="BY675" s="50"/>
      <c r="BZ675" s="50"/>
      <c r="CA675" s="50"/>
      <c r="CB675" s="50"/>
      <c r="CC675" s="50"/>
      <c r="CD675" s="50"/>
      <c r="CE675" s="50"/>
      <c r="CF675" s="50"/>
      <c r="CG675" s="50"/>
      <c r="CH675" s="50"/>
      <c r="CI675" s="50"/>
      <c r="CJ675" s="50"/>
      <c r="CK675" s="50"/>
      <c r="CL675" s="50"/>
      <c r="CM675" s="50"/>
    </row>
    <row r="676" spans="1:91" ht="14.25" customHeight="1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  <c r="AZ676" s="50"/>
      <c r="BA676" s="50"/>
      <c r="BB676" s="50"/>
      <c r="BC676" s="50"/>
      <c r="BD676" s="50"/>
      <c r="BE676" s="50"/>
      <c r="BF676" s="50"/>
      <c r="BG676" s="50"/>
      <c r="BH676" s="50"/>
      <c r="BI676" s="50"/>
      <c r="BJ676" s="50"/>
      <c r="BK676" s="50"/>
      <c r="BL676" s="50"/>
      <c r="BM676" s="50"/>
      <c r="BN676" s="50"/>
      <c r="BO676" s="50"/>
      <c r="BP676" s="50"/>
      <c r="BQ676" s="50"/>
      <c r="BR676" s="50"/>
      <c r="BS676" s="50"/>
      <c r="BT676" s="50"/>
      <c r="BU676" s="50"/>
      <c r="BV676" s="50"/>
      <c r="BW676" s="50"/>
      <c r="BX676" s="50"/>
      <c r="BY676" s="50"/>
      <c r="BZ676" s="50"/>
      <c r="CA676" s="50"/>
      <c r="CB676" s="50"/>
      <c r="CC676" s="50"/>
      <c r="CD676" s="50"/>
      <c r="CE676" s="50"/>
      <c r="CF676" s="50"/>
      <c r="CG676" s="50"/>
      <c r="CH676" s="50"/>
      <c r="CI676" s="50"/>
      <c r="CJ676" s="50"/>
      <c r="CK676" s="50"/>
      <c r="CL676" s="50"/>
      <c r="CM676" s="50"/>
    </row>
    <row r="677" spans="1:91" ht="14.25" customHeight="1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  <c r="AZ677" s="50"/>
      <c r="BA677" s="50"/>
      <c r="BB677" s="50"/>
      <c r="BC677" s="50"/>
      <c r="BD677" s="50"/>
      <c r="BE677" s="50"/>
      <c r="BF677" s="50"/>
      <c r="BG677" s="50"/>
      <c r="BH677" s="50"/>
      <c r="BI677" s="50"/>
      <c r="BJ677" s="50"/>
      <c r="BK677" s="50"/>
      <c r="BL677" s="50"/>
      <c r="BM677" s="50"/>
      <c r="BN677" s="50"/>
      <c r="BO677" s="50"/>
      <c r="BP677" s="50"/>
      <c r="BQ677" s="50"/>
      <c r="BR677" s="50"/>
      <c r="BS677" s="50"/>
      <c r="BT677" s="50"/>
      <c r="BU677" s="50"/>
      <c r="BV677" s="50"/>
      <c r="BW677" s="50"/>
      <c r="BX677" s="50"/>
      <c r="BY677" s="50"/>
      <c r="BZ677" s="50"/>
      <c r="CA677" s="50"/>
      <c r="CB677" s="50"/>
      <c r="CC677" s="50"/>
      <c r="CD677" s="50"/>
      <c r="CE677" s="50"/>
      <c r="CF677" s="50"/>
      <c r="CG677" s="50"/>
      <c r="CH677" s="50"/>
      <c r="CI677" s="50"/>
      <c r="CJ677" s="50"/>
      <c r="CK677" s="50"/>
      <c r="CL677" s="50"/>
      <c r="CM677" s="50"/>
    </row>
    <row r="678" spans="1:91" ht="14.25" customHeight="1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  <c r="AZ678" s="50"/>
      <c r="BA678" s="50"/>
      <c r="BB678" s="50"/>
      <c r="BC678" s="50"/>
      <c r="BD678" s="50"/>
      <c r="BE678" s="50"/>
      <c r="BF678" s="50"/>
      <c r="BG678" s="50"/>
      <c r="BH678" s="50"/>
      <c r="BI678" s="50"/>
      <c r="BJ678" s="50"/>
      <c r="BK678" s="50"/>
      <c r="BL678" s="50"/>
      <c r="BM678" s="50"/>
      <c r="BN678" s="50"/>
      <c r="BO678" s="50"/>
      <c r="BP678" s="50"/>
      <c r="BQ678" s="50"/>
      <c r="BR678" s="50"/>
      <c r="BS678" s="50"/>
      <c r="BT678" s="50"/>
      <c r="BU678" s="50"/>
      <c r="BV678" s="50"/>
      <c r="BW678" s="50"/>
      <c r="BX678" s="50"/>
      <c r="BY678" s="50"/>
      <c r="BZ678" s="50"/>
      <c r="CA678" s="50"/>
      <c r="CB678" s="50"/>
      <c r="CC678" s="50"/>
      <c r="CD678" s="50"/>
      <c r="CE678" s="50"/>
      <c r="CF678" s="50"/>
      <c r="CG678" s="50"/>
      <c r="CH678" s="50"/>
      <c r="CI678" s="50"/>
      <c r="CJ678" s="50"/>
      <c r="CK678" s="50"/>
      <c r="CL678" s="50"/>
      <c r="CM678" s="50"/>
    </row>
    <row r="679" spans="1:91" ht="14.25" customHeight="1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  <c r="BB679" s="50"/>
      <c r="BC679" s="50"/>
      <c r="BD679" s="50"/>
      <c r="BE679" s="50"/>
      <c r="BF679" s="50"/>
      <c r="BG679" s="50"/>
      <c r="BH679" s="50"/>
      <c r="BI679" s="50"/>
      <c r="BJ679" s="50"/>
      <c r="BK679" s="50"/>
      <c r="BL679" s="50"/>
      <c r="BM679" s="50"/>
      <c r="BN679" s="50"/>
      <c r="BO679" s="50"/>
      <c r="BP679" s="50"/>
      <c r="BQ679" s="50"/>
      <c r="BR679" s="50"/>
      <c r="BS679" s="50"/>
      <c r="BT679" s="50"/>
      <c r="BU679" s="50"/>
      <c r="BV679" s="50"/>
      <c r="BW679" s="50"/>
      <c r="BX679" s="50"/>
      <c r="BY679" s="50"/>
      <c r="BZ679" s="50"/>
      <c r="CA679" s="50"/>
      <c r="CB679" s="50"/>
      <c r="CC679" s="50"/>
      <c r="CD679" s="50"/>
      <c r="CE679" s="50"/>
      <c r="CF679" s="50"/>
      <c r="CG679" s="50"/>
      <c r="CH679" s="50"/>
      <c r="CI679" s="50"/>
      <c r="CJ679" s="50"/>
      <c r="CK679" s="50"/>
      <c r="CL679" s="50"/>
      <c r="CM679" s="50"/>
    </row>
    <row r="680" spans="1:91" ht="14.25" customHeight="1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  <c r="AZ680" s="50"/>
      <c r="BA680" s="50"/>
      <c r="BB680" s="50"/>
      <c r="BC680" s="50"/>
      <c r="BD680" s="50"/>
      <c r="BE680" s="50"/>
      <c r="BF680" s="50"/>
      <c r="BG680" s="50"/>
      <c r="BH680" s="50"/>
      <c r="BI680" s="50"/>
      <c r="BJ680" s="50"/>
      <c r="BK680" s="50"/>
      <c r="BL680" s="50"/>
      <c r="BM680" s="50"/>
      <c r="BN680" s="50"/>
      <c r="BO680" s="50"/>
      <c r="BP680" s="50"/>
      <c r="BQ680" s="50"/>
      <c r="BR680" s="50"/>
      <c r="BS680" s="50"/>
      <c r="BT680" s="50"/>
      <c r="BU680" s="50"/>
      <c r="BV680" s="50"/>
      <c r="BW680" s="50"/>
      <c r="BX680" s="50"/>
      <c r="BY680" s="50"/>
      <c r="BZ680" s="50"/>
      <c r="CA680" s="50"/>
      <c r="CB680" s="50"/>
      <c r="CC680" s="50"/>
      <c r="CD680" s="50"/>
      <c r="CE680" s="50"/>
      <c r="CF680" s="50"/>
      <c r="CG680" s="50"/>
      <c r="CH680" s="50"/>
      <c r="CI680" s="50"/>
      <c r="CJ680" s="50"/>
      <c r="CK680" s="50"/>
      <c r="CL680" s="50"/>
      <c r="CM680" s="50"/>
    </row>
    <row r="681" spans="1:91" ht="14.25" customHeight="1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50"/>
      <c r="AV681" s="50"/>
      <c r="AW681" s="50"/>
      <c r="AX681" s="50"/>
      <c r="AY681" s="50"/>
      <c r="AZ681" s="50"/>
      <c r="BA681" s="50"/>
      <c r="BB681" s="50"/>
      <c r="BC681" s="50"/>
      <c r="BD681" s="50"/>
      <c r="BE681" s="50"/>
      <c r="BF681" s="50"/>
      <c r="BG681" s="50"/>
      <c r="BH681" s="50"/>
      <c r="BI681" s="50"/>
      <c r="BJ681" s="50"/>
      <c r="BK681" s="50"/>
      <c r="BL681" s="50"/>
      <c r="BM681" s="50"/>
      <c r="BN681" s="50"/>
      <c r="BO681" s="50"/>
      <c r="BP681" s="50"/>
      <c r="BQ681" s="50"/>
      <c r="BR681" s="50"/>
      <c r="BS681" s="50"/>
      <c r="BT681" s="50"/>
      <c r="BU681" s="50"/>
      <c r="BV681" s="50"/>
      <c r="BW681" s="50"/>
      <c r="BX681" s="50"/>
      <c r="BY681" s="50"/>
      <c r="BZ681" s="50"/>
      <c r="CA681" s="50"/>
      <c r="CB681" s="50"/>
      <c r="CC681" s="50"/>
      <c r="CD681" s="50"/>
      <c r="CE681" s="50"/>
      <c r="CF681" s="50"/>
      <c r="CG681" s="50"/>
      <c r="CH681" s="50"/>
      <c r="CI681" s="50"/>
      <c r="CJ681" s="50"/>
      <c r="CK681" s="50"/>
      <c r="CL681" s="50"/>
      <c r="CM681" s="50"/>
    </row>
    <row r="682" spans="1:91" ht="14.25" customHeight="1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  <c r="AU682" s="50"/>
      <c r="AV682" s="50"/>
      <c r="AW682" s="50"/>
      <c r="AX682" s="50"/>
      <c r="AY682" s="50"/>
      <c r="AZ682" s="50"/>
      <c r="BA682" s="50"/>
      <c r="BB682" s="50"/>
      <c r="BC682" s="50"/>
      <c r="BD682" s="50"/>
      <c r="BE682" s="50"/>
      <c r="BF682" s="50"/>
      <c r="BG682" s="50"/>
      <c r="BH682" s="50"/>
      <c r="BI682" s="50"/>
      <c r="BJ682" s="50"/>
      <c r="BK682" s="50"/>
      <c r="BL682" s="50"/>
      <c r="BM682" s="50"/>
      <c r="BN682" s="50"/>
      <c r="BO682" s="50"/>
      <c r="BP682" s="50"/>
      <c r="BQ682" s="50"/>
      <c r="BR682" s="50"/>
      <c r="BS682" s="50"/>
      <c r="BT682" s="50"/>
      <c r="BU682" s="50"/>
      <c r="BV682" s="50"/>
      <c r="BW682" s="50"/>
      <c r="BX682" s="50"/>
      <c r="BY682" s="50"/>
      <c r="BZ682" s="50"/>
      <c r="CA682" s="50"/>
      <c r="CB682" s="50"/>
      <c r="CC682" s="50"/>
      <c r="CD682" s="50"/>
      <c r="CE682" s="50"/>
      <c r="CF682" s="50"/>
      <c r="CG682" s="50"/>
      <c r="CH682" s="50"/>
      <c r="CI682" s="50"/>
      <c r="CJ682" s="50"/>
      <c r="CK682" s="50"/>
      <c r="CL682" s="50"/>
      <c r="CM682" s="50"/>
    </row>
    <row r="683" spans="1:91" ht="14.25" customHeight="1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  <c r="AU683" s="50"/>
      <c r="AV683" s="50"/>
      <c r="AW683" s="50"/>
      <c r="AX683" s="50"/>
      <c r="AY683" s="50"/>
      <c r="AZ683" s="50"/>
      <c r="BA683" s="50"/>
      <c r="BB683" s="50"/>
      <c r="BC683" s="50"/>
      <c r="BD683" s="50"/>
      <c r="BE683" s="50"/>
      <c r="BF683" s="50"/>
      <c r="BG683" s="50"/>
      <c r="BH683" s="50"/>
      <c r="BI683" s="50"/>
      <c r="BJ683" s="50"/>
      <c r="BK683" s="50"/>
      <c r="BL683" s="50"/>
      <c r="BM683" s="50"/>
      <c r="BN683" s="50"/>
      <c r="BO683" s="50"/>
      <c r="BP683" s="50"/>
      <c r="BQ683" s="50"/>
      <c r="BR683" s="50"/>
      <c r="BS683" s="50"/>
      <c r="BT683" s="50"/>
      <c r="BU683" s="50"/>
      <c r="BV683" s="50"/>
      <c r="BW683" s="50"/>
      <c r="BX683" s="50"/>
      <c r="BY683" s="50"/>
      <c r="BZ683" s="50"/>
      <c r="CA683" s="50"/>
      <c r="CB683" s="50"/>
      <c r="CC683" s="50"/>
      <c r="CD683" s="50"/>
      <c r="CE683" s="50"/>
      <c r="CF683" s="50"/>
      <c r="CG683" s="50"/>
      <c r="CH683" s="50"/>
      <c r="CI683" s="50"/>
      <c r="CJ683" s="50"/>
      <c r="CK683" s="50"/>
      <c r="CL683" s="50"/>
      <c r="CM683" s="50"/>
    </row>
    <row r="684" spans="1:91" ht="14.25" customHeight="1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  <c r="AU684" s="50"/>
      <c r="AV684" s="50"/>
      <c r="AW684" s="50"/>
      <c r="AX684" s="50"/>
      <c r="AY684" s="50"/>
      <c r="AZ684" s="50"/>
      <c r="BA684" s="50"/>
      <c r="BB684" s="50"/>
      <c r="BC684" s="50"/>
      <c r="BD684" s="50"/>
      <c r="BE684" s="50"/>
      <c r="BF684" s="50"/>
      <c r="BG684" s="50"/>
      <c r="BH684" s="50"/>
      <c r="BI684" s="50"/>
      <c r="BJ684" s="50"/>
      <c r="BK684" s="50"/>
      <c r="BL684" s="50"/>
      <c r="BM684" s="50"/>
      <c r="BN684" s="50"/>
      <c r="BO684" s="50"/>
      <c r="BP684" s="50"/>
      <c r="BQ684" s="50"/>
      <c r="BR684" s="50"/>
      <c r="BS684" s="50"/>
      <c r="BT684" s="50"/>
      <c r="BU684" s="50"/>
      <c r="BV684" s="50"/>
      <c r="BW684" s="50"/>
      <c r="BX684" s="50"/>
      <c r="BY684" s="50"/>
      <c r="BZ684" s="50"/>
      <c r="CA684" s="50"/>
      <c r="CB684" s="50"/>
      <c r="CC684" s="50"/>
      <c r="CD684" s="50"/>
      <c r="CE684" s="50"/>
      <c r="CF684" s="50"/>
      <c r="CG684" s="50"/>
      <c r="CH684" s="50"/>
      <c r="CI684" s="50"/>
      <c r="CJ684" s="50"/>
      <c r="CK684" s="50"/>
      <c r="CL684" s="50"/>
      <c r="CM684" s="50"/>
    </row>
    <row r="685" spans="1:91" ht="14.25" customHeight="1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  <c r="AZ685" s="50"/>
      <c r="BA685" s="50"/>
      <c r="BB685" s="50"/>
      <c r="BC685" s="50"/>
      <c r="BD685" s="50"/>
      <c r="BE685" s="50"/>
      <c r="BF685" s="50"/>
      <c r="BG685" s="50"/>
      <c r="BH685" s="50"/>
      <c r="BI685" s="50"/>
      <c r="BJ685" s="50"/>
      <c r="BK685" s="50"/>
      <c r="BL685" s="50"/>
      <c r="BM685" s="50"/>
      <c r="BN685" s="50"/>
      <c r="BO685" s="50"/>
      <c r="BP685" s="50"/>
      <c r="BQ685" s="50"/>
      <c r="BR685" s="50"/>
      <c r="BS685" s="50"/>
      <c r="BT685" s="50"/>
      <c r="BU685" s="50"/>
      <c r="BV685" s="50"/>
      <c r="BW685" s="50"/>
      <c r="BX685" s="50"/>
      <c r="BY685" s="50"/>
      <c r="BZ685" s="50"/>
      <c r="CA685" s="50"/>
      <c r="CB685" s="50"/>
      <c r="CC685" s="50"/>
      <c r="CD685" s="50"/>
      <c r="CE685" s="50"/>
      <c r="CF685" s="50"/>
      <c r="CG685" s="50"/>
      <c r="CH685" s="50"/>
      <c r="CI685" s="50"/>
      <c r="CJ685" s="50"/>
      <c r="CK685" s="50"/>
      <c r="CL685" s="50"/>
      <c r="CM685" s="50"/>
    </row>
    <row r="686" spans="1:91" ht="14.25" customHeight="1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50"/>
      <c r="AV686" s="50"/>
      <c r="AW686" s="50"/>
      <c r="AX686" s="50"/>
      <c r="AY686" s="50"/>
      <c r="AZ686" s="50"/>
      <c r="BA686" s="50"/>
      <c r="BB686" s="50"/>
      <c r="BC686" s="50"/>
      <c r="BD686" s="50"/>
      <c r="BE686" s="50"/>
      <c r="BF686" s="50"/>
      <c r="BG686" s="50"/>
      <c r="BH686" s="50"/>
      <c r="BI686" s="50"/>
      <c r="BJ686" s="50"/>
      <c r="BK686" s="50"/>
      <c r="BL686" s="50"/>
      <c r="BM686" s="50"/>
      <c r="BN686" s="50"/>
      <c r="BO686" s="50"/>
      <c r="BP686" s="50"/>
      <c r="BQ686" s="50"/>
      <c r="BR686" s="50"/>
      <c r="BS686" s="50"/>
      <c r="BT686" s="50"/>
      <c r="BU686" s="50"/>
      <c r="BV686" s="50"/>
      <c r="BW686" s="50"/>
      <c r="BX686" s="50"/>
      <c r="BY686" s="50"/>
      <c r="BZ686" s="50"/>
      <c r="CA686" s="50"/>
      <c r="CB686" s="50"/>
      <c r="CC686" s="50"/>
      <c r="CD686" s="50"/>
      <c r="CE686" s="50"/>
      <c r="CF686" s="50"/>
      <c r="CG686" s="50"/>
      <c r="CH686" s="50"/>
      <c r="CI686" s="50"/>
      <c r="CJ686" s="50"/>
      <c r="CK686" s="50"/>
      <c r="CL686" s="50"/>
      <c r="CM686" s="50"/>
    </row>
    <row r="687" spans="1:91" ht="14.25" customHeight="1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  <c r="BO687" s="50"/>
      <c r="BP687" s="50"/>
      <c r="BQ687" s="50"/>
      <c r="BR687" s="50"/>
      <c r="BS687" s="50"/>
      <c r="BT687" s="50"/>
      <c r="BU687" s="50"/>
      <c r="BV687" s="50"/>
      <c r="BW687" s="50"/>
      <c r="BX687" s="50"/>
      <c r="BY687" s="50"/>
      <c r="BZ687" s="50"/>
      <c r="CA687" s="50"/>
      <c r="CB687" s="50"/>
      <c r="CC687" s="50"/>
      <c r="CD687" s="50"/>
      <c r="CE687" s="50"/>
      <c r="CF687" s="50"/>
      <c r="CG687" s="50"/>
      <c r="CH687" s="50"/>
      <c r="CI687" s="50"/>
      <c r="CJ687" s="50"/>
      <c r="CK687" s="50"/>
      <c r="CL687" s="50"/>
      <c r="CM687" s="50"/>
    </row>
    <row r="688" spans="1:91" ht="14.25" customHeight="1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  <c r="AT688" s="50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  <c r="BO688" s="50"/>
      <c r="BP688" s="50"/>
      <c r="BQ688" s="50"/>
      <c r="BR688" s="50"/>
      <c r="BS688" s="50"/>
      <c r="BT688" s="50"/>
      <c r="BU688" s="50"/>
      <c r="BV688" s="50"/>
      <c r="BW688" s="50"/>
      <c r="BX688" s="50"/>
      <c r="BY688" s="50"/>
      <c r="BZ688" s="50"/>
      <c r="CA688" s="50"/>
      <c r="CB688" s="50"/>
      <c r="CC688" s="50"/>
      <c r="CD688" s="50"/>
      <c r="CE688" s="50"/>
      <c r="CF688" s="50"/>
      <c r="CG688" s="50"/>
      <c r="CH688" s="50"/>
      <c r="CI688" s="50"/>
      <c r="CJ688" s="50"/>
      <c r="CK688" s="50"/>
      <c r="CL688" s="50"/>
      <c r="CM688" s="50"/>
    </row>
    <row r="689" spans="1:91" ht="14.25" customHeight="1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  <c r="BO689" s="50"/>
      <c r="BP689" s="50"/>
      <c r="BQ689" s="50"/>
      <c r="BR689" s="50"/>
      <c r="BS689" s="50"/>
      <c r="BT689" s="50"/>
      <c r="BU689" s="50"/>
      <c r="BV689" s="50"/>
      <c r="BW689" s="50"/>
      <c r="BX689" s="50"/>
      <c r="BY689" s="50"/>
      <c r="BZ689" s="50"/>
      <c r="CA689" s="50"/>
      <c r="CB689" s="50"/>
      <c r="CC689" s="50"/>
      <c r="CD689" s="50"/>
      <c r="CE689" s="50"/>
      <c r="CF689" s="50"/>
      <c r="CG689" s="50"/>
      <c r="CH689" s="50"/>
      <c r="CI689" s="50"/>
      <c r="CJ689" s="50"/>
      <c r="CK689" s="50"/>
      <c r="CL689" s="50"/>
      <c r="CM689" s="50"/>
    </row>
    <row r="690" spans="1:91" ht="14.25" customHeight="1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  <c r="AT690" s="50"/>
      <c r="AU690" s="50"/>
      <c r="AV690" s="50"/>
      <c r="AW690" s="50"/>
      <c r="AX690" s="50"/>
      <c r="AY690" s="50"/>
      <c r="AZ690" s="50"/>
      <c r="BA690" s="50"/>
      <c r="BB690" s="50"/>
      <c r="BC690" s="50"/>
      <c r="BD690" s="50"/>
      <c r="BE690" s="50"/>
      <c r="BF690" s="50"/>
      <c r="BG690" s="50"/>
      <c r="BH690" s="50"/>
      <c r="BI690" s="50"/>
      <c r="BJ690" s="50"/>
      <c r="BK690" s="50"/>
      <c r="BL690" s="50"/>
      <c r="BM690" s="50"/>
      <c r="BN690" s="50"/>
      <c r="BO690" s="50"/>
      <c r="BP690" s="50"/>
      <c r="BQ690" s="50"/>
      <c r="BR690" s="50"/>
      <c r="BS690" s="50"/>
      <c r="BT690" s="50"/>
      <c r="BU690" s="50"/>
      <c r="BV690" s="50"/>
      <c r="BW690" s="50"/>
      <c r="BX690" s="50"/>
      <c r="BY690" s="50"/>
      <c r="BZ690" s="50"/>
      <c r="CA690" s="50"/>
      <c r="CB690" s="50"/>
      <c r="CC690" s="50"/>
      <c r="CD690" s="50"/>
      <c r="CE690" s="50"/>
      <c r="CF690" s="50"/>
      <c r="CG690" s="50"/>
      <c r="CH690" s="50"/>
      <c r="CI690" s="50"/>
      <c r="CJ690" s="50"/>
      <c r="CK690" s="50"/>
      <c r="CL690" s="50"/>
      <c r="CM690" s="50"/>
    </row>
    <row r="691" spans="1:91" ht="14.25" customHeight="1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  <c r="AU691" s="50"/>
      <c r="AV691" s="50"/>
      <c r="AW691" s="50"/>
      <c r="AX691" s="50"/>
      <c r="AY691" s="50"/>
      <c r="AZ691" s="50"/>
      <c r="BA691" s="50"/>
      <c r="BB691" s="50"/>
      <c r="BC691" s="50"/>
      <c r="BD691" s="50"/>
      <c r="BE691" s="50"/>
      <c r="BF691" s="50"/>
      <c r="BG691" s="50"/>
      <c r="BH691" s="50"/>
      <c r="BI691" s="50"/>
      <c r="BJ691" s="50"/>
      <c r="BK691" s="50"/>
      <c r="BL691" s="50"/>
      <c r="BM691" s="50"/>
      <c r="BN691" s="50"/>
      <c r="BO691" s="50"/>
      <c r="BP691" s="50"/>
      <c r="BQ691" s="50"/>
      <c r="BR691" s="50"/>
      <c r="BS691" s="50"/>
      <c r="BT691" s="50"/>
      <c r="BU691" s="50"/>
      <c r="BV691" s="50"/>
      <c r="BW691" s="50"/>
      <c r="BX691" s="50"/>
      <c r="BY691" s="50"/>
      <c r="BZ691" s="50"/>
      <c r="CA691" s="50"/>
      <c r="CB691" s="50"/>
      <c r="CC691" s="50"/>
      <c r="CD691" s="50"/>
      <c r="CE691" s="50"/>
      <c r="CF691" s="50"/>
      <c r="CG691" s="50"/>
      <c r="CH691" s="50"/>
      <c r="CI691" s="50"/>
      <c r="CJ691" s="50"/>
      <c r="CK691" s="50"/>
      <c r="CL691" s="50"/>
      <c r="CM691" s="50"/>
    </row>
    <row r="692" spans="1:91" ht="14.25" customHeight="1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  <c r="AU692" s="50"/>
      <c r="AV692" s="50"/>
      <c r="AW692" s="50"/>
      <c r="AX692" s="50"/>
      <c r="AY692" s="50"/>
      <c r="AZ692" s="50"/>
      <c r="BA692" s="50"/>
      <c r="BB692" s="50"/>
      <c r="BC692" s="50"/>
      <c r="BD692" s="50"/>
      <c r="BE692" s="50"/>
      <c r="BF692" s="50"/>
      <c r="BG692" s="50"/>
      <c r="BH692" s="50"/>
      <c r="BI692" s="50"/>
      <c r="BJ692" s="50"/>
      <c r="BK692" s="50"/>
      <c r="BL692" s="50"/>
      <c r="BM692" s="50"/>
      <c r="BN692" s="50"/>
      <c r="BO692" s="50"/>
      <c r="BP692" s="50"/>
      <c r="BQ692" s="50"/>
      <c r="BR692" s="50"/>
      <c r="BS692" s="50"/>
      <c r="BT692" s="50"/>
      <c r="BU692" s="50"/>
      <c r="BV692" s="50"/>
      <c r="BW692" s="50"/>
      <c r="BX692" s="50"/>
      <c r="BY692" s="50"/>
      <c r="BZ692" s="50"/>
      <c r="CA692" s="50"/>
      <c r="CB692" s="50"/>
      <c r="CC692" s="50"/>
      <c r="CD692" s="50"/>
      <c r="CE692" s="50"/>
      <c r="CF692" s="50"/>
      <c r="CG692" s="50"/>
      <c r="CH692" s="50"/>
      <c r="CI692" s="50"/>
      <c r="CJ692" s="50"/>
      <c r="CK692" s="50"/>
      <c r="CL692" s="50"/>
      <c r="CM692" s="50"/>
    </row>
    <row r="693" spans="1:91" ht="14.25" customHeight="1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50"/>
      <c r="AV693" s="50"/>
      <c r="AW693" s="50"/>
      <c r="AX693" s="50"/>
      <c r="AY693" s="50"/>
      <c r="AZ693" s="50"/>
      <c r="BA693" s="50"/>
      <c r="BB693" s="50"/>
      <c r="BC693" s="50"/>
      <c r="BD693" s="50"/>
      <c r="BE693" s="50"/>
      <c r="BF693" s="50"/>
      <c r="BG693" s="50"/>
      <c r="BH693" s="50"/>
      <c r="BI693" s="50"/>
      <c r="BJ693" s="50"/>
      <c r="BK693" s="50"/>
      <c r="BL693" s="50"/>
      <c r="BM693" s="50"/>
      <c r="BN693" s="50"/>
      <c r="BO693" s="50"/>
      <c r="BP693" s="50"/>
      <c r="BQ693" s="50"/>
      <c r="BR693" s="50"/>
      <c r="BS693" s="50"/>
      <c r="BT693" s="50"/>
      <c r="BU693" s="50"/>
      <c r="BV693" s="50"/>
      <c r="BW693" s="50"/>
      <c r="BX693" s="50"/>
      <c r="BY693" s="50"/>
      <c r="BZ693" s="50"/>
      <c r="CA693" s="50"/>
      <c r="CB693" s="50"/>
      <c r="CC693" s="50"/>
      <c r="CD693" s="50"/>
      <c r="CE693" s="50"/>
      <c r="CF693" s="50"/>
      <c r="CG693" s="50"/>
      <c r="CH693" s="50"/>
      <c r="CI693" s="50"/>
      <c r="CJ693" s="50"/>
      <c r="CK693" s="50"/>
      <c r="CL693" s="50"/>
      <c r="CM693" s="50"/>
    </row>
    <row r="694" spans="1:91" ht="14.25" customHeight="1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  <c r="AU694" s="50"/>
      <c r="AV694" s="50"/>
      <c r="AW694" s="50"/>
      <c r="AX694" s="50"/>
      <c r="AY694" s="50"/>
      <c r="AZ694" s="50"/>
      <c r="BA694" s="50"/>
      <c r="BB694" s="50"/>
      <c r="BC694" s="50"/>
      <c r="BD694" s="50"/>
      <c r="BE694" s="50"/>
      <c r="BF694" s="50"/>
      <c r="BG694" s="50"/>
      <c r="BH694" s="50"/>
      <c r="BI694" s="50"/>
      <c r="BJ694" s="50"/>
      <c r="BK694" s="50"/>
      <c r="BL694" s="50"/>
      <c r="BM694" s="50"/>
      <c r="BN694" s="50"/>
      <c r="BO694" s="50"/>
      <c r="BP694" s="50"/>
      <c r="BQ694" s="50"/>
      <c r="BR694" s="50"/>
      <c r="BS694" s="50"/>
      <c r="BT694" s="50"/>
      <c r="BU694" s="50"/>
      <c r="BV694" s="50"/>
      <c r="BW694" s="50"/>
      <c r="BX694" s="50"/>
      <c r="BY694" s="50"/>
      <c r="BZ694" s="50"/>
      <c r="CA694" s="50"/>
      <c r="CB694" s="50"/>
      <c r="CC694" s="50"/>
      <c r="CD694" s="50"/>
      <c r="CE694" s="50"/>
      <c r="CF694" s="50"/>
      <c r="CG694" s="50"/>
      <c r="CH694" s="50"/>
      <c r="CI694" s="50"/>
      <c r="CJ694" s="50"/>
      <c r="CK694" s="50"/>
      <c r="CL694" s="50"/>
      <c r="CM694" s="50"/>
    </row>
    <row r="695" spans="1:91" ht="14.25" customHeight="1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  <c r="AT695" s="50"/>
      <c r="AU695" s="50"/>
      <c r="AV695" s="50"/>
      <c r="AW695" s="50"/>
      <c r="AX695" s="50"/>
      <c r="AY695" s="50"/>
      <c r="AZ695" s="50"/>
      <c r="BA695" s="50"/>
      <c r="BB695" s="50"/>
      <c r="BC695" s="50"/>
      <c r="BD695" s="50"/>
      <c r="BE695" s="50"/>
      <c r="BF695" s="50"/>
      <c r="BG695" s="50"/>
      <c r="BH695" s="50"/>
      <c r="BI695" s="50"/>
      <c r="BJ695" s="50"/>
      <c r="BK695" s="50"/>
      <c r="BL695" s="50"/>
      <c r="BM695" s="50"/>
      <c r="BN695" s="50"/>
      <c r="BO695" s="50"/>
      <c r="BP695" s="50"/>
      <c r="BQ695" s="50"/>
      <c r="BR695" s="50"/>
      <c r="BS695" s="50"/>
      <c r="BT695" s="50"/>
      <c r="BU695" s="50"/>
      <c r="BV695" s="50"/>
      <c r="BW695" s="50"/>
      <c r="BX695" s="50"/>
      <c r="BY695" s="50"/>
      <c r="BZ695" s="50"/>
      <c r="CA695" s="50"/>
      <c r="CB695" s="50"/>
      <c r="CC695" s="50"/>
      <c r="CD695" s="50"/>
      <c r="CE695" s="50"/>
      <c r="CF695" s="50"/>
      <c r="CG695" s="50"/>
      <c r="CH695" s="50"/>
      <c r="CI695" s="50"/>
      <c r="CJ695" s="50"/>
      <c r="CK695" s="50"/>
      <c r="CL695" s="50"/>
      <c r="CM695" s="50"/>
    </row>
    <row r="696" spans="1:91" ht="14.25" customHeight="1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  <c r="AU696" s="50"/>
      <c r="AV696" s="50"/>
      <c r="AW696" s="50"/>
      <c r="AX696" s="50"/>
      <c r="AY696" s="50"/>
      <c r="AZ696" s="50"/>
      <c r="BA696" s="50"/>
      <c r="BB696" s="50"/>
      <c r="BC696" s="50"/>
      <c r="BD696" s="50"/>
      <c r="BE696" s="50"/>
      <c r="BF696" s="50"/>
      <c r="BG696" s="50"/>
      <c r="BH696" s="50"/>
      <c r="BI696" s="50"/>
      <c r="BJ696" s="50"/>
      <c r="BK696" s="50"/>
      <c r="BL696" s="50"/>
      <c r="BM696" s="50"/>
      <c r="BN696" s="50"/>
      <c r="BO696" s="50"/>
      <c r="BP696" s="50"/>
      <c r="BQ696" s="50"/>
      <c r="BR696" s="50"/>
      <c r="BS696" s="50"/>
      <c r="BT696" s="50"/>
      <c r="BU696" s="50"/>
      <c r="BV696" s="50"/>
      <c r="BW696" s="50"/>
      <c r="BX696" s="50"/>
      <c r="BY696" s="50"/>
      <c r="BZ696" s="50"/>
      <c r="CA696" s="50"/>
      <c r="CB696" s="50"/>
      <c r="CC696" s="50"/>
      <c r="CD696" s="50"/>
      <c r="CE696" s="50"/>
      <c r="CF696" s="50"/>
      <c r="CG696" s="50"/>
      <c r="CH696" s="50"/>
      <c r="CI696" s="50"/>
      <c r="CJ696" s="50"/>
      <c r="CK696" s="50"/>
      <c r="CL696" s="50"/>
      <c r="CM696" s="50"/>
    </row>
    <row r="697" spans="1:91" ht="14.25" customHeight="1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  <c r="AT697" s="50"/>
      <c r="AU697" s="50"/>
      <c r="AV697" s="50"/>
      <c r="AW697" s="50"/>
      <c r="AX697" s="50"/>
      <c r="AY697" s="50"/>
      <c r="AZ697" s="50"/>
      <c r="BA697" s="50"/>
      <c r="BB697" s="50"/>
      <c r="BC697" s="50"/>
      <c r="BD697" s="50"/>
      <c r="BE697" s="50"/>
      <c r="BF697" s="50"/>
      <c r="BG697" s="50"/>
      <c r="BH697" s="50"/>
      <c r="BI697" s="50"/>
      <c r="BJ697" s="50"/>
      <c r="BK697" s="50"/>
      <c r="BL697" s="50"/>
      <c r="BM697" s="50"/>
      <c r="BN697" s="50"/>
      <c r="BO697" s="50"/>
      <c r="BP697" s="50"/>
      <c r="BQ697" s="50"/>
      <c r="BR697" s="50"/>
      <c r="BS697" s="50"/>
      <c r="BT697" s="50"/>
      <c r="BU697" s="50"/>
      <c r="BV697" s="50"/>
      <c r="BW697" s="50"/>
      <c r="BX697" s="50"/>
      <c r="BY697" s="50"/>
      <c r="BZ697" s="50"/>
      <c r="CA697" s="50"/>
      <c r="CB697" s="50"/>
      <c r="CC697" s="50"/>
      <c r="CD697" s="50"/>
      <c r="CE697" s="50"/>
      <c r="CF697" s="50"/>
      <c r="CG697" s="50"/>
      <c r="CH697" s="50"/>
      <c r="CI697" s="50"/>
      <c r="CJ697" s="50"/>
      <c r="CK697" s="50"/>
      <c r="CL697" s="50"/>
      <c r="CM697" s="50"/>
    </row>
    <row r="698" spans="1:91" ht="14.25" customHeight="1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  <c r="AU698" s="50"/>
      <c r="AV698" s="50"/>
      <c r="AW698" s="50"/>
      <c r="AX698" s="50"/>
      <c r="AY698" s="50"/>
      <c r="AZ698" s="50"/>
      <c r="BA698" s="50"/>
      <c r="BB698" s="50"/>
      <c r="BC698" s="50"/>
      <c r="BD698" s="50"/>
      <c r="BE698" s="50"/>
      <c r="BF698" s="50"/>
      <c r="BG698" s="50"/>
      <c r="BH698" s="50"/>
      <c r="BI698" s="50"/>
      <c r="BJ698" s="50"/>
      <c r="BK698" s="50"/>
      <c r="BL698" s="50"/>
      <c r="BM698" s="50"/>
      <c r="BN698" s="50"/>
      <c r="BO698" s="50"/>
      <c r="BP698" s="50"/>
      <c r="BQ698" s="50"/>
      <c r="BR698" s="50"/>
      <c r="BS698" s="50"/>
      <c r="BT698" s="50"/>
      <c r="BU698" s="50"/>
      <c r="BV698" s="50"/>
      <c r="BW698" s="50"/>
      <c r="BX698" s="50"/>
      <c r="BY698" s="50"/>
      <c r="BZ698" s="50"/>
      <c r="CA698" s="50"/>
      <c r="CB698" s="50"/>
      <c r="CC698" s="50"/>
      <c r="CD698" s="50"/>
      <c r="CE698" s="50"/>
      <c r="CF698" s="50"/>
      <c r="CG698" s="50"/>
      <c r="CH698" s="50"/>
      <c r="CI698" s="50"/>
      <c r="CJ698" s="50"/>
      <c r="CK698" s="50"/>
      <c r="CL698" s="50"/>
      <c r="CM698" s="50"/>
    </row>
    <row r="699" spans="1:91" ht="14.25" customHeight="1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  <c r="AT699" s="50"/>
      <c r="AU699" s="50"/>
      <c r="AV699" s="50"/>
      <c r="AW699" s="50"/>
      <c r="AX699" s="50"/>
      <c r="AY699" s="50"/>
      <c r="AZ699" s="50"/>
      <c r="BA699" s="50"/>
      <c r="BB699" s="50"/>
      <c r="BC699" s="50"/>
      <c r="BD699" s="50"/>
      <c r="BE699" s="50"/>
      <c r="BF699" s="50"/>
      <c r="BG699" s="50"/>
      <c r="BH699" s="50"/>
      <c r="BI699" s="50"/>
      <c r="BJ699" s="50"/>
      <c r="BK699" s="50"/>
      <c r="BL699" s="50"/>
      <c r="BM699" s="50"/>
      <c r="BN699" s="50"/>
      <c r="BO699" s="50"/>
      <c r="BP699" s="50"/>
      <c r="BQ699" s="50"/>
      <c r="BR699" s="50"/>
      <c r="BS699" s="50"/>
      <c r="BT699" s="50"/>
      <c r="BU699" s="50"/>
      <c r="BV699" s="50"/>
      <c r="BW699" s="50"/>
      <c r="BX699" s="50"/>
      <c r="BY699" s="50"/>
      <c r="BZ699" s="50"/>
      <c r="CA699" s="50"/>
      <c r="CB699" s="50"/>
      <c r="CC699" s="50"/>
      <c r="CD699" s="50"/>
      <c r="CE699" s="50"/>
      <c r="CF699" s="50"/>
      <c r="CG699" s="50"/>
      <c r="CH699" s="50"/>
      <c r="CI699" s="50"/>
      <c r="CJ699" s="50"/>
      <c r="CK699" s="50"/>
      <c r="CL699" s="50"/>
      <c r="CM699" s="50"/>
    </row>
    <row r="700" spans="1:91" ht="14.25" customHeight="1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  <c r="AT700" s="50"/>
      <c r="AU700" s="50"/>
      <c r="AV700" s="50"/>
      <c r="AW700" s="50"/>
      <c r="AX700" s="50"/>
      <c r="AY700" s="50"/>
      <c r="AZ700" s="50"/>
      <c r="BA700" s="50"/>
      <c r="BB700" s="50"/>
      <c r="BC700" s="50"/>
      <c r="BD700" s="50"/>
      <c r="BE700" s="50"/>
      <c r="BF700" s="50"/>
      <c r="BG700" s="50"/>
      <c r="BH700" s="50"/>
      <c r="BI700" s="50"/>
      <c r="BJ700" s="50"/>
      <c r="BK700" s="50"/>
      <c r="BL700" s="50"/>
      <c r="BM700" s="50"/>
      <c r="BN700" s="50"/>
      <c r="BO700" s="50"/>
      <c r="BP700" s="50"/>
      <c r="BQ700" s="50"/>
      <c r="BR700" s="50"/>
      <c r="BS700" s="50"/>
      <c r="BT700" s="50"/>
      <c r="BU700" s="50"/>
      <c r="BV700" s="50"/>
      <c r="BW700" s="50"/>
      <c r="BX700" s="50"/>
      <c r="BY700" s="50"/>
      <c r="BZ700" s="50"/>
      <c r="CA700" s="50"/>
      <c r="CB700" s="50"/>
      <c r="CC700" s="50"/>
      <c r="CD700" s="50"/>
      <c r="CE700" s="50"/>
      <c r="CF700" s="50"/>
      <c r="CG700" s="50"/>
      <c r="CH700" s="50"/>
      <c r="CI700" s="50"/>
      <c r="CJ700" s="50"/>
      <c r="CK700" s="50"/>
      <c r="CL700" s="50"/>
      <c r="CM700" s="50"/>
    </row>
    <row r="701" spans="1:91" ht="14.25" customHeight="1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  <c r="AU701" s="50"/>
      <c r="AV701" s="50"/>
      <c r="AW701" s="50"/>
      <c r="AX701" s="50"/>
      <c r="AY701" s="50"/>
      <c r="AZ701" s="50"/>
      <c r="BA701" s="50"/>
      <c r="BB701" s="50"/>
      <c r="BC701" s="50"/>
      <c r="BD701" s="50"/>
      <c r="BE701" s="50"/>
      <c r="BF701" s="50"/>
      <c r="BG701" s="50"/>
      <c r="BH701" s="50"/>
      <c r="BI701" s="50"/>
      <c r="BJ701" s="50"/>
      <c r="BK701" s="50"/>
      <c r="BL701" s="50"/>
      <c r="BM701" s="50"/>
      <c r="BN701" s="50"/>
      <c r="BO701" s="50"/>
      <c r="BP701" s="50"/>
      <c r="BQ701" s="50"/>
      <c r="BR701" s="50"/>
      <c r="BS701" s="50"/>
      <c r="BT701" s="50"/>
      <c r="BU701" s="50"/>
      <c r="BV701" s="50"/>
      <c r="BW701" s="50"/>
      <c r="BX701" s="50"/>
      <c r="BY701" s="50"/>
      <c r="BZ701" s="50"/>
      <c r="CA701" s="50"/>
      <c r="CB701" s="50"/>
      <c r="CC701" s="50"/>
      <c r="CD701" s="50"/>
      <c r="CE701" s="50"/>
      <c r="CF701" s="50"/>
      <c r="CG701" s="50"/>
      <c r="CH701" s="50"/>
      <c r="CI701" s="50"/>
      <c r="CJ701" s="50"/>
      <c r="CK701" s="50"/>
      <c r="CL701" s="50"/>
      <c r="CM701" s="50"/>
    </row>
    <row r="702" spans="1:91" ht="14.25" customHeight="1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  <c r="AU702" s="50"/>
      <c r="AV702" s="50"/>
      <c r="AW702" s="50"/>
      <c r="AX702" s="50"/>
      <c r="AY702" s="50"/>
      <c r="AZ702" s="50"/>
      <c r="BA702" s="50"/>
      <c r="BB702" s="50"/>
      <c r="BC702" s="50"/>
      <c r="BD702" s="50"/>
      <c r="BE702" s="50"/>
      <c r="BF702" s="50"/>
      <c r="BG702" s="50"/>
      <c r="BH702" s="50"/>
      <c r="BI702" s="50"/>
      <c r="BJ702" s="50"/>
      <c r="BK702" s="50"/>
      <c r="BL702" s="50"/>
      <c r="BM702" s="50"/>
      <c r="BN702" s="50"/>
      <c r="BO702" s="50"/>
      <c r="BP702" s="50"/>
      <c r="BQ702" s="50"/>
      <c r="BR702" s="50"/>
      <c r="BS702" s="50"/>
      <c r="BT702" s="50"/>
      <c r="BU702" s="50"/>
      <c r="BV702" s="50"/>
      <c r="BW702" s="50"/>
      <c r="BX702" s="50"/>
      <c r="BY702" s="50"/>
      <c r="BZ702" s="50"/>
      <c r="CA702" s="50"/>
      <c r="CB702" s="50"/>
      <c r="CC702" s="50"/>
      <c r="CD702" s="50"/>
      <c r="CE702" s="50"/>
      <c r="CF702" s="50"/>
      <c r="CG702" s="50"/>
      <c r="CH702" s="50"/>
      <c r="CI702" s="50"/>
      <c r="CJ702" s="50"/>
      <c r="CK702" s="50"/>
      <c r="CL702" s="50"/>
      <c r="CM702" s="50"/>
    </row>
    <row r="703" spans="1:91" ht="14.25" customHeight="1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  <c r="AU703" s="50"/>
      <c r="AV703" s="50"/>
      <c r="AW703" s="50"/>
      <c r="AX703" s="50"/>
      <c r="AY703" s="50"/>
      <c r="AZ703" s="50"/>
      <c r="BA703" s="50"/>
      <c r="BB703" s="50"/>
      <c r="BC703" s="50"/>
      <c r="BD703" s="50"/>
      <c r="BE703" s="50"/>
      <c r="BF703" s="50"/>
      <c r="BG703" s="50"/>
      <c r="BH703" s="50"/>
      <c r="BI703" s="50"/>
      <c r="BJ703" s="50"/>
      <c r="BK703" s="50"/>
      <c r="BL703" s="50"/>
      <c r="BM703" s="50"/>
      <c r="BN703" s="50"/>
      <c r="BO703" s="50"/>
      <c r="BP703" s="50"/>
      <c r="BQ703" s="50"/>
      <c r="BR703" s="50"/>
      <c r="BS703" s="50"/>
      <c r="BT703" s="50"/>
      <c r="BU703" s="50"/>
      <c r="BV703" s="50"/>
      <c r="BW703" s="50"/>
      <c r="BX703" s="50"/>
      <c r="BY703" s="50"/>
      <c r="BZ703" s="50"/>
      <c r="CA703" s="50"/>
      <c r="CB703" s="50"/>
      <c r="CC703" s="50"/>
      <c r="CD703" s="50"/>
      <c r="CE703" s="50"/>
      <c r="CF703" s="50"/>
      <c r="CG703" s="50"/>
      <c r="CH703" s="50"/>
      <c r="CI703" s="50"/>
      <c r="CJ703" s="50"/>
      <c r="CK703" s="50"/>
      <c r="CL703" s="50"/>
      <c r="CM703" s="50"/>
    </row>
    <row r="704" spans="1:91" ht="14.25" customHeight="1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  <c r="AU704" s="50"/>
      <c r="AV704" s="50"/>
      <c r="AW704" s="50"/>
      <c r="AX704" s="50"/>
      <c r="AY704" s="50"/>
      <c r="AZ704" s="50"/>
      <c r="BA704" s="50"/>
      <c r="BB704" s="50"/>
      <c r="BC704" s="50"/>
      <c r="BD704" s="50"/>
      <c r="BE704" s="50"/>
      <c r="BF704" s="50"/>
      <c r="BG704" s="50"/>
      <c r="BH704" s="50"/>
      <c r="BI704" s="50"/>
      <c r="BJ704" s="50"/>
      <c r="BK704" s="50"/>
      <c r="BL704" s="50"/>
      <c r="BM704" s="50"/>
      <c r="BN704" s="50"/>
      <c r="BO704" s="50"/>
      <c r="BP704" s="50"/>
      <c r="BQ704" s="50"/>
      <c r="BR704" s="50"/>
      <c r="BS704" s="50"/>
      <c r="BT704" s="50"/>
      <c r="BU704" s="50"/>
      <c r="BV704" s="50"/>
      <c r="BW704" s="50"/>
      <c r="BX704" s="50"/>
      <c r="BY704" s="50"/>
      <c r="BZ704" s="50"/>
      <c r="CA704" s="50"/>
      <c r="CB704" s="50"/>
      <c r="CC704" s="50"/>
      <c r="CD704" s="50"/>
      <c r="CE704" s="50"/>
      <c r="CF704" s="50"/>
      <c r="CG704" s="50"/>
      <c r="CH704" s="50"/>
      <c r="CI704" s="50"/>
      <c r="CJ704" s="50"/>
      <c r="CK704" s="50"/>
      <c r="CL704" s="50"/>
      <c r="CM704" s="50"/>
    </row>
    <row r="705" spans="1:91" ht="14.25" customHeight="1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  <c r="AU705" s="50"/>
      <c r="AV705" s="50"/>
      <c r="AW705" s="50"/>
      <c r="AX705" s="50"/>
      <c r="AY705" s="50"/>
      <c r="AZ705" s="50"/>
      <c r="BA705" s="50"/>
      <c r="BB705" s="50"/>
      <c r="BC705" s="50"/>
      <c r="BD705" s="50"/>
      <c r="BE705" s="50"/>
      <c r="BF705" s="50"/>
      <c r="BG705" s="50"/>
      <c r="BH705" s="50"/>
      <c r="BI705" s="50"/>
      <c r="BJ705" s="50"/>
      <c r="BK705" s="50"/>
      <c r="BL705" s="50"/>
      <c r="BM705" s="50"/>
      <c r="BN705" s="50"/>
      <c r="BO705" s="50"/>
      <c r="BP705" s="50"/>
      <c r="BQ705" s="50"/>
      <c r="BR705" s="50"/>
      <c r="BS705" s="50"/>
      <c r="BT705" s="50"/>
      <c r="BU705" s="50"/>
      <c r="BV705" s="50"/>
      <c r="BW705" s="50"/>
      <c r="BX705" s="50"/>
      <c r="BY705" s="50"/>
      <c r="BZ705" s="50"/>
      <c r="CA705" s="50"/>
      <c r="CB705" s="50"/>
      <c r="CC705" s="50"/>
      <c r="CD705" s="50"/>
      <c r="CE705" s="50"/>
      <c r="CF705" s="50"/>
      <c r="CG705" s="50"/>
      <c r="CH705" s="50"/>
      <c r="CI705" s="50"/>
      <c r="CJ705" s="50"/>
      <c r="CK705" s="50"/>
      <c r="CL705" s="50"/>
      <c r="CM705" s="50"/>
    </row>
    <row r="706" spans="1:91" ht="14.25" customHeight="1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50"/>
      <c r="AV706" s="50"/>
      <c r="AW706" s="50"/>
      <c r="AX706" s="50"/>
      <c r="AY706" s="50"/>
      <c r="AZ706" s="50"/>
      <c r="BA706" s="50"/>
      <c r="BB706" s="50"/>
      <c r="BC706" s="50"/>
      <c r="BD706" s="50"/>
      <c r="BE706" s="50"/>
      <c r="BF706" s="50"/>
      <c r="BG706" s="50"/>
      <c r="BH706" s="50"/>
      <c r="BI706" s="50"/>
      <c r="BJ706" s="50"/>
      <c r="BK706" s="50"/>
      <c r="BL706" s="50"/>
      <c r="BM706" s="50"/>
      <c r="BN706" s="50"/>
      <c r="BO706" s="50"/>
      <c r="BP706" s="50"/>
      <c r="BQ706" s="50"/>
      <c r="BR706" s="50"/>
      <c r="BS706" s="50"/>
      <c r="BT706" s="50"/>
      <c r="BU706" s="50"/>
      <c r="BV706" s="50"/>
      <c r="BW706" s="50"/>
      <c r="BX706" s="50"/>
      <c r="BY706" s="50"/>
      <c r="BZ706" s="50"/>
      <c r="CA706" s="50"/>
      <c r="CB706" s="50"/>
      <c r="CC706" s="50"/>
      <c r="CD706" s="50"/>
      <c r="CE706" s="50"/>
      <c r="CF706" s="50"/>
      <c r="CG706" s="50"/>
      <c r="CH706" s="50"/>
      <c r="CI706" s="50"/>
      <c r="CJ706" s="50"/>
      <c r="CK706" s="50"/>
      <c r="CL706" s="50"/>
      <c r="CM706" s="50"/>
    </row>
    <row r="707" spans="1:91" ht="14.25" customHeight="1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  <c r="AU707" s="50"/>
      <c r="AV707" s="50"/>
      <c r="AW707" s="50"/>
      <c r="AX707" s="50"/>
      <c r="AY707" s="50"/>
      <c r="AZ707" s="50"/>
      <c r="BA707" s="50"/>
      <c r="BB707" s="50"/>
      <c r="BC707" s="50"/>
      <c r="BD707" s="50"/>
      <c r="BE707" s="50"/>
      <c r="BF707" s="50"/>
      <c r="BG707" s="50"/>
      <c r="BH707" s="50"/>
      <c r="BI707" s="50"/>
      <c r="BJ707" s="50"/>
      <c r="BK707" s="50"/>
      <c r="BL707" s="50"/>
      <c r="BM707" s="50"/>
      <c r="BN707" s="50"/>
      <c r="BO707" s="50"/>
      <c r="BP707" s="50"/>
      <c r="BQ707" s="50"/>
      <c r="BR707" s="50"/>
      <c r="BS707" s="50"/>
      <c r="BT707" s="50"/>
      <c r="BU707" s="50"/>
      <c r="BV707" s="50"/>
      <c r="BW707" s="50"/>
      <c r="BX707" s="50"/>
      <c r="BY707" s="50"/>
      <c r="BZ707" s="50"/>
      <c r="CA707" s="50"/>
      <c r="CB707" s="50"/>
      <c r="CC707" s="50"/>
      <c r="CD707" s="50"/>
      <c r="CE707" s="50"/>
      <c r="CF707" s="50"/>
      <c r="CG707" s="50"/>
      <c r="CH707" s="50"/>
      <c r="CI707" s="50"/>
      <c r="CJ707" s="50"/>
      <c r="CK707" s="50"/>
      <c r="CL707" s="50"/>
      <c r="CM707" s="50"/>
    </row>
    <row r="708" spans="1:91" ht="14.25" customHeight="1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  <c r="AT708" s="50"/>
      <c r="AU708" s="50"/>
      <c r="AV708" s="50"/>
      <c r="AW708" s="50"/>
      <c r="AX708" s="50"/>
      <c r="AY708" s="50"/>
      <c r="AZ708" s="50"/>
      <c r="BA708" s="50"/>
      <c r="BB708" s="50"/>
      <c r="BC708" s="50"/>
      <c r="BD708" s="50"/>
      <c r="BE708" s="50"/>
      <c r="BF708" s="50"/>
      <c r="BG708" s="50"/>
      <c r="BH708" s="50"/>
      <c r="BI708" s="50"/>
      <c r="BJ708" s="50"/>
      <c r="BK708" s="50"/>
      <c r="BL708" s="50"/>
      <c r="BM708" s="50"/>
      <c r="BN708" s="50"/>
      <c r="BO708" s="50"/>
      <c r="BP708" s="50"/>
      <c r="BQ708" s="50"/>
      <c r="BR708" s="50"/>
      <c r="BS708" s="50"/>
      <c r="BT708" s="50"/>
      <c r="BU708" s="50"/>
      <c r="BV708" s="50"/>
      <c r="BW708" s="50"/>
      <c r="BX708" s="50"/>
      <c r="BY708" s="50"/>
      <c r="BZ708" s="50"/>
      <c r="CA708" s="50"/>
      <c r="CB708" s="50"/>
      <c r="CC708" s="50"/>
      <c r="CD708" s="50"/>
      <c r="CE708" s="50"/>
      <c r="CF708" s="50"/>
      <c r="CG708" s="50"/>
      <c r="CH708" s="50"/>
      <c r="CI708" s="50"/>
      <c r="CJ708" s="50"/>
      <c r="CK708" s="50"/>
      <c r="CL708" s="50"/>
      <c r="CM708" s="50"/>
    </row>
    <row r="709" spans="1:91" ht="14.25" customHeight="1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  <c r="AT709" s="50"/>
      <c r="AU709" s="50"/>
      <c r="AV709" s="50"/>
      <c r="AW709" s="50"/>
      <c r="AX709" s="50"/>
      <c r="AY709" s="50"/>
      <c r="AZ709" s="50"/>
      <c r="BA709" s="50"/>
      <c r="BB709" s="50"/>
      <c r="BC709" s="50"/>
      <c r="BD709" s="50"/>
      <c r="BE709" s="50"/>
      <c r="BF709" s="50"/>
      <c r="BG709" s="50"/>
      <c r="BH709" s="50"/>
      <c r="BI709" s="50"/>
      <c r="BJ709" s="50"/>
      <c r="BK709" s="50"/>
      <c r="BL709" s="50"/>
      <c r="BM709" s="50"/>
      <c r="BN709" s="50"/>
      <c r="BO709" s="50"/>
      <c r="BP709" s="50"/>
      <c r="BQ709" s="50"/>
      <c r="BR709" s="50"/>
      <c r="BS709" s="50"/>
      <c r="BT709" s="50"/>
      <c r="BU709" s="50"/>
      <c r="BV709" s="50"/>
      <c r="BW709" s="50"/>
      <c r="BX709" s="50"/>
      <c r="BY709" s="50"/>
      <c r="BZ709" s="50"/>
      <c r="CA709" s="50"/>
      <c r="CB709" s="50"/>
      <c r="CC709" s="50"/>
      <c r="CD709" s="50"/>
      <c r="CE709" s="50"/>
      <c r="CF709" s="50"/>
      <c r="CG709" s="50"/>
      <c r="CH709" s="50"/>
      <c r="CI709" s="50"/>
      <c r="CJ709" s="50"/>
      <c r="CK709" s="50"/>
      <c r="CL709" s="50"/>
      <c r="CM709" s="50"/>
    </row>
    <row r="710" spans="1:91" ht="14.25" customHeight="1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  <c r="AU710" s="50"/>
      <c r="AV710" s="50"/>
      <c r="AW710" s="50"/>
      <c r="AX710" s="50"/>
      <c r="AY710" s="50"/>
      <c r="AZ710" s="50"/>
      <c r="BA710" s="50"/>
      <c r="BB710" s="50"/>
      <c r="BC710" s="50"/>
      <c r="BD710" s="50"/>
      <c r="BE710" s="50"/>
      <c r="BF710" s="50"/>
      <c r="BG710" s="50"/>
      <c r="BH710" s="50"/>
      <c r="BI710" s="50"/>
      <c r="BJ710" s="50"/>
      <c r="BK710" s="50"/>
      <c r="BL710" s="50"/>
      <c r="BM710" s="50"/>
      <c r="BN710" s="50"/>
      <c r="BO710" s="50"/>
      <c r="BP710" s="50"/>
      <c r="BQ710" s="50"/>
      <c r="BR710" s="50"/>
      <c r="BS710" s="50"/>
      <c r="BT710" s="50"/>
      <c r="BU710" s="50"/>
      <c r="BV710" s="50"/>
      <c r="BW710" s="50"/>
      <c r="BX710" s="50"/>
      <c r="BY710" s="50"/>
      <c r="BZ710" s="50"/>
      <c r="CA710" s="50"/>
      <c r="CB710" s="50"/>
      <c r="CC710" s="50"/>
      <c r="CD710" s="50"/>
      <c r="CE710" s="50"/>
      <c r="CF710" s="50"/>
      <c r="CG710" s="50"/>
      <c r="CH710" s="50"/>
      <c r="CI710" s="50"/>
      <c r="CJ710" s="50"/>
      <c r="CK710" s="50"/>
      <c r="CL710" s="50"/>
      <c r="CM710" s="50"/>
    </row>
    <row r="711" spans="1:91" ht="14.25" customHeight="1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  <c r="AT711" s="50"/>
      <c r="AU711" s="50"/>
      <c r="AV711" s="50"/>
      <c r="AW711" s="50"/>
      <c r="AX711" s="50"/>
      <c r="AY711" s="50"/>
      <c r="AZ711" s="50"/>
      <c r="BA711" s="50"/>
      <c r="BB711" s="50"/>
      <c r="BC711" s="50"/>
      <c r="BD711" s="50"/>
      <c r="BE711" s="50"/>
      <c r="BF711" s="50"/>
      <c r="BG711" s="50"/>
      <c r="BH711" s="50"/>
      <c r="BI711" s="50"/>
      <c r="BJ711" s="50"/>
      <c r="BK711" s="50"/>
      <c r="BL711" s="50"/>
      <c r="BM711" s="50"/>
      <c r="BN711" s="50"/>
      <c r="BO711" s="50"/>
      <c r="BP711" s="50"/>
      <c r="BQ711" s="50"/>
      <c r="BR711" s="50"/>
      <c r="BS711" s="50"/>
      <c r="BT711" s="50"/>
      <c r="BU711" s="50"/>
      <c r="BV711" s="50"/>
      <c r="BW711" s="50"/>
      <c r="BX711" s="50"/>
      <c r="BY711" s="50"/>
      <c r="BZ711" s="50"/>
      <c r="CA711" s="50"/>
      <c r="CB711" s="50"/>
      <c r="CC711" s="50"/>
      <c r="CD711" s="50"/>
      <c r="CE711" s="50"/>
      <c r="CF711" s="50"/>
      <c r="CG711" s="50"/>
      <c r="CH711" s="50"/>
      <c r="CI711" s="50"/>
      <c r="CJ711" s="50"/>
      <c r="CK711" s="50"/>
      <c r="CL711" s="50"/>
      <c r="CM711" s="50"/>
    </row>
    <row r="712" spans="1:91" ht="14.25" customHeight="1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  <c r="AT712" s="50"/>
      <c r="AU712" s="50"/>
      <c r="AV712" s="50"/>
      <c r="AW712" s="50"/>
      <c r="AX712" s="50"/>
      <c r="AY712" s="50"/>
      <c r="AZ712" s="50"/>
      <c r="BA712" s="50"/>
      <c r="BB712" s="50"/>
      <c r="BC712" s="50"/>
      <c r="BD712" s="50"/>
      <c r="BE712" s="50"/>
      <c r="BF712" s="50"/>
      <c r="BG712" s="50"/>
      <c r="BH712" s="50"/>
      <c r="BI712" s="50"/>
      <c r="BJ712" s="50"/>
      <c r="BK712" s="50"/>
      <c r="BL712" s="50"/>
      <c r="BM712" s="50"/>
      <c r="BN712" s="50"/>
      <c r="BO712" s="50"/>
      <c r="BP712" s="50"/>
      <c r="BQ712" s="50"/>
      <c r="BR712" s="50"/>
      <c r="BS712" s="50"/>
      <c r="BT712" s="50"/>
      <c r="BU712" s="50"/>
      <c r="BV712" s="50"/>
      <c r="BW712" s="50"/>
      <c r="BX712" s="50"/>
      <c r="BY712" s="50"/>
      <c r="BZ712" s="50"/>
      <c r="CA712" s="50"/>
      <c r="CB712" s="50"/>
      <c r="CC712" s="50"/>
      <c r="CD712" s="50"/>
      <c r="CE712" s="50"/>
      <c r="CF712" s="50"/>
      <c r="CG712" s="50"/>
      <c r="CH712" s="50"/>
      <c r="CI712" s="50"/>
      <c r="CJ712" s="50"/>
      <c r="CK712" s="50"/>
      <c r="CL712" s="50"/>
      <c r="CM712" s="50"/>
    </row>
    <row r="713" spans="1:91" ht="14.25" customHeight="1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  <c r="BO713" s="50"/>
      <c r="BP713" s="50"/>
      <c r="BQ713" s="50"/>
      <c r="BR713" s="50"/>
      <c r="BS713" s="50"/>
      <c r="BT713" s="50"/>
      <c r="BU713" s="50"/>
      <c r="BV713" s="50"/>
      <c r="BW713" s="50"/>
      <c r="BX713" s="50"/>
      <c r="BY713" s="50"/>
      <c r="BZ713" s="50"/>
      <c r="CA713" s="50"/>
      <c r="CB713" s="50"/>
      <c r="CC713" s="50"/>
      <c r="CD713" s="50"/>
      <c r="CE713" s="50"/>
      <c r="CF713" s="50"/>
      <c r="CG713" s="50"/>
      <c r="CH713" s="50"/>
      <c r="CI713" s="50"/>
      <c r="CJ713" s="50"/>
      <c r="CK713" s="50"/>
      <c r="CL713" s="50"/>
      <c r="CM713" s="50"/>
    </row>
    <row r="714" spans="1:91" ht="14.25" customHeight="1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  <c r="BO714" s="50"/>
      <c r="BP714" s="50"/>
      <c r="BQ714" s="50"/>
      <c r="BR714" s="50"/>
      <c r="BS714" s="50"/>
      <c r="BT714" s="50"/>
      <c r="BU714" s="50"/>
      <c r="BV714" s="50"/>
      <c r="BW714" s="50"/>
      <c r="BX714" s="50"/>
      <c r="BY714" s="50"/>
      <c r="BZ714" s="50"/>
      <c r="CA714" s="50"/>
      <c r="CB714" s="50"/>
      <c r="CC714" s="50"/>
      <c r="CD714" s="50"/>
      <c r="CE714" s="50"/>
      <c r="CF714" s="50"/>
      <c r="CG714" s="50"/>
      <c r="CH714" s="50"/>
      <c r="CI714" s="50"/>
      <c r="CJ714" s="50"/>
      <c r="CK714" s="50"/>
      <c r="CL714" s="50"/>
      <c r="CM714" s="50"/>
    </row>
    <row r="715" spans="1:91" ht="14.25" customHeight="1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  <c r="AT715" s="50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  <c r="BO715" s="50"/>
      <c r="BP715" s="50"/>
      <c r="BQ715" s="50"/>
      <c r="BR715" s="50"/>
      <c r="BS715" s="50"/>
      <c r="BT715" s="50"/>
      <c r="BU715" s="50"/>
      <c r="BV715" s="50"/>
      <c r="BW715" s="50"/>
      <c r="BX715" s="50"/>
      <c r="BY715" s="50"/>
      <c r="BZ715" s="50"/>
      <c r="CA715" s="50"/>
      <c r="CB715" s="50"/>
      <c r="CC715" s="50"/>
      <c r="CD715" s="50"/>
      <c r="CE715" s="50"/>
      <c r="CF715" s="50"/>
      <c r="CG715" s="50"/>
      <c r="CH715" s="50"/>
      <c r="CI715" s="50"/>
      <c r="CJ715" s="50"/>
      <c r="CK715" s="50"/>
      <c r="CL715" s="50"/>
      <c r="CM715" s="50"/>
    </row>
    <row r="716" spans="1:91" ht="14.25" customHeight="1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  <c r="AT716" s="50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  <c r="BO716" s="50"/>
      <c r="BP716" s="50"/>
      <c r="BQ716" s="50"/>
      <c r="BR716" s="50"/>
      <c r="BS716" s="50"/>
      <c r="BT716" s="50"/>
      <c r="BU716" s="50"/>
      <c r="BV716" s="50"/>
      <c r="BW716" s="50"/>
      <c r="BX716" s="50"/>
      <c r="BY716" s="50"/>
      <c r="BZ716" s="50"/>
      <c r="CA716" s="50"/>
      <c r="CB716" s="50"/>
      <c r="CC716" s="50"/>
      <c r="CD716" s="50"/>
      <c r="CE716" s="50"/>
      <c r="CF716" s="50"/>
      <c r="CG716" s="50"/>
      <c r="CH716" s="50"/>
      <c r="CI716" s="50"/>
      <c r="CJ716" s="50"/>
      <c r="CK716" s="50"/>
      <c r="CL716" s="50"/>
      <c r="CM716" s="50"/>
    </row>
    <row r="717" spans="1:91" ht="14.25" customHeight="1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50"/>
      <c r="AV717" s="50"/>
      <c r="AW717" s="50"/>
      <c r="AX717" s="50"/>
      <c r="AY717" s="50"/>
      <c r="AZ717" s="50"/>
      <c r="BA717" s="50"/>
      <c r="BB717" s="50"/>
      <c r="BC717" s="50"/>
      <c r="BD717" s="50"/>
      <c r="BE717" s="50"/>
      <c r="BF717" s="50"/>
      <c r="BG717" s="50"/>
      <c r="BH717" s="50"/>
      <c r="BI717" s="50"/>
      <c r="BJ717" s="50"/>
      <c r="BK717" s="50"/>
      <c r="BL717" s="50"/>
      <c r="BM717" s="50"/>
      <c r="BN717" s="50"/>
      <c r="BO717" s="50"/>
      <c r="BP717" s="50"/>
      <c r="BQ717" s="50"/>
      <c r="BR717" s="50"/>
      <c r="BS717" s="50"/>
      <c r="BT717" s="50"/>
      <c r="BU717" s="50"/>
      <c r="BV717" s="50"/>
      <c r="BW717" s="50"/>
      <c r="BX717" s="50"/>
      <c r="BY717" s="50"/>
      <c r="BZ717" s="50"/>
      <c r="CA717" s="50"/>
      <c r="CB717" s="50"/>
      <c r="CC717" s="50"/>
      <c r="CD717" s="50"/>
      <c r="CE717" s="50"/>
      <c r="CF717" s="50"/>
      <c r="CG717" s="50"/>
      <c r="CH717" s="50"/>
      <c r="CI717" s="50"/>
      <c r="CJ717" s="50"/>
      <c r="CK717" s="50"/>
      <c r="CL717" s="50"/>
      <c r="CM717" s="50"/>
    </row>
    <row r="718" spans="1:91" ht="14.25" customHeight="1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  <c r="AU718" s="50"/>
      <c r="AV718" s="50"/>
      <c r="AW718" s="50"/>
      <c r="AX718" s="50"/>
      <c r="AY718" s="50"/>
      <c r="AZ718" s="50"/>
      <c r="BA718" s="50"/>
      <c r="BB718" s="50"/>
      <c r="BC718" s="50"/>
      <c r="BD718" s="50"/>
      <c r="BE718" s="50"/>
      <c r="BF718" s="50"/>
      <c r="BG718" s="50"/>
      <c r="BH718" s="50"/>
      <c r="BI718" s="50"/>
      <c r="BJ718" s="50"/>
      <c r="BK718" s="50"/>
      <c r="BL718" s="50"/>
      <c r="BM718" s="50"/>
      <c r="BN718" s="50"/>
      <c r="BO718" s="50"/>
      <c r="BP718" s="50"/>
      <c r="BQ718" s="50"/>
      <c r="BR718" s="50"/>
      <c r="BS718" s="50"/>
      <c r="BT718" s="50"/>
      <c r="BU718" s="50"/>
      <c r="BV718" s="50"/>
      <c r="BW718" s="50"/>
      <c r="BX718" s="50"/>
      <c r="BY718" s="50"/>
      <c r="BZ718" s="50"/>
      <c r="CA718" s="50"/>
      <c r="CB718" s="50"/>
      <c r="CC718" s="50"/>
      <c r="CD718" s="50"/>
      <c r="CE718" s="50"/>
      <c r="CF718" s="50"/>
      <c r="CG718" s="50"/>
      <c r="CH718" s="50"/>
      <c r="CI718" s="50"/>
      <c r="CJ718" s="50"/>
      <c r="CK718" s="50"/>
      <c r="CL718" s="50"/>
      <c r="CM718" s="50"/>
    </row>
    <row r="719" spans="1:91" ht="14.25" customHeight="1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50"/>
      <c r="AV719" s="50"/>
      <c r="AW719" s="50"/>
      <c r="AX719" s="50"/>
      <c r="AY719" s="50"/>
      <c r="AZ719" s="50"/>
      <c r="BA719" s="50"/>
      <c r="BB719" s="50"/>
      <c r="BC719" s="50"/>
      <c r="BD719" s="50"/>
      <c r="BE719" s="50"/>
      <c r="BF719" s="50"/>
      <c r="BG719" s="50"/>
      <c r="BH719" s="50"/>
      <c r="BI719" s="50"/>
      <c r="BJ719" s="50"/>
      <c r="BK719" s="50"/>
      <c r="BL719" s="50"/>
      <c r="BM719" s="50"/>
      <c r="BN719" s="50"/>
      <c r="BO719" s="50"/>
      <c r="BP719" s="50"/>
      <c r="BQ719" s="50"/>
      <c r="BR719" s="50"/>
      <c r="BS719" s="50"/>
      <c r="BT719" s="50"/>
      <c r="BU719" s="50"/>
      <c r="BV719" s="50"/>
      <c r="BW719" s="50"/>
      <c r="BX719" s="50"/>
      <c r="BY719" s="50"/>
      <c r="BZ719" s="50"/>
      <c r="CA719" s="50"/>
      <c r="CB719" s="50"/>
      <c r="CC719" s="50"/>
      <c r="CD719" s="50"/>
      <c r="CE719" s="50"/>
      <c r="CF719" s="50"/>
      <c r="CG719" s="50"/>
      <c r="CH719" s="50"/>
      <c r="CI719" s="50"/>
      <c r="CJ719" s="50"/>
      <c r="CK719" s="50"/>
      <c r="CL719" s="50"/>
      <c r="CM719" s="50"/>
    </row>
    <row r="720" spans="1:91" ht="14.25" customHeight="1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50"/>
      <c r="AV720" s="50"/>
      <c r="AW720" s="50"/>
      <c r="AX720" s="50"/>
      <c r="AY720" s="50"/>
      <c r="AZ720" s="50"/>
      <c r="BA720" s="50"/>
      <c r="BB720" s="50"/>
      <c r="BC720" s="50"/>
      <c r="BD720" s="50"/>
      <c r="BE720" s="50"/>
      <c r="BF720" s="50"/>
      <c r="BG720" s="50"/>
      <c r="BH720" s="50"/>
      <c r="BI720" s="50"/>
      <c r="BJ720" s="50"/>
      <c r="BK720" s="50"/>
      <c r="BL720" s="50"/>
      <c r="BM720" s="50"/>
      <c r="BN720" s="50"/>
      <c r="BO720" s="50"/>
      <c r="BP720" s="50"/>
      <c r="BQ720" s="50"/>
      <c r="BR720" s="50"/>
      <c r="BS720" s="50"/>
      <c r="BT720" s="50"/>
      <c r="BU720" s="50"/>
      <c r="BV720" s="50"/>
      <c r="BW720" s="50"/>
      <c r="BX720" s="50"/>
      <c r="BY720" s="50"/>
      <c r="BZ720" s="50"/>
      <c r="CA720" s="50"/>
      <c r="CB720" s="50"/>
      <c r="CC720" s="50"/>
      <c r="CD720" s="50"/>
      <c r="CE720" s="50"/>
      <c r="CF720" s="50"/>
      <c r="CG720" s="50"/>
      <c r="CH720" s="50"/>
      <c r="CI720" s="50"/>
      <c r="CJ720" s="50"/>
      <c r="CK720" s="50"/>
      <c r="CL720" s="50"/>
      <c r="CM720" s="50"/>
    </row>
    <row r="721" spans="1:91" ht="14.25" customHeight="1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  <c r="AU721" s="50"/>
      <c r="AV721" s="50"/>
      <c r="AW721" s="50"/>
      <c r="AX721" s="50"/>
      <c r="AY721" s="50"/>
      <c r="AZ721" s="50"/>
      <c r="BA721" s="50"/>
      <c r="BB721" s="50"/>
      <c r="BC721" s="50"/>
      <c r="BD721" s="50"/>
      <c r="BE721" s="50"/>
      <c r="BF721" s="50"/>
      <c r="BG721" s="50"/>
      <c r="BH721" s="50"/>
      <c r="BI721" s="50"/>
      <c r="BJ721" s="50"/>
      <c r="BK721" s="50"/>
      <c r="BL721" s="50"/>
      <c r="BM721" s="50"/>
      <c r="BN721" s="50"/>
      <c r="BO721" s="50"/>
      <c r="BP721" s="50"/>
      <c r="BQ721" s="50"/>
      <c r="BR721" s="50"/>
      <c r="BS721" s="50"/>
      <c r="BT721" s="50"/>
      <c r="BU721" s="50"/>
      <c r="BV721" s="50"/>
      <c r="BW721" s="50"/>
      <c r="BX721" s="50"/>
      <c r="BY721" s="50"/>
      <c r="BZ721" s="50"/>
      <c r="CA721" s="50"/>
      <c r="CB721" s="50"/>
      <c r="CC721" s="50"/>
      <c r="CD721" s="50"/>
      <c r="CE721" s="50"/>
      <c r="CF721" s="50"/>
      <c r="CG721" s="50"/>
      <c r="CH721" s="50"/>
      <c r="CI721" s="50"/>
      <c r="CJ721" s="50"/>
      <c r="CK721" s="50"/>
      <c r="CL721" s="50"/>
      <c r="CM721" s="50"/>
    </row>
    <row r="722" spans="1:91" ht="14.25" customHeight="1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  <c r="AU722" s="50"/>
      <c r="AV722" s="50"/>
      <c r="AW722" s="50"/>
      <c r="AX722" s="50"/>
      <c r="AY722" s="50"/>
      <c r="AZ722" s="50"/>
      <c r="BA722" s="50"/>
      <c r="BB722" s="50"/>
      <c r="BC722" s="50"/>
      <c r="BD722" s="50"/>
      <c r="BE722" s="50"/>
      <c r="BF722" s="50"/>
      <c r="BG722" s="50"/>
      <c r="BH722" s="50"/>
      <c r="BI722" s="50"/>
      <c r="BJ722" s="50"/>
      <c r="BK722" s="50"/>
      <c r="BL722" s="50"/>
      <c r="BM722" s="50"/>
      <c r="BN722" s="50"/>
      <c r="BO722" s="50"/>
      <c r="BP722" s="50"/>
      <c r="BQ722" s="50"/>
      <c r="BR722" s="50"/>
      <c r="BS722" s="50"/>
      <c r="BT722" s="50"/>
      <c r="BU722" s="50"/>
      <c r="BV722" s="50"/>
      <c r="BW722" s="50"/>
      <c r="BX722" s="50"/>
      <c r="BY722" s="50"/>
      <c r="BZ722" s="50"/>
      <c r="CA722" s="50"/>
      <c r="CB722" s="50"/>
      <c r="CC722" s="50"/>
      <c r="CD722" s="50"/>
      <c r="CE722" s="50"/>
      <c r="CF722" s="50"/>
      <c r="CG722" s="50"/>
      <c r="CH722" s="50"/>
      <c r="CI722" s="50"/>
      <c r="CJ722" s="50"/>
      <c r="CK722" s="50"/>
      <c r="CL722" s="50"/>
      <c r="CM722" s="50"/>
    </row>
    <row r="723" spans="1:91" ht="14.25" customHeight="1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  <c r="AU723" s="50"/>
      <c r="AV723" s="50"/>
      <c r="AW723" s="50"/>
      <c r="AX723" s="50"/>
      <c r="AY723" s="50"/>
      <c r="AZ723" s="50"/>
      <c r="BA723" s="50"/>
      <c r="BB723" s="50"/>
      <c r="BC723" s="50"/>
      <c r="BD723" s="50"/>
      <c r="BE723" s="50"/>
      <c r="BF723" s="50"/>
      <c r="BG723" s="50"/>
      <c r="BH723" s="50"/>
      <c r="BI723" s="50"/>
      <c r="BJ723" s="50"/>
      <c r="BK723" s="50"/>
      <c r="BL723" s="50"/>
      <c r="BM723" s="50"/>
      <c r="BN723" s="50"/>
      <c r="BO723" s="50"/>
      <c r="BP723" s="50"/>
      <c r="BQ723" s="50"/>
      <c r="BR723" s="50"/>
      <c r="BS723" s="50"/>
      <c r="BT723" s="50"/>
      <c r="BU723" s="50"/>
      <c r="BV723" s="50"/>
      <c r="BW723" s="50"/>
      <c r="BX723" s="50"/>
      <c r="BY723" s="50"/>
      <c r="BZ723" s="50"/>
      <c r="CA723" s="50"/>
      <c r="CB723" s="50"/>
      <c r="CC723" s="50"/>
      <c r="CD723" s="50"/>
      <c r="CE723" s="50"/>
      <c r="CF723" s="50"/>
      <c r="CG723" s="50"/>
      <c r="CH723" s="50"/>
      <c r="CI723" s="50"/>
      <c r="CJ723" s="50"/>
      <c r="CK723" s="50"/>
      <c r="CL723" s="50"/>
      <c r="CM723" s="50"/>
    </row>
    <row r="724" spans="1:91" ht="14.25" customHeight="1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  <c r="AT724" s="50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  <c r="BO724" s="50"/>
      <c r="BP724" s="50"/>
      <c r="BQ724" s="50"/>
      <c r="BR724" s="50"/>
      <c r="BS724" s="50"/>
      <c r="BT724" s="50"/>
      <c r="BU724" s="50"/>
      <c r="BV724" s="50"/>
      <c r="BW724" s="50"/>
      <c r="BX724" s="50"/>
      <c r="BY724" s="50"/>
      <c r="BZ724" s="50"/>
      <c r="CA724" s="50"/>
      <c r="CB724" s="50"/>
      <c r="CC724" s="50"/>
      <c r="CD724" s="50"/>
      <c r="CE724" s="50"/>
      <c r="CF724" s="50"/>
      <c r="CG724" s="50"/>
      <c r="CH724" s="50"/>
      <c r="CI724" s="50"/>
      <c r="CJ724" s="50"/>
      <c r="CK724" s="50"/>
      <c r="CL724" s="50"/>
      <c r="CM724" s="50"/>
    </row>
    <row r="725" spans="1:91" ht="14.25" customHeight="1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  <c r="BO725" s="50"/>
      <c r="BP725" s="50"/>
      <c r="BQ725" s="50"/>
      <c r="BR725" s="50"/>
      <c r="BS725" s="50"/>
      <c r="BT725" s="50"/>
      <c r="BU725" s="50"/>
      <c r="BV725" s="50"/>
      <c r="BW725" s="50"/>
      <c r="BX725" s="50"/>
      <c r="BY725" s="50"/>
      <c r="BZ725" s="50"/>
      <c r="CA725" s="50"/>
      <c r="CB725" s="50"/>
      <c r="CC725" s="50"/>
      <c r="CD725" s="50"/>
      <c r="CE725" s="50"/>
      <c r="CF725" s="50"/>
      <c r="CG725" s="50"/>
      <c r="CH725" s="50"/>
      <c r="CI725" s="50"/>
      <c r="CJ725" s="50"/>
      <c r="CK725" s="50"/>
      <c r="CL725" s="50"/>
      <c r="CM725" s="50"/>
    </row>
    <row r="726" spans="1:91" ht="14.25" customHeight="1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  <c r="BO726" s="50"/>
      <c r="BP726" s="50"/>
      <c r="BQ726" s="50"/>
      <c r="BR726" s="50"/>
      <c r="BS726" s="50"/>
      <c r="BT726" s="50"/>
      <c r="BU726" s="50"/>
      <c r="BV726" s="50"/>
      <c r="BW726" s="50"/>
      <c r="BX726" s="50"/>
      <c r="BY726" s="50"/>
      <c r="BZ726" s="50"/>
      <c r="CA726" s="50"/>
      <c r="CB726" s="50"/>
      <c r="CC726" s="50"/>
      <c r="CD726" s="50"/>
      <c r="CE726" s="50"/>
      <c r="CF726" s="50"/>
      <c r="CG726" s="50"/>
      <c r="CH726" s="50"/>
      <c r="CI726" s="50"/>
      <c r="CJ726" s="50"/>
      <c r="CK726" s="50"/>
      <c r="CL726" s="50"/>
      <c r="CM726" s="50"/>
    </row>
    <row r="727" spans="1:91" ht="14.25" customHeight="1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  <c r="BO727" s="50"/>
      <c r="BP727" s="50"/>
      <c r="BQ727" s="50"/>
      <c r="BR727" s="50"/>
      <c r="BS727" s="50"/>
      <c r="BT727" s="50"/>
      <c r="BU727" s="50"/>
      <c r="BV727" s="50"/>
      <c r="BW727" s="50"/>
      <c r="BX727" s="50"/>
      <c r="BY727" s="50"/>
      <c r="BZ727" s="50"/>
      <c r="CA727" s="50"/>
      <c r="CB727" s="50"/>
      <c r="CC727" s="50"/>
      <c r="CD727" s="50"/>
      <c r="CE727" s="50"/>
      <c r="CF727" s="50"/>
      <c r="CG727" s="50"/>
      <c r="CH727" s="50"/>
      <c r="CI727" s="50"/>
      <c r="CJ727" s="50"/>
      <c r="CK727" s="50"/>
      <c r="CL727" s="50"/>
      <c r="CM727" s="50"/>
    </row>
    <row r="728" spans="1:91" ht="14.25" customHeight="1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  <c r="AT728" s="50"/>
      <c r="AU728" s="50"/>
      <c r="AV728" s="50"/>
      <c r="AW728" s="50"/>
      <c r="AX728" s="50"/>
      <c r="AY728" s="50"/>
      <c r="AZ728" s="50"/>
      <c r="BA728" s="50"/>
      <c r="BB728" s="50"/>
      <c r="BC728" s="50"/>
      <c r="BD728" s="50"/>
      <c r="BE728" s="50"/>
      <c r="BF728" s="50"/>
      <c r="BG728" s="50"/>
      <c r="BH728" s="50"/>
      <c r="BI728" s="50"/>
      <c r="BJ728" s="50"/>
      <c r="BK728" s="50"/>
      <c r="BL728" s="50"/>
      <c r="BM728" s="50"/>
      <c r="BN728" s="50"/>
      <c r="BO728" s="50"/>
      <c r="BP728" s="50"/>
      <c r="BQ728" s="50"/>
      <c r="BR728" s="50"/>
      <c r="BS728" s="50"/>
      <c r="BT728" s="50"/>
      <c r="BU728" s="50"/>
      <c r="BV728" s="50"/>
      <c r="BW728" s="50"/>
      <c r="BX728" s="50"/>
      <c r="BY728" s="50"/>
      <c r="BZ728" s="50"/>
      <c r="CA728" s="50"/>
      <c r="CB728" s="50"/>
      <c r="CC728" s="50"/>
      <c r="CD728" s="50"/>
      <c r="CE728" s="50"/>
      <c r="CF728" s="50"/>
      <c r="CG728" s="50"/>
      <c r="CH728" s="50"/>
      <c r="CI728" s="50"/>
      <c r="CJ728" s="50"/>
      <c r="CK728" s="50"/>
      <c r="CL728" s="50"/>
      <c r="CM728" s="50"/>
    </row>
    <row r="729" spans="1:91" ht="14.25" customHeight="1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  <c r="BO729" s="50"/>
      <c r="BP729" s="50"/>
      <c r="BQ729" s="50"/>
      <c r="BR729" s="50"/>
      <c r="BS729" s="50"/>
      <c r="BT729" s="50"/>
      <c r="BU729" s="50"/>
      <c r="BV729" s="50"/>
      <c r="BW729" s="50"/>
      <c r="BX729" s="50"/>
      <c r="BY729" s="50"/>
      <c r="BZ729" s="50"/>
      <c r="CA729" s="50"/>
      <c r="CB729" s="50"/>
      <c r="CC729" s="50"/>
      <c r="CD729" s="50"/>
      <c r="CE729" s="50"/>
      <c r="CF729" s="50"/>
      <c r="CG729" s="50"/>
      <c r="CH729" s="50"/>
      <c r="CI729" s="50"/>
      <c r="CJ729" s="50"/>
      <c r="CK729" s="50"/>
      <c r="CL729" s="50"/>
      <c r="CM729" s="50"/>
    </row>
    <row r="730" spans="1:91" ht="14.25" customHeight="1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  <c r="BO730" s="50"/>
      <c r="BP730" s="50"/>
      <c r="BQ730" s="50"/>
      <c r="BR730" s="50"/>
      <c r="BS730" s="50"/>
      <c r="BT730" s="50"/>
      <c r="BU730" s="50"/>
      <c r="BV730" s="50"/>
      <c r="BW730" s="50"/>
      <c r="BX730" s="50"/>
      <c r="BY730" s="50"/>
      <c r="BZ730" s="50"/>
      <c r="CA730" s="50"/>
      <c r="CB730" s="50"/>
      <c r="CC730" s="50"/>
      <c r="CD730" s="50"/>
      <c r="CE730" s="50"/>
      <c r="CF730" s="50"/>
      <c r="CG730" s="50"/>
      <c r="CH730" s="50"/>
      <c r="CI730" s="50"/>
      <c r="CJ730" s="50"/>
      <c r="CK730" s="50"/>
      <c r="CL730" s="50"/>
      <c r="CM730" s="50"/>
    </row>
    <row r="731" spans="1:91" ht="14.25" customHeight="1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  <c r="BO731" s="50"/>
      <c r="BP731" s="50"/>
      <c r="BQ731" s="50"/>
      <c r="BR731" s="50"/>
      <c r="BS731" s="50"/>
      <c r="BT731" s="50"/>
      <c r="BU731" s="50"/>
      <c r="BV731" s="50"/>
      <c r="BW731" s="50"/>
      <c r="BX731" s="50"/>
      <c r="BY731" s="50"/>
      <c r="BZ731" s="50"/>
      <c r="CA731" s="50"/>
      <c r="CB731" s="50"/>
      <c r="CC731" s="50"/>
      <c r="CD731" s="50"/>
      <c r="CE731" s="50"/>
      <c r="CF731" s="50"/>
      <c r="CG731" s="50"/>
      <c r="CH731" s="50"/>
      <c r="CI731" s="50"/>
      <c r="CJ731" s="50"/>
      <c r="CK731" s="50"/>
      <c r="CL731" s="50"/>
      <c r="CM731" s="50"/>
    </row>
    <row r="732" spans="1:91" ht="14.25" customHeight="1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  <c r="AZ732" s="50"/>
      <c r="BA732" s="50"/>
      <c r="BB732" s="50"/>
      <c r="BC732" s="50"/>
      <c r="BD732" s="50"/>
      <c r="BE732" s="50"/>
      <c r="BF732" s="50"/>
      <c r="BG732" s="50"/>
      <c r="BH732" s="50"/>
      <c r="BI732" s="50"/>
      <c r="BJ732" s="50"/>
      <c r="BK732" s="50"/>
      <c r="BL732" s="50"/>
      <c r="BM732" s="50"/>
      <c r="BN732" s="50"/>
      <c r="BO732" s="50"/>
      <c r="BP732" s="50"/>
      <c r="BQ732" s="50"/>
      <c r="BR732" s="50"/>
      <c r="BS732" s="50"/>
      <c r="BT732" s="50"/>
      <c r="BU732" s="50"/>
      <c r="BV732" s="50"/>
      <c r="BW732" s="50"/>
      <c r="BX732" s="50"/>
      <c r="BY732" s="50"/>
      <c r="BZ732" s="50"/>
      <c r="CA732" s="50"/>
      <c r="CB732" s="50"/>
      <c r="CC732" s="50"/>
      <c r="CD732" s="50"/>
      <c r="CE732" s="50"/>
      <c r="CF732" s="50"/>
      <c r="CG732" s="50"/>
      <c r="CH732" s="50"/>
      <c r="CI732" s="50"/>
      <c r="CJ732" s="50"/>
      <c r="CK732" s="50"/>
      <c r="CL732" s="50"/>
      <c r="CM732" s="50"/>
    </row>
    <row r="733" spans="1:91" ht="14.25" customHeight="1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  <c r="AZ733" s="50"/>
      <c r="BA733" s="50"/>
      <c r="BB733" s="50"/>
      <c r="BC733" s="50"/>
      <c r="BD733" s="50"/>
      <c r="BE733" s="50"/>
      <c r="BF733" s="50"/>
      <c r="BG733" s="50"/>
      <c r="BH733" s="50"/>
      <c r="BI733" s="50"/>
      <c r="BJ733" s="50"/>
      <c r="BK733" s="50"/>
      <c r="BL733" s="50"/>
      <c r="BM733" s="50"/>
      <c r="BN733" s="50"/>
      <c r="BO733" s="50"/>
      <c r="BP733" s="50"/>
      <c r="BQ733" s="50"/>
      <c r="BR733" s="50"/>
      <c r="BS733" s="50"/>
      <c r="BT733" s="50"/>
      <c r="BU733" s="50"/>
      <c r="BV733" s="50"/>
      <c r="BW733" s="50"/>
      <c r="BX733" s="50"/>
      <c r="BY733" s="50"/>
      <c r="BZ733" s="50"/>
      <c r="CA733" s="50"/>
      <c r="CB733" s="50"/>
      <c r="CC733" s="50"/>
      <c r="CD733" s="50"/>
      <c r="CE733" s="50"/>
      <c r="CF733" s="50"/>
      <c r="CG733" s="50"/>
      <c r="CH733" s="50"/>
      <c r="CI733" s="50"/>
      <c r="CJ733" s="50"/>
      <c r="CK733" s="50"/>
      <c r="CL733" s="50"/>
      <c r="CM733" s="50"/>
    </row>
    <row r="734" spans="1:91" ht="14.25" customHeight="1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50"/>
      <c r="BL734" s="50"/>
      <c r="BM734" s="50"/>
      <c r="BN734" s="50"/>
      <c r="BO734" s="50"/>
      <c r="BP734" s="50"/>
      <c r="BQ734" s="50"/>
      <c r="BR734" s="50"/>
      <c r="BS734" s="50"/>
      <c r="BT734" s="50"/>
      <c r="BU734" s="50"/>
      <c r="BV734" s="50"/>
      <c r="BW734" s="50"/>
      <c r="BX734" s="50"/>
      <c r="BY734" s="50"/>
      <c r="BZ734" s="50"/>
      <c r="CA734" s="50"/>
      <c r="CB734" s="50"/>
      <c r="CC734" s="50"/>
      <c r="CD734" s="50"/>
      <c r="CE734" s="50"/>
      <c r="CF734" s="50"/>
      <c r="CG734" s="50"/>
      <c r="CH734" s="50"/>
      <c r="CI734" s="50"/>
      <c r="CJ734" s="50"/>
      <c r="CK734" s="50"/>
      <c r="CL734" s="50"/>
      <c r="CM734" s="50"/>
    </row>
    <row r="735" spans="1:91" ht="14.25" customHeight="1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50"/>
      <c r="BL735" s="50"/>
      <c r="BM735" s="50"/>
      <c r="BN735" s="50"/>
      <c r="BO735" s="50"/>
      <c r="BP735" s="50"/>
      <c r="BQ735" s="50"/>
      <c r="BR735" s="50"/>
      <c r="BS735" s="50"/>
      <c r="BT735" s="50"/>
      <c r="BU735" s="50"/>
      <c r="BV735" s="50"/>
      <c r="BW735" s="50"/>
      <c r="BX735" s="50"/>
      <c r="BY735" s="50"/>
      <c r="BZ735" s="50"/>
      <c r="CA735" s="50"/>
      <c r="CB735" s="50"/>
      <c r="CC735" s="50"/>
      <c r="CD735" s="50"/>
      <c r="CE735" s="50"/>
      <c r="CF735" s="50"/>
      <c r="CG735" s="50"/>
      <c r="CH735" s="50"/>
      <c r="CI735" s="50"/>
      <c r="CJ735" s="50"/>
      <c r="CK735" s="50"/>
      <c r="CL735" s="50"/>
      <c r="CM735" s="50"/>
    </row>
    <row r="736" spans="1:91" ht="14.25" customHeight="1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50"/>
      <c r="BL736" s="50"/>
      <c r="BM736" s="50"/>
      <c r="BN736" s="50"/>
      <c r="BO736" s="50"/>
      <c r="BP736" s="50"/>
      <c r="BQ736" s="50"/>
      <c r="BR736" s="50"/>
      <c r="BS736" s="50"/>
      <c r="BT736" s="50"/>
      <c r="BU736" s="50"/>
      <c r="BV736" s="50"/>
      <c r="BW736" s="50"/>
      <c r="BX736" s="50"/>
      <c r="BY736" s="50"/>
      <c r="BZ736" s="50"/>
      <c r="CA736" s="50"/>
      <c r="CB736" s="50"/>
      <c r="CC736" s="50"/>
      <c r="CD736" s="50"/>
      <c r="CE736" s="50"/>
      <c r="CF736" s="50"/>
      <c r="CG736" s="50"/>
      <c r="CH736" s="50"/>
      <c r="CI736" s="50"/>
      <c r="CJ736" s="50"/>
      <c r="CK736" s="50"/>
      <c r="CL736" s="50"/>
      <c r="CM736" s="50"/>
    </row>
    <row r="737" spans="1:91" ht="14.25" customHeight="1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  <c r="AZ737" s="50"/>
      <c r="BA737" s="50"/>
      <c r="BB737" s="50"/>
      <c r="BC737" s="50"/>
      <c r="BD737" s="50"/>
      <c r="BE737" s="50"/>
      <c r="BF737" s="50"/>
      <c r="BG737" s="50"/>
      <c r="BH737" s="50"/>
      <c r="BI737" s="50"/>
      <c r="BJ737" s="50"/>
      <c r="BK737" s="50"/>
      <c r="BL737" s="50"/>
      <c r="BM737" s="50"/>
      <c r="BN737" s="50"/>
      <c r="BO737" s="50"/>
      <c r="BP737" s="50"/>
      <c r="BQ737" s="50"/>
      <c r="BR737" s="50"/>
      <c r="BS737" s="50"/>
      <c r="BT737" s="50"/>
      <c r="BU737" s="50"/>
      <c r="BV737" s="50"/>
      <c r="BW737" s="50"/>
      <c r="BX737" s="50"/>
      <c r="BY737" s="50"/>
      <c r="BZ737" s="50"/>
      <c r="CA737" s="50"/>
      <c r="CB737" s="50"/>
      <c r="CC737" s="50"/>
      <c r="CD737" s="50"/>
      <c r="CE737" s="50"/>
      <c r="CF737" s="50"/>
      <c r="CG737" s="50"/>
      <c r="CH737" s="50"/>
      <c r="CI737" s="50"/>
      <c r="CJ737" s="50"/>
      <c r="CK737" s="50"/>
      <c r="CL737" s="50"/>
      <c r="CM737" s="50"/>
    </row>
    <row r="738" spans="1:91" ht="14.25" customHeight="1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  <c r="AZ738" s="50"/>
      <c r="BA738" s="50"/>
      <c r="BB738" s="50"/>
      <c r="BC738" s="50"/>
      <c r="BD738" s="50"/>
      <c r="BE738" s="50"/>
      <c r="BF738" s="50"/>
      <c r="BG738" s="50"/>
      <c r="BH738" s="50"/>
      <c r="BI738" s="50"/>
      <c r="BJ738" s="50"/>
      <c r="BK738" s="50"/>
      <c r="BL738" s="50"/>
      <c r="BM738" s="50"/>
      <c r="BN738" s="50"/>
      <c r="BO738" s="50"/>
      <c r="BP738" s="50"/>
      <c r="BQ738" s="50"/>
      <c r="BR738" s="50"/>
      <c r="BS738" s="50"/>
      <c r="BT738" s="50"/>
      <c r="BU738" s="50"/>
      <c r="BV738" s="50"/>
      <c r="BW738" s="50"/>
      <c r="BX738" s="50"/>
      <c r="BY738" s="50"/>
      <c r="BZ738" s="50"/>
      <c r="CA738" s="50"/>
      <c r="CB738" s="50"/>
      <c r="CC738" s="50"/>
      <c r="CD738" s="50"/>
      <c r="CE738" s="50"/>
      <c r="CF738" s="50"/>
      <c r="CG738" s="50"/>
      <c r="CH738" s="50"/>
      <c r="CI738" s="50"/>
      <c r="CJ738" s="50"/>
      <c r="CK738" s="50"/>
      <c r="CL738" s="50"/>
      <c r="CM738" s="50"/>
    </row>
    <row r="739" spans="1:91" ht="14.25" customHeight="1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  <c r="BO739" s="50"/>
      <c r="BP739" s="50"/>
      <c r="BQ739" s="50"/>
      <c r="BR739" s="50"/>
      <c r="BS739" s="50"/>
      <c r="BT739" s="50"/>
      <c r="BU739" s="50"/>
      <c r="BV739" s="50"/>
      <c r="BW739" s="50"/>
      <c r="BX739" s="50"/>
      <c r="BY739" s="50"/>
      <c r="BZ739" s="50"/>
      <c r="CA739" s="50"/>
      <c r="CB739" s="50"/>
      <c r="CC739" s="50"/>
      <c r="CD739" s="50"/>
      <c r="CE739" s="50"/>
      <c r="CF739" s="50"/>
      <c r="CG739" s="50"/>
      <c r="CH739" s="50"/>
      <c r="CI739" s="50"/>
      <c r="CJ739" s="50"/>
      <c r="CK739" s="50"/>
      <c r="CL739" s="50"/>
      <c r="CM739" s="50"/>
    </row>
    <row r="740" spans="1:91" ht="14.25" customHeight="1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  <c r="BO740" s="50"/>
      <c r="BP740" s="50"/>
      <c r="BQ740" s="50"/>
      <c r="BR740" s="50"/>
      <c r="BS740" s="50"/>
      <c r="BT740" s="50"/>
      <c r="BU740" s="50"/>
      <c r="BV740" s="50"/>
      <c r="BW740" s="50"/>
      <c r="BX740" s="50"/>
      <c r="BY740" s="50"/>
      <c r="BZ740" s="50"/>
      <c r="CA740" s="50"/>
      <c r="CB740" s="50"/>
      <c r="CC740" s="50"/>
      <c r="CD740" s="50"/>
      <c r="CE740" s="50"/>
      <c r="CF740" s="50"/>
      <c r="CG740" s="50"/>
      <c r="CH740" s="50"/>
      <c r="CI740" s="50"/>
      <c r="CJ740" s="50"/>
      <c r="CK740" s="50"/>
      <c r="CL740" s="50"/>
      <c r="CM740" s="50"/>
    </row>
    <row r="741" spans="1:91" ht="14.25" customHeight="1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  <c r="BO741" s="50"/>
      <c r="BP741" s="50"/>
      <c r="BQ741" s="50"/>
      <c r="BR741" s="50"/>
      <c r="BS741" s="50"/>
      <c r="BT741" s="50"/>
      <c r="BU741" s="50"/>
      <c r="BV741" s="50"/>
      <c r="BW741" s="50"/>
      <c r="BX741" s="50"/>
      <c r="BY741" s="50"/>
      <c r="BZ741" s="50"/>
      <c r="CA741" s="50"/>
      <c r="CB741" s="50"/>
      <c r="CC741" s="50"/>
      <c r="CD741" s="50"/>
      <c r="CE741" s="50"/>
      <c r="CF741" s="50"/>
      <c r="CG741" s="50"/>
      <c r="CH741" s="50"/>
      <c r="CI741" s="50"/>
      <c r="CJ741" s="50"/>
      <c r="CK741" s="50"/>
      <c r="CL741" s="50"/>
      <c r="CM741" s="50"/>
    </row>
    <row r="742" spans="1:91" ht="14.25" customHeight="1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  <c r="AZ742" s="50"/>
      <c r="BA742" s="50"/>
      <c r="BB742" s="50"/>
      <c r="BC742" s="50"/>
      <c r="BD742" s="50"/>
      <c r="BE742" s="50"/>
      <c r="BF742" s="50"/>
      <c r="BG742" s="50"/>
      <c r="BH742" s="50"/>
      <c r="BI742" s="50"/>
      <c r="BJ742" s="50"/>
      <c r="BK742" s="50"/>
      <c r="BL742" s="50"/>
      <c r="BM742" s="50"/>
      <c r="BN742" s="50"/>
      <c r="BO742" s="50"/>
      <c r="BP742" s="50"/>
      <c r="BQ742" s="50"/>
      <c r="BR742" s="50"/>
      <c r="BS742" s="50"/>
      <c r="BT742" s="50"/>
      <c r="BU742" s="50"/>
      <c r="BV742" s="50"/>
      <c r="BW742" s="50"/>
      <c r="BX742" s="50"/>
      <c r="BY742" s="50"/>
      <c r="BZ742" s="50"/>
      <c r="CA742" s="50"/>
      <c r="CB742" s="50"/>
      <c r="CC742" s="50"/>
      <c r="CD742" s="50"/>
      <c r="CE742" s="50"/>
      <c r="CF742" s="50"/>
      <c r="CG742" s="50"/>
      <c r="CH742" s="50"/>
      <c r="CI742" s="50"/>
      <c r="CJ742" s="50"/>
      <c r="CK742" s="50"/>
      <c r="CL742" s="50"/>
      <c r="CM742" s="50"/>
    </row>
    <row r="743" spans="1:91" ht="14.25" customHeight="1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50"/>
      <c r="BL743" s="50"/>
      <c r="BM743" s="50"/>
      <c r="BN743" s="50"/>
      <c r="BO743" s="50"/>
      <c r="BP743" s="50"/>
      <c r="BQ743" s="50"/>
      <c r="BR743" s="50"/>
      <c r="BS743" s="50"/>
      <c r="BT743" s="50"/>
      <c r="BU743" s="50"/>
      <c r="BV743" s="50"/>
      <c r="BW743" s="50"/>
      <c r="BX743" s="50"/>
      <c r="BY743" s="50"/>
      <c r="BZ743" s="50"/>
      <c r="CA743" s="50"/>
      <c r="CB743" s="50"/>
      <c r="CC743" s="50"/>
      <c r="CD743" s="50"/>
      <c r="CE743" s="50"/>
      <c r="CF743" s="50"/>
      <c r="CG743" s="50"/>
      <c r="CH743" s="50"/>
      <c r="CI743" s="50"/>
      <c r="CJ743" s="50"/>
      <c r="CK743" s="50"/>
      <c r="CL743" s="50"/>
      <c r="CM743" s="50"/>
    </row>
    <row r="744" spans="1:91" ht="14.25" customHeight="1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  <c r="AZ744" s="50"/>
      <c r="BA744" s="50"/>
      <c r="BB744" s="50"/>
      <c r="BC744" s="50"/>
      <c r="BD744" s="50"/>
      <c r="BE744" s="50"/>
      <c r="BF744" s="50"/>
      <c r="BG744" s="50"/>
      <c r="BH744" s="50"/>
      <c r="BI744" s="50"/>
      <c r="BJ744" s="50"/>
      <c r="BK744" s="50"/>
      <c r="BL744" s="50"/>
      <c r="BM744" s="50"/>
      <c r="BN744" s="50"/>
      <c r="BO744" s="50"/>
      <c r="BP744" s="50"/>
      <c r="BQ744" s="50"/>
      <c r="BR744" s="50"/>
      <c r="BS744" s="50"/>
      <c r="BT744" s="50"/>
      <c r="BU744" s="50"/>
      <c r="BV744" s="50"/>
      <c r="BW744" s="50"/>
      <c r="BX744" s="50"/>
      <c r="BY744" s="50"/>
      <c r="BZ744" s="50"/>
      <c r="CA744" s="50"/>
      <c r="CB744" s="50"/>
      <c r="CC744" s="50"/>
      <c r="CD744" s="50"/>
      <c r="CE744" s="50"/>
      <c r="CF744" s="50"/>
      <c r="CG744" s="50"/>
      <c r="CH744" s="50"/>
      <c r="CI744" s="50"/>
      <c r="CJ744" s="50"/>
      <c r="CK744" s="50"/>
      <c r="CL744" s="50"/>
      <c r="CM744" s="50"/>
    </row>
    <row r="745" spans="1:91" ht="14.25" customHeight="1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  <c r="AZ745" s="50"/>
      <c r="BA745" s="50"/>
      <c r="BB745" s="50"/>
      <c r="BC745" s="50"/>
      <c r="BD745" s="50"/>
      <c r="BE745" s="50"/>
      <c r="BF745" s="50"/>
      <c r="BG745" s="50"/>
      <c r="BH745" s="50"/>
      <c r="BI745" s="50"/>
      <c r="BJ745" s="50"/>
      <c r="BK745" s="50"/>
      <c r="BL745" s="50"/>
      <c r="BM745" s="50"/>
      <c r="BN745" s="50"/>
      <c r="BO745" s="50"/>
      <c r="BP745" s="50"/>
      <c r="BQ745" s="50"/>
      <c r="BR745" s="50"/>
      <c r="BS745" s="50"/>
      <c r="BT745" s="50"/>
      <c r="BU745" s="50"/>
      <c r="BV745" s="50"/>
      <c r="BW745" s="50"/>
      <c r="BX745" s="50"/>
      <c r="BY745" s="50"/>
      <c r="BZ745" s="50"/>
      <c r="CA745" s="50"/>
      <c r="CB745" s="50"/>
      <c r="CC745" s="50"/>
      <c r="CD745" s="50"/>
      <c r="CE745" s="50"/>
      <c r="CF745" s="50"/>
      <c r="CG745" s="50"/>
      <c r="CH745" s="50"/>
      <c r="CI745" s="50"/>
      <c r="CJ745" s="50"/>
      <c r="CK745" s="50"/>
      <c r="CL745" s="50"/>
      <c r="CM745" s="50"/>
    </row>
    <row r="746" spans="1:91" ht="14.25" customHeight="1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  <c r="AZ746" s="50"/>
      <c r="BA746" s="50"/>
      <c r="BB746" s="50"/>
      <c r="BC746" s="50"/>
      <c r="BD746" s="50"/>
      <c r="BE746" s="50"/>
      <c r="BF746" s="50"/>
      <c r="BG746" s="50"/>
      <c r="BH746" s="50"/>
      <c r="BI746" s="50"/>
      <c r="BJ746" s="50"/>
      <c r="BK746" s="50"/>
      <c r="BL746" s="50"/>
      <c r="BM746" s="50"/>
      <c r="BN746" s="50"/>
      <c r="BO746" s="50"/>
      <c r="BP746" s="50"/>
      <c r="BQ746" s="50"/>
      <c r="BR746" s="50"/>
      <c r="BS746" s="50"/>
      <c r="BT746" s="50"/>
      <c r="BU746" s="50"/>
      <c r="BV746" s="50"/>
      <c r="BW746" s="50"/>
      <c r="BX746" s="50"/>
      <c r="BY746" s="50"/>
      <c r="BZ746" s="50"/>
      <c r="CA746" s="50"/>
      <c r="CB746" s="50"/>
      <c r="CC746" s="50"/>
      <c r="CD746" s="50"/>
      <c r="CE746" s="50"/>
      <c r="CF746" s="50"/>
      <c r="CG746" s="50"/>
      <c r="CH746" s="50"/>
      <c r="CI746" s="50"/>
      <c r="CJ746" s="50"/>
      <c r="CK746" s="50"/>
      <c r="CL746" s="50"/>
      <c r="CM746" s="50"/>
    </row>
    <row r="747" spans="1:91" ht="14.25" customHeight="1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  <c r="BO747" s="50"/>
      <c r="BP747" s="50"/>
      <c r="BQ747" s="50"/>
      <c r="BR747" s="50"/>
      <c r="BS747" s="50"/>
      <c r="BT747" s="50"/>
      <c r="BU747" s="50"/>
      <c r="BV747" s="50"/>
      <c r="BW747" s="50"/>
      <c r="BX747" s="50"/>
      <c r="BY747" s="50"/>
      <c r="BZ747" s="50"/>
      <c r="CA747" s="50"/>
      <c r="CB747" s="50"/>
      <c r="CC747" s="50"/>
      <c r="CD747" s="50"/>
      <c r="CE747" s="50"/>
      <c r="CF747" s="50"/>
      <c r="CG747" s="50"/>
      <c r="CH747" s="50"/>
      <c r="CI747" s="50"/>
      <c r="CJ747" s="50"/>
      <c r="CK747" s="50"/>
      <c r="CL747" s="50"/>
      <c r="CM747" s="50"/>
    </row>
    <row r="748" spans="1:91" ht="14.25" customHeight="1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  <c r="BO748" s="50"/>
      <c r="BP748" s="50"/>
      <c r="BQ748" s="50"/>
      <c r="BR748" s="50"/>
      <c r="BS748" s="50"/>
      <c r="BT748" s="50"/>
      <c r="BU748" s="50"/>
      <c r="BV748" s="50"/>
      <c r="BW748" s="50"/>
      <c r="BX748" s="50"/>
      <c r="BY748" s="50"/>
      <c r="BZ748" s="50"/>
      <c r="CA748" s="50"/>
      <c r="CB748" s="50"/>
      <c r="CC748" s="50"/>
      <c r="CD748" s="50"/>
      <c r="CE748" s="50"/>
      <c r="CF748" s="50"/>
      <c r="CG748" s="50"/>
      <c r="CH748" s="50"/>
      <c r="CI748" s="50"/>
      <c r="CJ748" s="50"/>
      <c r="CK748" s="50"/>
      <c r="CL748" s="50"/>
      <c r="CM748" s="50"/>
    </row>
    <row r="749" spans="1:91" ht="14.25" customHeight="1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  <c r="BO749" s="50"/>
      <c r="BP749" s="50"/>
      <c r="BQ749" s="50"/>
      <c r="BR749" s="50"/>
      <c r="BS749" s="50"/>
      <c r="BT749" s="50"/>
      <c r="BU749" s="50"/>
      <c r="BV749" s="50"/>
      <c r="BW749" s="50"/>
      <c r="BX749" s="50"/>
      <c r="BY749" s="50"/>
      <c r="BZ749" s="50"/>
      <c r="CA749" s="50"/>
      <c r="CB749" s="50"/>
      <c r="CC749" s="50"/>
      <c r="CD749" s="50"/>
      <c r="CE749" s="50"/>
      <c r="CF749" s="50"/>
      <c r="CG749" s="50"/>
      <c r="CH749" s="50"/>
      <c r="CI749" s="50"/>
      <c r="CJ749" s="50"/>
      <c r="CK749" s="50"/>
      <c r="CL749" s="50"/>
      <c r="CM749" s="50"/>
    </row>
    <row r="750" spans="1:91" ht="14.25" customHeight="1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50"/>
      <c r="BL750" s="50"/>
      <c r="BM750" s="50"/>
      <c r="BN750" s="50"/>
      <c r="BO750" s="50"/>
      <c r="BP750" s="50"/>
      <c r="BQ750" s="50"/>
      <c r="BR750" s="50"/>
      <c r="BS750" s="50"/>
      <c r="BT750" s="50"/>
      <c r="BU750" s="50"/>
      <c r="BV750" s="50"/>
      <c r="BW750" s="50"/>
      <c r="BX750" s="50"/>
      <c r="BY750" s="50"/>
      <c r="BZ750" s="50"/>
      <c r="CA750" s="50"/>
      <c r="CB750" s="50"/>
      <c r="CC750" s="50"/>
      <c r="CD750" s="50"/>
      <c r="CE750" s="50"/>
      <c r="CF750" s="50"/>
      <c r="CG750" s="50"/>
      <c r="CH750" s="50"/>
      <c r="CI750" s="50"/>
      <c r="CJ750" s="50"/>
      <c r="CK750" s="50"/>
      <c r="CL750" s="50"/>
      <c r="CM750" s="50"/>
    </row>
    <row r="751" spans="1:91" ht="14.25" customHeight="1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50"/>
      <c r="BL751" s="50"/>
      <c r="BM751" s="50"/>
      <c r="BN751" s="50"/>
      <c r="BO751" s="50"/>
      <c r="BP751" s="50"/>
      <c r="BQ751" s="50"/>
      <c r="BR751" s="50"/>
      <c r="BS751" s="50"/>
      <c r="BT751" s="50"/>
      <c r="BU751" s="50"/>
      <c r="BV751" s="50"/>
      <c r="BW751" s="50"/>
      <c r="BX751" s="50"/>
      <c r="BY751" s="50"/>
      <c r="BZ751" s="50"/>
      <c r="CA751" s="50"/>
      <c r="CB751" s="50"/>
      <c r="CC751" s="50"/>
      <c r="CD751" s="50"/>
      <c r="CE751" s="50"/>
      <c r="CF751" s="50"/>
      <c r="CG751" s="50"/>
      <c r="CH751" s="50"/>
      <c r="CI751" s="50"/>
      <c r="CJ751" s="50"/>
      <c r="CK751" s="50"/>
      <c r="CL751" s="50"/>
      <c r="CM751" s="50"/>
    </row>
    <row r="752" spans="1:91" ht="14.25" customHeight="1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  <c r="BG752" s="50"/>
      <c r="BH752" s="50"/>
      <c r="BI752" s="50"/>
      <c r="BJ752" s="50"/>
      <c r="BK752" s="50"/>
      <c r="BL752" s="50"/>
      <c r="BM752" s="50"/>
      <c r="BN752" s="50"/>
      <c r="BO752" s="50"/>
      <c r="BP752" s="50"/>
      <c r="BQ752" s="50"/>
      <c r="BR752" s="50"/>
      <c r="BS752" s="50"/>
      <c r="BT752" s="50"/>
      <c r="BU752" s="50"/>
      <c r="BV752" s="50"/>
      <c r="BW752" s="50"/>
      <c r="BX752" s="50"/>
      <c r="BY752" s="50"/>
      <c r="BZ752" s="50"/>
      <c r="CA752" s="50"/>
      <c r="CB752" s="50"/>
      <c r="CC752" s="50"/>
      <c r="CD752" s="50"/>
      <c r="CE752" s="50"/>
      <c r="CF752" s="50"/>
      <c r="CG752" s="50"/>
      <c r="CH752" s="50"/>
      <c r="CI752" s="50"/>
      <c r="CJ752" s="50"/>
      <c r="CK752" s="50"/>
      <c r="CL752" s="50"/>
      <c r="CM752" s="50"/>
    </row>
    <row r="753" spans="1:91" ht="14.25" customHeight="1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  <c r="AZ753" s="50"/>
      <c r="BA753" s="50"/>
      <c r="BB753" s="50"/>
      <c r="BC753" s="50"/>
      <c r="BD753" s="50"/>
      <c r="BE753" s="50"/>
      <c r="BF753" s="50"/>
      <c r="BG753" s="50"/>
      <c r="BH753" s="50"/>
      <c r="BI753" s="50"/>
      <c r="BJ753" s="50"/>
      <c r="BK753" s="50"/>
      <c r="BL753" s="50"/>
      <c r="BM753" s="50"/>
      <c r="BN753" s="50"/>
      <c r="BO753" s="50"/>
      <c r="BP753" s="50"/>
      <c r="BQ753" s="50"/>
      <c r="BR753" s="50"/>
      <c r="BS753" s="50"/>
      <c r="BT753" s="50"/>
      <c r="BU753" s="50"/>
      <c r="BV753" s="50"/>
      <c r="BW753" s="50"/>
      <c r="BX753" s="50"/>
      <c r="BY753" s="50"/>
      <c r="BZ753" s="50"/>
      <c r="CA753" s="50"/>
      <c r="CB753" s="50"/>
      <c r="CC753" s="50"/>
      <c r="CD753" s="50"/>
      <c r="CE753" s="50"/>
      <c r="CF753" s="50"/>
      <c r="CG753" s="50"/>
      <c r="CH753" s="50"/>
      <c r="CI753" s="50"/>
      <c r="CJ753" s="50"/>
      <c r="CK753" s="50"/>
      <c r="CL753" s="50"/>
      <c r="CM753" s="50"/>
    </row>
    <row r="754" spans="1:91" ht="14.25" customHeight="1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50"/>
      <c r="AV754" s="50"/>
      <c r="AW754" s="50"/>
      <c r="AX754" s="50"/>
      <c r="AY754" s="50"/>
      <c r="AZ754" s="50"/>
      <c r="BA754" s="50"/>
      <c r="BB754" s="50"/>
      <c r="BC754" s="50"/>
      <c r="BD754" s="50"/>
      <c r="BE754" s="50"/>
      <c r="BF754" s="50"/>
      <c r="BG754" s="50"/>
      <c r="BH754" s="50"/>
      <c r="BI754" s="50"/>
      <c r="BJ754" s="50"/>
      <c r="BK754" s="50"/>
      <c r="BL754" s="50"/>
      <c r="BM754" s="50"/>
      <c r="BN754" s="50"/>
      <c r="BO754" s="50"/>
      <c r="BP754" s="50"/>
      <c r="BQ754" s="50"/>
      <c r="BR754" s="50"/>
      <c r="BS754" s="50"/>
      <c r="BT754" s="50"/>
      <c r="BU754" s="50"/>
      <c r="BV754" s="50"/>
      <c r="BW754" s="50"/>
      <c r="BX754" s="50"/>
      <c r="BY754" s="50"/>
      <c r="BZ754" s="50"/>
      <c r="CA754" s="50"/>
      <c r="CB754" s="50"/>
      <c r="CC754" s="50"/>
      <c r="CD754" s="50"/>
      <c r="CE754" s="50"/>
      <c r="CF754" s="50"/>
      <c r="CG754" s="50"/>
      <c r="CH754" s="50"/>
      <c r="CI754" s="50"/>
      <c r="CJ754" s="50"/>
      <c r="CK754" s="50"/>
      <c r="CL754" s="50"/>
      <c r="CM754" s="50"/>
    </row>
    <row r="755" spans="1:91" ht="14.25" customHeight="1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50"/>
      <c r="AV755" s="50"/>
      <c r="AW755" s="50"/>
      <c r="AX755" s="50"/>
      <c r="AY755" s="50"/>
      <c r="AZ755" s="50"/>
      <c r="BA755" s="50"/>
      <c r="BB755" s="50"/>
      <c r="BC755" s="50"/>
      <c r="BD755" s="50"/>
      <c r="BE755" s="50"/>
      <c r="BF755" s="50"/>
      <c r="BG755" s="50"/>
      <c r="BH755" s="50"/>
      <c r="BI755" s="50"/>
      <c r="BJ755" s="50"/>
      <c r="BK755" s="50"/>
      <c r="BL755" s="50"/>
      <c r="BM755" s="50"/>
      <c r="BN755" s="50"/>
      <c r="BO755" s="50"/>
      <c r="BP755" s="50"/>
      <c r="BQ755" s="50"/>
      <c r="BR755" s="50"/>
      <c r="BS755" s="50"/>
      <c r="BT755" s="50"/>
      <c r="BU755" s="50"/>
      <c r="BV755" s="50"/>
      <c r="BW755" s="50"/>
      <c r="BX755" s="50"/>
      <c r="BY755" s="50"/>
      <c r="BZ755" s="50"/>
      <c r="CA755" s="50"/>
      <c r="CB755" s="50"/>
      <c r="CC755" s="50"/>
      <c r="CD755" s="50"/>
      <c r="CE755" s="50"/>
      <c r="CF755" s="50"/>
      <c r="CG755" s="50"/>
      <c r="CH755" s="50"/>
      <c r="CI755" s="50"/>
      <c r="CJ755" s="50"/>
      <c r="CK755" s="50"/>
      <c r="CL755" s="50"/>
      <c r="CM755" s="50"/>
    </row>
    <row r="756" spans="1:91" ht="14.25" customHeight="1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  <c r="BA756" s="50"/>
      <c r="BB756" s="50"/>
      <c r="BC756" s="50"/>
      <c r="BD756" s="50"/>
      <c r="BE756" s="50"/>
      <c r="BF756" s="50"/>
      <c r="BG756" s="50"/>
      <c r="BH756" s="50"/>
      <c r="BI756" s="50"/>
      <c r="BJ756" s="50"/>
      <c r="BK756" s="50"/>
      <c r="BL756" s="50"/>
      <c r="BM756" s="50"/>
      <c r="BN756" s="50"/>
      <c r="BO756" s="50"/>
      <c r="BP756" s="50"/>
      <c r="BQ756" s="50"/>
      <c r="BR756" s="50"/>
      <c r="BS756" s="50"/>
      <c r="BT756" s="50"/>
      <c r="BU756" s="50"/>
      <c r="BV756" s="50"/>
      <c r="BW756" s="50"/>
      <c r="BX756" s="50"/>
      <c r="BY756" s="50"/>
      <c r="BZ756" s="50"/>
      <c r="CA756" s="50"/>
      <c r="CB756" s="50"/>
      <c r="CC756" s="50"/>
      <c r="CD756" s="50"/>
      <c r="CE756" s="50"/>
      <c r="CF756" s="50"/>
      <c r="CG756" s="50"/>
      <c r="CH756" s="50"/>
      <c r="CI756" s="50"/>
      <c r="CJ756" s="50"/>
      <c r="CK756" s="50"/>
      <c r="CL756" s="50"/>
      <c r="CM756" s="50"/>
    </row>
    <row r="757" spans="1:91" ht="14.25" customHeight="1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  <c r="AX757" s="50"/>
      <c r="AY757" s="50"/>
      <c r="AZ757" s="50"/>
      <c r="BA757" s="50"/>
      <c r="BB757" s="50"/>
      <c r="BC757" s="50"/>
      <c r="BD757" s="50"/>
      <c r="BE757" s="50"/>
      <c r="BF757" s="50"/>
      <c r="BG757" s="50"/>
      <c r="BH757" s="50"/>
      <c r="BI757" s="50"/>
      <c r="BJ757" s="50"/>
      <c r="BK757" s="50"/>
      <c r="BL757" s="50"/>
      <c r="BM757" s="50"/>
      <c r="BN757" s="50"/>
      <c r="BO757" s="50"/>
      <c r="BP757" s="50"/>
      <c r="BQ757" s="50"/>
      <c r="BR757" s="50"/>
      <c r="BS757" s="50"/>
      <c r="BT757" s="50"/>
      <c r="BU757" s="50"/>
      <c r="BV757" s="50"/>
      <c r="BW757" s="50"/>
      <c r="BX757" s="50"/>
      <c r="BY757" s="50"/>
      <c r="BZ757" s="50"/>
      <c r="CA757" s="50"/>
      <c r="CB757" s="50"/>
      <c r="CC757" s="50"/>
      <c r="CD757" s="50"/>
      <c r="CE757" s="50"/>
      <c r="CF757" s="50"/>
      <c r="CG757" s="50"/>
      <c r="CH757" s="50"/>
      <c r="CI757" s="50"/>
      <c r="CJ757" s="50"/>
      <c r="CK757" s="50"/>
      <c r="CL757" s="50"/>
      <c r="CM757" s="50"/>
    </row>
    <row r="758" spans="1:91" ht="14.25" customHeight="1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  <c r="AU758" s="50"/>
      <c r="AV758" s="50"/>
      <c r="AW758" s="50"/>
      <c r="AX758" s="50"/>
      <c r="AY758" s="50"/>
      <c r="AZ758" s="50"/>
      <c r="BA758" s="50"/>
      <c r="BB758" s="50"/>
      <c r="BC758" s="50"/>
      <c r="BD758" s="50"/>
      <c r="BE758" s="50"/>
      <c r="BF758" s="50"/>
      <c r="BG758" s="50"/>
      <c r="BH758" s="50"/>
      <c r="BI758" s="50"/>
      <c r="BJ758" s="50"/>
      <c r="BK758" s="50"/>
      <c r="BL758" s="50"/>
      <c r="BM758" s="50"/>
      <c r="BN758" s="50"/>
      <c r="BO758" s="50"/>
      <c r="BP758" s="50"/>
      <c r="BQ758" s="50"/>
      <c r="BR758" s="50"/>
      <c r="BS758" s="50"/>
      <c r="BT758" s="50"/>
      <c r="BU758" s="50"/>
      <c r="BV758" s="50"/>
      <c r="BW758" s="50"/>
      <c r="BX758" s="50"/>
      <c r="BY758" s="50"/>
      <c r="BZ758" s="50"/>
      <c r="CA758" s="50"/>
      <c r="CB758" s="50"/>
      <c r="CC758" s="50"/>
      <c r="CD758" s="50"/>
      <c r="CE758" s="50"/>
      <c r="CF758" s="50"/>
      <c r="CG758" s="50"/>
      <c r="CH758" s="50"/>
      <c r="CI758" s="50"/>
      <c r="CJ758" s="50"/>
      <c r="CK758" s="50"/>
      <c r="CL758" s="50"/>
      <c r="CM758" s="50"/>
    </row>
    <row r="759" spans="1:91" ht="14.25" customHeight="1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50"/>
      <c r="AV759" s="50"/>
      <c r="AW759" s="50"/>
      <c r="AX759" s="50"/>
      <c r="AY759" s="50"/>
      <c r="AZ759" s="50"/>
      <c r="BA759" s="50"/>
      <c r="BB759" s="50"/>
      <c r="BC759" s="50"/>
      <c r="BD759" s="50"/>
      <c r="BE759" s="50"/>
      <c r="BF759" s="50"/>
      <c r="BG759" s="50"/>
      <c r="BH759" s="50"/>
      <c r="BI759" s="50"/>
      <c r="BJ759" s="50"/>
      <c r="BK759" s="50"/>
      <c r="BL759" s="50"/>
      <c r="BM759" s="50"/>
      <c r="BN759" s="50"/>
      <c r="BO759" s="50"/>
      <c r="BP759" s="50"/>
      <c r="BQ759" s="50"/>
      <c r="BR759" s="50"/>
      <c r="BS759" s="50"/>
      <c r="BT759" s="50"/>
      <c r="BU759" s="50"/>
      <c r="BV759" s="50"/>
      <c r="BW759" s="50"/>
      <c r="BX759" s="50"/>
      <c r="BY759" s="50"/>
      <c r="BZ759" s="50"/>
      <c r="CA759" s="50"/>
      <c r="CB759" s="50"/>
      <c r="CC759" s="50"/>
      <c r="CD759" s="50"/>
      <c r="CE759" s="50"/>
      <c r="CF759" s="50"/>
      <c r="CG759" s="50"/>
      <c r="CH759" s="50"/>
      <c r="CI759" s="50"/>
      <c r="CJ759" s="50"/>
      <c r="CK759" s="50"/>
      <c r="CL759" s="50"/>
      <c r="CM759" s="50"/>
    </row>
    <row r="760" spans="1:91" ht="14.25" customHeight="1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50"/>
      <c r="AV760" s="50"/>
      <c r="AW760" s="50"/>
      <c r="AX760" s="50"/>
      <c r="AY760" s="50"/>
      <c r="AZ760" s="50"/>
      <c r="BA760" s="50"/>
      <c r="BB760" s="50"/>
      <c r="BC760" s="50"/>
      <c r="BD760" s="50"/>
      <c r="BE760" s="50"/>
      <c r="BF760" s="50"/>
      <c r="BG760" s="50"/>
      <c r="BH760" s="50"/>
      <c r="BI760" s="50"/>
      <c r="BJ760" s="50"/>
      <c r="BK760" s="50"/>
      <c r="BL760" s="50"/>
      <c r="BM760" s="50"/>
      <c r="BN760" s="50"/>
      <c r="BO760" s="50"/>
      <c r="BP760" s="50"/>
      <c r="BQ760" s="50"/>
      <c r="BR760" s="50"/>
      <c r="BS760" s="50"/>
      <c r="BT760" s="50"/>
      <c r="BU760" s="50"/>
      <c r="BV760" s="50"/>
      <c r="BW760" s="50"/>
      <c r="BX760" s="50"/>
      <c r="BY760" s="50"/>
      <c r="BZ760" s="50"/>
      <c r="CA760" s="50"/>
      <c r="CB760" s="50"/>
      <c r="CC760" s="50"/>
      <c r="CD760" s="50"/>
      <c r="CE760" s="50"/>
      <c r="CF760" s="50"/>
      <c r="CG760" s="50"/>
      <c r="CH760" s="50"/>
      <c r="CI760" s="50"/>
      <c r="CJ760" s="50"/>
      <c r="CK760" s="50"/>
      <c r="CL760" s="50"/>
      <c r="CM760" s="50"/>
    </row>
    <row r="761" spans="1:91" ht="14.25" customHeight="1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  <c r="AU761" s="50"/>
      <c r="AV761" s="50"/>
      <c r="AW761" s="50"/>
      <c r="AX761" s="50"/>
      <c r="AY761" s="50"/>
      <c r="AZ761" s="50"/>
      <c r="BA761" s="50"/>
      <c r="BB761" s="50"/>
      <c r="BC761" s="50"/>
      <c r="BD761" s="50"/>
      <c r="BE761" s="50"/>
      <c r="BF761" s="50"/>
      <c r="BG761" s="50"/>
      <c r="BH761" s="50"/>
      <c r="BI761" s="50"/>
      <c r="BJ761" s="50"/>
      <c r="BK761" s="50"/>
      <c r="BL761" s="50"/>
      <c r="BM761" s="50"/>
      <c r="BN761" s="50"/>
      <c r="BO761" s="50"/>
      <c r="BP761" s="50"/>
      <c r="BQ761" s="50"/>
      <c r="BR761" s="50"/>
      <c r="BS761" s="50"/>
      <c r="BT761" s="50"/>
      <c r="BU761" s="50"/>
      <c r="BV761" s="50"/>
      <c r="BW761" s="50"/>
      <c r="BX761" s="50"/>
      <c r="BY761" s="50"/>
      <c r="BZ761" s="50"/>
      <c r="CA761" s="50"/>
      <c r="CB761" s="50"/>
      <c r="CC761" s="50"/>
      <c r="CD761" s="50"/>
      <c r="CE761" s="50"/>
      <c r="CF761" s="50"/>
      <c r="CG761" s="50"/>
      <c r="CH761" s="50"/>
      <c r="CI761" s="50"/>
      <c r="CJ761" s="50"/>
      <c r="CK761" s="50"/>
      <c r="CL761" s="50"/>
      <c r="CM761" s="50"/>
    </row>
    <row r="762" spans="1:91" ht="14.25" customHeight="1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  <c r="BO762" s="50"/>
      <c r="BP762" s="50"/>
      <c r="BQ762" s="50"/>
      <c r="BR762" s="50"/>
      <c r="BS762" s="50"/>
      <c r="BT762" s="50"/>
      <c r="BU762" s="50"/>
      <c r="BV762" s="50"/>
      <c r="BW762" s="50"/>
      <c r="BX762" s="50"/>
      <c r="BY762" s="50"/>
      <c r="BZ762" s="50"/>
      <c r="CA762" s="50"/>
      <c r="CB762" s="50"/>
      <c r="CC762" s="50"/>
      <c r="CD762" s="50"/>
      <c r="CE762" s="50"/>
      <c r="CF762" s="50"/>
      <c r="CG762" s="50"/>
      <c r="CH762" s="50"/>
      <c r="CI762" s="50"/>
      <c r="CJ762" s="50"/>
      <c r="CK762" s="50"/>
      <c r="CL762" s="50"/>
      <c r="CM762" s="50"/>
    </row>
    <row r="763" spans="1:91" ht="14.25" customHeight="1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  <c r="BO763" s="50"/>
      <c r="BP763" s="50"/>
      <c r="BQ763" s="50"/>
      <c r="BR763" s="50"/>
      <c r="BS763" s="50"/>
      <c r="BT763" s="50"/>
      <c r="BU763" s="50"/>
      <c r="BV763" s="50"/>
      <c r="BW763" s="50"/>
      <c r="BX763" s="50"/>
      <c r="BY763" s="50"/>
      <c r="BZ763" s="50"/>
      <c r="CA763" s="50"/>
      <c r="CB763" s="50"/>
      <c r="CC763" s="50"/>
      <c r="CD763" s="50"/>
      <c r="CE763" s="50"/>
      <c r="CF763" s="50"/>
      <c r="CG763" s="50"/>
      <c r="CH763" s="50"/>
      <c r="CI763" s="50"/>
      <c r="CJ763" s="50"/>
      <c r="CK763" s="50"/>
      <c r="CL763" s="50"/>
      <c r="CM763" s="50"/>
    </row>
    <row r="764" spans="1:91" ht="14.25" customHeight="1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  <c r="BO764" s="50"/>
      <c r="BP764" s="50"/>
      <c r="BQ764" s="50"/>
      <c r="BR764" s="50"/>
      <c r="BS764" s="50"/>
      <c r="BT764" s="50"/>
      <c r="BU764" s="50"/>
      <c r="BV764" s="50"/>
      <c r="BW764" s="50"/>
      <c r="BX764" s="50"/>
      <c r="BY764" s="50"/>
      <c r="BZ764" s="50"/>
      <c r="CA764" s="50"/>
      <c r="CB764" s="50"/>
      <c r="CC764" s="50"/>
      <c r="CD764" s="50"/>
      <c r="CE764" s="50"/>
      <c r="CF764" s="50"/>
      <c r="CG764" s="50"/>
      <c r="CH764" s="50"/>
      <c r="CI764" s="50"/>
      <c r="CJ764" s="50"/>
      <c r="CK764" s="50"/>
      <c r="CL764" s="50"/>
      <c r="CM764" s="50"/>
    </row>
    <row r="765" spans="1:91" ht="14.25" customHeight="1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  <c r="BT765" s="50"/>
      <c r="BU765" s="50"/>
      <c r="BV765" s="50"/>
      <c r="BW765" s="50"/>
      <c r="BX765" s="50"/>
      <c r="BY765" s="50"/>
      <c r="BZ765" s="50"/>
      <c r="CA765" s="50"/>
      <c r="CB765" s="50"/>
      <c r="CC765" s="50"/>
      <c r="CD765" s="50"/>
      <c r="CE765" s="50"/>
      <c r="CF765" s="50"/>
      <c r="CG765" s="50"/>
      <c r="CH765" s="50"/>
      <c r="CI765" s="50"/>
      <c r="CJ765" s="50"/>
      <c r="CK765" s="50"/>
      <c r="CL765" s="50"/>
      <c r="CM765" s="50"/>
    </row>
    <row r="766" spans="1:91" ht="14.25" customHeight="1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50"/>
      <c r="AV766" s="50"/>
      <c r="AW766" s="50"/>
      <c r="AX766" s="50"/>
      <c r="AY766" s="50"/>
      <c r="AZ766" s="50"/>
      <c r="BA766" s="50"/>
      <c r="BB766" s="50"/>
      <c r="BC766" s="50"/>
      <c r="BD766" s="50"/>
      <c r="BE766" s="50"/>
      <c r="BF766" s="50"/>
      <c r="BG766" s="50"/>
      <c r="BH766" s="50"/>
      <c r="BI766" s="50"/>
      <c r="BJ766" s="50"/>
      <c r="BK766" s="50"/>
      <c r="BL766" s="50"/>
      <c r="BM766" s="50"/>
      <c r="BN766" s="50"/>
      <c r="BO766" s="50"/>
      <c r="BP766" s="50"/>
      <c r="BQ766" s="50"/>
      <c r="BR766" s="50"/>
      <c r="BS766" s="50"/>
      <c r="BT766" s="50"/>
      <c r="BU766" s="50"/>
      <c r="BV766" s="50"/>
      <c r="BW766" s="50"/>
      <c r="BX766" s="50"/>
      <c r="BY766" s="50"/>
      <c r="BZ766" s="50"/>
      <c r="CA766" s="50"/>
      <c r="CB766" s="50"/>
      <c r="CC766" s="50"/>
      <c r="CD766" s="50"/>
      <c r="CE766" s="50"/>
      <c r="CF766" s="50"/>
      <c r="CG766" s="50"/>
      <c r="CH766" s="50"/>
      <c r="CI766" s="50"/>
      <c r="CJ766" s="50"/>
      <c r="CK766" s="50"/>
      <c r="CL766" s="50"/>
      <c r="CM766" s="50"/>
    </row>
    <row r="767" spans="1:91" ht="14.25" customHeight="1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50"/>
      <c r="AV767" s="50"/>
      <c r="AW767" s="50"/>
      <c r="AX767" s="50"/>
      <c r="AY767" s="50"/>
      <c r="AZ767" s="50"/>
      <c r="BA767" s="50"/>
      <c r="BB767" s="50"/>
      <c r="BC767" s="50"/>
      <c r="BD767" s="50"/>
      <c r="BE767" s="50"/>
      <c r="BF767" s="50"/>
      <c r="BG767" s="50"/>
      <c r="BH767" s="50"/>
      <c r="BI767" s="50"/>
      <c r="BJ767" s="50"/>
      <c r="BK767" s="50"/>
      <c r="BL767" s="50"/>
      <c r="BM767" s="50"/>
      <c r="BN767" s="50"/>
      <c r="BO767" s="50"/>
      <c r="BP767" s="50"/>
      <c r="BQ767" s="50"/>
      <c r="BR767" s="50"/>
      <c r="BS767" s="50"/>
      <c r="BT767" s="50"/>
      <c r="BU767" s="50"/>
      <c r="BV767" s="50"/>
      <c r="BW767" s="50"/>
      <c r="BX767" s="50"/>
      <c r="BY767" s="50"/>
      <c r="BZ767" s="50"/>
      <c r="CA767" s="50"/>
      <c r="CB767" s="50"/>
      <c r="CC767" s="50"/>
      <c r="CD767" s="50"/>
      <c r="CE767" s="50"/>
      <c r="CF767" s="50"/>
      <c r="CG767" s="50"/>
      <c r="CH767" s="50"/>
      <c r="CI767" s="50"/>
      <c r="CJ767" s="50"/>
      <c r="CK767" s="50"/>
      <c r="CL767" s="50"/>
      <c r="CM767" s="50"/>
    </row>
    <row r="768" spans="1:91" ht="14.25" customHeight="1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0"/>
      <c r="BD768" s="50"/>
      <c r="BE768" s="50"/>
      <c r="BF768" s="50"/>
      <c r="BG768" s="50"/>
      <c r="BH768" s="50"/>
      <c r="BI768" s="50"/>
      <c r="BJ768" s="50"/>
      <c r="BK768" s="50"/>
      <c r="BL768" s="50"/>
      <c r="BM768" s="50"/>
      <c r="BN768" s="50"/>
      <c r="BO768" s="50"/>
      <c r="BP768" s="50"/>
      <c r="BQ768" s="50"/>
      <c r="BR768" s="50"/>
      <c r="BS768" s="50"/>
      <c r="BT768" s="50"/>
      <c r="BU768" s="50"/>
      <c r="BV768" s="50"/>
      <c r="BW768" s="50"/>
      <c r="BX768" s="50"/>
      <c r="BY768" s="50"/>
      <c r="BZ768" s="50"/>
      <c r="CA768" s="50"/>
      <c r="CB768" s="50"/>
      <c r="CC768" s="50"/>
      <c r="CD768" s="50"/>
      <c r="CE768" s="50"/>
      <c r="CF768" s="50"/>
      <c r="CG768" s="50"/>
      <c r="CH768" s="50"/>
      <c r="CI768" s="50"/>
      <c r="CJ768" s="50"/>
      <c r="CK768" s="50"/>
      <c r="CL768" s="50"/>
      <c r="CM768" s="50"/>
    </row>
    <row r="769" spans="1:91" ht="14.25" customHeight="1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50"/>
      <c r="BL769" s="50"/>
      <c r="BM769" s="50"/>
      <c r="BN769" s="50"/>
      <c r="BO769" s="50"/>
      <c r="BP769" s="50"/>
      <c r="BQ769" s="50"/>
      <c r="BR769" s="50"/>
      <c r="BS769" s="50"/>
      <c r="BT769" s="50"/>
      <c r="BU769" s="50"/>
      <c r="BV769" s="50"/>
      <c r="BW769" s="50"/>
      <c r="BX769" s="50"/>
      <c r="BY769" s="50"/>
      <c r="BZ769" s="50"/>
      <c r="CA769" s="50"/>
      <c r="CB769" s="50"/>
      <c r="CC769" s="50"/>
      <c r="CD769" s="50"/>
      <c r="CE769" s="50"/>
      <c r="CF769" s="50"/>
      <c r="CG769" s="50"/>
      <c r="CH769" s="50"/>
      <c r="CI769" s="50"/>
      <c r="CJ769" s="50"/>
      <c r="CK769" s="50"/>
      <c r="CL769" s="50"/>
      <c r="CM769" s="50"/>
    </row>
    <row r="770" spans="1:91" ht="14.25" customHeight="1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50"/>
      <c r="AV770" s="50"/>
      <c r="AW770" s="50"/>
      <c r="AX770" s="50"/>
      <c r="AY770" s="50"/>
      <c r="AZ770" s="50"/>
      <c r="BA770" s="50"/>
      <c r="BB770" s="50"/>
      <c r="BC770" s="50"/>
      <c r="BD770" s="50"/>
      <c r="BE770" s="50"/>
      <c r="BF770" s="50"/>
      <c r="BG770" s="50"/>
      <c r="BH770" s="50"/>
      <c r="BI770" s="50"/>
      <c r="BJ770" s="50"/>
      <c r="BK770" s="50"/>
      <c r="BL770" s="50"/>
      <c r="BM770" s="50"/>
      <c r="BN770" s="50"/>
      <c r="BO770" s="50"/>
      <c r="BP770" s="50"/>
      <c r="BQ770" s="50"/>
      <c r="BR770" s="50"/>
      <c r="BS770" s="50"/>
      <c r="BT770" s="50"/>
      <c r="BU770" s="50"/>
      <c r="BV770" s="50"/>
      <c r="BW770" s="50"/>
      <c r="BX770" s="50"/>
      <c r="BY770" s="50"/>
      <c r="BZ770" s="50"/>
      <c r="CA770" s="50"/>
      <c r="CB770" s="50"/>
      <c r="CC770" s="50"/>
      <c r="CD770" s="50"/>
      <c r="CE770" s="50"/>
      <c r="CF770" s="50"/>
      <c r="CG770" s="50"/>
      <c r="CH770" s="50"/>
      <c r="CI770" s="50"/>
      <c r="CJ770" s="50"/>
      <c r="CK770" s="50"/>
      <c r="CL770" s="50"/>
      <c r="CM770" s="50"/>
    </row>
    <row r="771" spans="1:91" ht="14.25" customHeight="1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50"/>
      <c r="BL771" s="50"/>
      <c r="BM771" s="50"/>
      <c r="BN771" s="50"/>
      <c r="BO771" s="50"/>
      <c r="BP771" s="50"/>
      <c r="BQ771" s="50"/>
      <c r="BR771" s="50"/>
      <c r="BS771" s="50"/>
      <c r="BT771" s="50"/>
      <c r="BU771" s="50"/>
      <c r="BV771" s="50"/>
      <c r="BW771" s="50"/>
      <c r="BX771" s="50"/>
      <c r="BY771" s="50"/>
      <c r="BZ771" s="50"/>
      <c r="CA771" s="50"/>
      <c r="CB771" s="50"/>
      <c r="CC771" s="50"/>
      <c r="CD771" s="50"/>
      <c r="CE771" s="50"/>
      <c r="CF771" s="50"/>
      <c r="CG771" s="50"/>
      <c r="CH771" s="50"/>
      <c r="CI771" s="50"/>
      <c r="CJ771" s="50"/>
      <c r="CK771" s="50"/>
      <c r="CL771" s="50"/>
      <c r="CM771" s="50"/>
    </row>
    <row r="772" spans="1:91" ht="14.25" customHeight="1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50"/>
      <c r="AV772" s="50"/>
      <c r="AW772" s="50"/>
      <c r="AX772" s="50"/>
      <c r="AY772" s="50"/>
      <c r="AZ772" s="50"/>
      <c r="BA772" s="50"/>
      <c r="BB772" s="50"/>
      <c r="BC772" s="50"/>
      <c r="BD772" s="50"/>
      <c r="BE772" s="50"/>
      <c r="BF772" s="50"/>
      <c r="BG772" s="50"/>
      <c r="BH772" s="50"/>
      <c r="BI772" s="50"/>
      <c r="BJ772" s="50"/>
      <c r="BK772" s="50"/>
      <c r="BL772" s="50"/>
      <c r="BM772" s="50"/>
      <c r="BN772" s="50"/>
      <c r="BO772" s="50"/>
      <c r="BP772" s="50"/>
      <c r="BQ772" s="50"/>
      <c r="BR772" s="50"/>
      <c r="BS772" s="50"/>
      <c r="BT772" s="50"/>
      <c r="BU772" s="50"/>
      <c r="BV772" s="50"/>
      <c r="BW772" s="50"/>
      <c r="BX772" s="50"/>
      <c r="BY772" s="50"/>
      <c r="BZ772" s="50"/>
      <c r="CA772" s="50"/>
      <c r="CB772" s="50"/>
      <c r="CC772" s="50"/>
      <c r="CD772" s="50"/>
      <c r="CE772" s="50"/>
      <c r="CF772" s="50"/>
      <c r="CG772" s="50"/>
      <c r="CH772" s="50"/>
      <c r="CI772" s="50"/>
      <c r="CJ772" s="50"/>
      <c r="CK772" s="50"/>
      <c r="CL772" s="50"/>
      <c r="CM772" s="50"/>
    </row>
    <row r="773" spans="1:91" ht="14.25" customHeight="1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50"/>
      <c r="AV773" s="50"/>
      <c r="AW773" s="50"/>
      <c r="AX773" s="50"/>
      <c r="AY773" s="50"/>
      <c r="AZ773" s="50"/>
      <c r="BA773" s="50"/>
      <c r="BB773" s="50"/>
      <c r="BC773" s="50"/>
      <c r="BD773" s="50"/>
      <c r="BE773" s="50"/>
      <c r="BF773" s="50"/>
      <c r="BG773" s="50"/>
      <c r="BH773" s="50"/>
      <c r="BI773" s="50"/>
      <c r="BJ773" s="50"/>
      <c r="BK773" s="50"/>
      <c r="BL773" s="50"/>
      <c r="BM773" s="50"/>
      <c r="BN773" s="50"/>
      <c r="BO773" s="50"/>
      <c r="BP773" s="50"/>
      <c r="BQ773" s="50"/>
      <c r="BR773" s="50"/>
      <c r="BS773" s="50"/>
      <c r="BT773" s="50"/>
      <c r="BU773" s="50"/>
      <c r="BV773" s="50"/>
      <c r="BW773" s="50"/>
      <c r="BX773" s="50"/>
      <c r="BY773" s="50"/>
      <c r="BZ773" s="50"/>
      <c r="CA773" s="50"/>
      <c r="CB773" s="50"/>
      <c r="CC773" s="50"/>
      <c r="CD773" s="50"/>
      <c r="CE773" s="50"/>
      <c r="CF773" s="50"/>
      <c r="CG773" s="50"/>
      <c r="CH773" s="50"/>
      <c r="CI773" s="50"/>
      <c r="CJ773" s="50"/>
      <c r="CK773" s="50"/>
      <c r="CL773" s="50"/>
      <c r="CM773" s="50"/>
    </row>
    <row r="774" spans="1:91" ht="14.25" customHeight="1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  <c r="BF774" s="50"/>
      <c r="BG774" s="50"/>
      <c r="BH774" s="50"/>
      <c r="BI774" s="50"/>
      <c r="BJ774" s="50"/>
      <c r="BK774" s="50"/>
      <c r="BL774" s="50"/>
      <c r="BM774" s="50"/>
      <c r="BN774" s="50"/>
      <c r="BO774" s="50"/>
      <c r="BP774" s="50"/>
      <c r="BQ774" s="50"/>
      <c r="BR774" s="50"/>
      <c r="BS774" s="50"/>
      <c r="BT774" s="50"/>
      <c r="BU774" s="50"/>
      <c r="BV774" s="50"/>
      <c r="BW774" s="50"/>
      <c r="BX774" s="50"/>
      <c r="BY774" s="50"/>
      <c r="BZ774" s="50"/>
      <c r="CA774" s="50"/>
      <c r="CB774" s="50"/>
      <c r="CC774" s="50"/>
      <c r="CD774" s="50"/>
      <c r="CE774" s="50"/>
      <c r="CF774" s="50"/>
      <c r="CG774" s="50"/>
      <c r="CH774" s="50"/>
      <c r="CI774" s="50"/>
      <c r="CJ774" s="50"/>
      <c r="CK774" s="50"/>
      <c r="CL774" s="50"/>
      <c r="CM774" s="50"/>
    </row>
    <row r="775" spans="1:91" ht="14.25" customHeight="1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  <c r="BO775" s="50"/>
      <c r="BP775" s="50"/>
      <c r="BQ775" s="50"/>
      <c r="BR775" s="50"/>
      <c r="BS775" s="50"/>
      <c r="BT775" s="50"/>
      <c r="BU775" s="50"/>
      <c r="BV775" s="50"/>
      <c r="BW775" s="50"/>
      <c r="BX775" s="50"/>
      <c r="BY775" s="50"/>
      <c r="BZ775" s="50"/>
      <c r="CA775" s="50"/>
      <c r="CB775" s="50"/>
      <c r="CC775" s="50"/>
      <c r="CD775" s="50"/>
      <c r="CE775" s="50"/>
      <c r="CF775" s="50"/>
      <c r="CG775" s="50"/>
      <c r="CH775" s="50"/>
      <c r="CI775" s="50"/>
      <c r="CJ775" s="50"/>
      <c r="CK775" s="50"/>
      <c r="CL775" s="50"/>
      <c r="CM775" s="50"/>
    </row>
    <row r="776" spans="1:91" ht="14.25" customHeight="1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  <c r="BO776" s="50"/>
      <c r="BP776" s="50"/>
      <c r="BQ776" s="50"/>
      <c r="BR776" s="50"/>
      <c r="BS776" s="50"/>
      <c r="BT776" s="50"/>
      <c r="BU776" s="50"/>
      <c r="BV776" s="50"/>
      <c r="BW776" s="50"/>
      <c r="BX776" s="50"/>
      <c r="BY776" s="50"/>
      <c r="BZ776" s="50"/>
      <c r="CA776" s="50"/>
      <c r="CB776" s="50"/>
      <c r="CC776" s="50"/>
      <c r="CD776" s="50"/>
      <c r="CE776" s="50"/>
      <c r="CF776" s="50"/>
      <c r="CG776" s="50"/>
      <c r="CH776" s="50"/>
      <c r="CI776" s="50"/>
      <c r="CJ776" s="50"/>
      <c r="CK776" s="50"/>
      <c r="CL776" s="50"/>
      <c r="CM776" s="50"/>
    </row>
    <row r="777" spans="1:91" ht="14.25" customHeight="1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  <c r="BO777" s="50"/>
      <c r="BP777" s="50"/>
      <c r="BQ777" s="50"/>
      <c r="BR777" s="50"/>
      <c r="BS777" s="50"/>
      <c r="BT777" s="50"/>
      <c r="BU777" s="50"/>
      <c r="BV777" s="50"/>
      <c r="BW777" s="50"/>
      <c r="BX777" s="50"/>
      <c r="BY777" s="50"/>
      <c r="BZ777" s="50"/>
      <c r="CA777" s="50"/>
      <c r="CB777" s="50"/>
      <c r="CC777" s="50"/>
      <c r="CD777" s="50"/>
      <c r="CE777" s="50"/>
      <c r="CF777" s="50"/>
      <c r="CG777" s="50"/>
      <c r="CH777" s="50"/>
      <c r="CI777" s="50"/>
      <c r="CJ777" s="50"/>
      <c r="CK777" s="50"/>
      <c r="CL777" s="50"/>
      <c r="CM777" s="50"/>
    </row>
    <row r="778" spans="1:91" ht="14.25" customHeight="1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  <c r="BO778" s="50"/>
      <c r="BP778" s="50"/>
      <c r="BQ778" s="50"/>
      <c r="BR778" s="50"/>
      <c r="BS778" s="50"/>
      <c r="BT778" s="50"/>
      <c r="BU778" s="50"/>
      <c r="BV778" s="50"/>
      <c r="BW778" s="50"/>
      <c r="BX778" s="50"/>
      <c r="BY778" s="50"/>
      <c r="BZ778" s="50"/>
      <c r="CA778" s="50"/>
      <c r="CB778" s="50"/>
      <c r="CC778" s="50"/>
      <c r="CD778" s="50"/>
      <c r="CE778" s="50"/>
      <c r="CF778" s="50"/>
      <c r="CG778" s="50"/>
      <c r="CH778" s="50"/>
      <c r="CI778" s="50"/>
      <c r="CJ778" s="50"/>
      <c r="CK778" s="50"/>
      <c r="CL778" s="50"/>
      <c r="CM778" s="50"/>
    </row>
    <row r="779" spans="1:91" ht="14.25" customHeight="1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  <c r="AU779" s="50"/>
      <c r="AV779" s="50"/>
      <c r="AW779" s="50"/>
      <c r="AX779" s="50"/>
      <c r="AY779" s="50"/>
      <c r="AZ779" s="50"/>
      <c r="BA779" s="50"/>
      <c r="BB779" s="50"/>
      <c r="BC779" s="50"/>
      <c r="BD779" s="50"/>
      <c r="BE779" s="50"/>
      <c r="BF779" s="50"/>
      <c r="BG779" s="50"/>
      <c r="BH779" s="50"/>
      <c r="BI779" s="50"/>
      <c r="BJ779" s="50"/>
      <c r="BK779" s="50"/>
      <c r="BL779" s="50"/>
      <c r="BM779" s="50"/>
      <c r="BN779" s="50"/>
      <c r="BO779" s="50"/>
      <c r="BP779" s="50"/>
      <c r="BQ779" s="50"/>
      <c r="BR779" s="50"/>
      <c r="BS779" s="50"/>
      <c r="BT779" s="50"/>
      <c r="BU779" s="50"/>
      <c r="BV779" s="50"/>
      <c r="BW779" s="50"/>
      <c r="BX779" s="50"/>
      <c r="BY779" s="50"/>
      <c r="BZ779" s="50"/>
      <c r="CA779" s="50"/>
      <c r="CB779" s="50"/>
      <c r="CC779" s="50"/>
      <c r="CD779" s="50"/>
      <c r="CE779" s="50"/>
      <c r="CF779" s="50"/>
      <c r="CG779" s="50"/>
      <c r="CH779" s="50"/>
      <c r="CI779" s="50"/>
      <c r="CJ779" s="50"/>
      <c r="CK779" s="50"/>
      <c r="CL779" s="50"/>
      <c r="CM779" s="50"/>
    </row>
    <row r="780" spans="1:91" ht="14.25" customHeight="1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50"/>
      <c r="AV780" s="50"/>
      <c r="AW780" s="50"/>
      <c r="AX780" s="50"/>
      <c r="AY780" s="50"/>
      <c r="AZ780" s="50"/>
      <c r="BA780" s="50"/>
      <c r="BB780" s="50"/>
      <c r="BC780" s="50"/>
      <c r="BD780" s="50"/>
      <c r="BE780" s="50"/>
      <c r="BF780" s="50"/>
      <c r="BG780" s="50"/>
      <c r="BH780" s="50"/>
      <c r="BI780" s="50"/>
      <c r="BJ780" s="50"/>
      <c r="BK780" s="50"/>
      <c r="BL780" s="50"/>
      <c r="BM780" s="50"/>
      <c r="BN780" s="50"/>
      <c r="BO780" s="50"/>
      <c r="BP780" s="50"/>
      <c r="BQ780" s="50"/>
      <c r="BR780" s="50"/>
      <c r="BS780" s="50"/>
      <c r="BT780" s="50"/>
      <c r="BU780" s="50"/>
      <c r="BV780" s="50"/>
      <c r="BW780" s="50"/>
      <c r="BX780" s="50"/>
      <c r="BY780" s="50"/>
      <c r="BZ780" s="50"/>
      <c r="CA780" s="50"/>
      <c r="CB780" s="50"/>
      <c r="CC780" s="50"/>
      <c r="CD780" s="50"/>
      <c r="CE780" s="50"/>
      <c r="CF780" s="50"/>
      <c r="CG780" s="50"/>
      <c r="CH780" s="50"/>
      <c r="CI780" s="50"/>
      <c r="CJ780" s="50"/>
      <c r="CK780" s="50"/>
      <c r="CL780" s="50"/>
      <c r="CM780" s="50"/>
    </row>
    <row r="781" spans="1:91" ht="14.25" customHeight="1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50"/>
      <c r="AV781" s="50"/>
      <c r="AW781" s="50"/>
      <c r="AX781" s="50"/>
      <c r="AY781" s="50"/>
      <c r="AZ781" s="50"/>
      <c r="BA781" s="50"/>
      <c r="BB781" s="50"/>
      <c r="BC781" s="50"/>
      <c r="BD781" s="50"/>
      <c r="BE781" s="50"/>
      <c r="BF781" s="50"/>
      <c r="BG781" s="50"/>
      <c r="BH781" s="50"/>
      <c r="BI781" s="50"/>
      <c r="BJ781" s="50"/>
      <c r="BK781" s="50"/>
      <c r="BL781" s="50"/>
      <c r="BM781" s="50"/>
      <c r="BN781" s="50"/>
      <c r="BO781" s="50"/>
      <c r="BP781" s="50"/>
      <c r="BQ781" s="50"/>
      <c r="BR781" s="50"/>
      <c r="BS781" s="50"/>
      <c r="BT781" s="50"/>
      <c r="BU781" s="50"/>
      <c r="BV781" s="50"/>
      <c r="BW781" s="50"/>
      <c r="BX781" s="50"/>
      <c r="BY781" s="50"/>
      <c r="BZ781" s="50"/>
      <c r="CA781" s="50"/>
      <c r="CB781" s="50"/>
      <c r="CC781" s="50"/>
      <c r="CD781" s="50"/>
      <c r="CE781" s="50"/>
      <c r="CF781" s="50"/>
      <c r="CG781" s="50"/>
      <c r="CH781" s="50"/>
      <c r="CI781" s="50"/>
      <c r="CJ781" s="50"/>
      <c r="CK781" s="50"/>
      <c r="CL781" s="50"/>
      <c r="CM781" s="50"/>
    </row>
    <row r="782" spans="1:91" ht="14.25" customHeight="1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50"/>
      <c r="AV782" s="50"/>
      <c r="AW782" s="50"/>
      <c r="AX782" s="50"/>
      <c r="AY782" s="50"/>
      <c r="AZ782" s="50"/>
      <c r="BA782" s="50"/>
      <c r="BB782" s="50"/>
      <c r="BC782" s="50"/>
      <c r="BD782" s="50"/>
      <c r="BE782" s="50"/>
      <c r="BF782" s="50"/>
      <c r="BG782" s="50"/>
      <c r="BH782" s="50"/>
      <c r="BI782" s="50"/>
      <c r="BJ782" s="50"/>
      <c r="BK782" s="50"/>
      <c r="BL782" s="50"/>
      <c r="BM782" s="50"/>
      <c r="BN782" s="50"/>
      <c r="BO782" s="50"/>
      <c r="BP782" s="50"/>
      <c r="BQ782" s="50"/>
      <c r="BR782" s="50"/>
      <c r="BS782" s="50"/>
      <c r="BT782" s="50"/>
      <c r="BU782" s="50"/>
      <c r="BV782" s="50"/>
      <c r="BW782" s="50"/>
      <c r="BX782" s="50"/>
      <c r="BY782" s="50"/>
      <c r="BZ782" s="50"/>
      <c r="CA782" s="50"/>
      <c r="CB782" s="50"/>
      <c r="CC782" s="50"/>
      <c r="CD782" s="50"/>
      <c r="CE782" s="50"/>
      <c r="CF782" s="50"/>
      <c r="CG782" s="50"/>
      <c r="CH782" s="50"/>
      <c r="CI782" s="50"/>
      <c r="CJ782" s="50"/>
      <c r="CK782" s="50"/>
      <c r="CL782" s="50"/>
      <c r="CM782" s="50"/>
    </row>
    <row r="783" spans="1:91" ht="14.25" customHeight="1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  <c r="BO783" s="50"/>
      <c r="BP783" s="50"/>
      <c r="BQ783" s="50"/>
      <c r="BR783" s="50"/>
      <c r="BS783" s="50"/>
      <c r="BT783" s="50"/>
      <c r="BU783" s="50"/>
      <c r="BV783" s="50"/>
      <c r="BW783" s="50"/>
      <c r="BX783" s="50"/>
      <c r="BY783" s="50"/>
      <c r="BZ783" s="50"/>
      <c r="CA783" s="50"/>
      <c r="CB783" s="50"/>
      <c r="CC783" s="50"/>
      <c r="CD783" s="50"/>
      <c r="CE783" s="50"/>
      <c r="CF783" s="50"/>
      <c r="CG783" s="50"/>
      <c r="CH783" s="50"/>
      <c r="CI783" s="50"/>
      <c r="CJ783" s="50"/>
      <c r="CK783" s="50"/>
      <c r="CL783" s="50"/>
      <c r="CM783" s="50"/>
    </row>
    <row r="784" spans="1:91" ht="14.25" customHeight="1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  <c r="BO784" s="50"/>
      <c r="BP784" s="50"/>
      <c r="BQ784" s="50"/>
      <c r="BR784" s="50"/>
      <c r="BS784" s="50"/>
      <c r="BT784" s="50"/>
      <c r="BU784" s="50"/>
      <c r="BV784" s="50"/>
      <c r="BW784" s="50"/>
      <c r="BX784" s="50"/>
      <c r="BY784" s="50"/>
      <c r="BZ784" s="50"/>
      <c r="CA784" s="50"/>
      <c r="CB784" s="50"/>
      <c r="CC784" s="50"/>
      <c r="CD784" s="50"/>
      <c r="CE784" s="50"/>
      <c r="CF784" s="50"/>
      <c r="CG784" s="50"/>
      <c r="CH784" s="50"/>
      <c r="CI784" s="50"/>
      <c r="CJ784" s="50"/>
      <c r="CK784" s="50"/>
      <c r="CL784" s="50"/>
      <c r="CM784" s="50"/>
    </row>
    <row r="785" spans="1:91" ht="14.25" customHeight="1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  <c r="BO785" s="50"/>
      <c r="BP785" s="50"/>
      <c r="BQ785" s="50"/>
      <c r="BR785" s="50"/>
      <c r="BS785" s="50"/>
      <c r="BT785" s="50"/>
      <c r="BU785" s="50"/>
      <c r="BV785" s="50"/>
      <c r="BW785" s="50"/>
      <c r="BX785" s="50"/>
      <c r="BY785" s="50"/>
      <c r="BZ785" s="50"/>
      <c r="CA785" s="50"/>
      <c r="CB785" s="50"/>
      <c r="CC785" s="50"/>
      <c r="CD785" s="50"/>
      <c r="CE785" s="50"/>
      <c r="CF785" s="50"/>
      <c r="CG785" s="50"/>
      <c r="CH785" s="50"/>
      <c r="CI785" s="50"/>
      <c r="CJ785" s="50"/>
      <c r="CK785" s="50"/>
      <c r="CL785" s="50"/>
      <c r="CM785" s="50"/>
    </row>
    <row r="786" spans="1:91" ht="14.25" customHeight="1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  <c r="AU786" s="50"/>
      <c r="AV786" s="50"/>
      <c r="AW786" s="50"/>
      <c r="AX786" s="50"/>
      <c r="AY786" s="50"/>
      <c r="AZ786" s="50"/>
      <c r="BA786" s="50"/>
      <c r="BB786" s="50"/>
      <c r="BC786" s="50"/>
      <c r="BD786" s="50"/>
      <c r="BE786" s="50"/>
      <c r="BF786" s="50"/>
      <c r="BG786" s="50"/>
      <c r="BH786" s="50"/>
      <c r="BI786" s="50"/>
      <c r="BJ786" s="50"/>
      <c r="BK786" s="50"/>
      <c r="BL786" s="50"/>
      <c r="BM786" s="50"/>
      <c r="BN786" s="50"/>
      <c r="BO786" s="50"/>
      <c r="BP786" s="50"/>
      <c r="BQ786" s="50"/>
      <c r="BR786" s="50"/>
      <c r="BS786" s="50"/>
      <c r="BT786" s="50"/>
      <c r="BU786" s="50"/>
      <c r="BV786" s="50"/>
      <c r="BW786" s="50"/>
      <c r="BX786" s="50"/>
      <c r="BY786" s="50"/>
      <c r="BZ786" s="50"/>
      <c r="CA786" s="50"/>
      <c r="CB786" s="50"/>
      <c r="CC786" s="50"/>
      <c r="CD786" s="50"/>
      <c r="CE786" s="50"/>
      <c r="CF786" s="50"/>
      <c r="CG786" s="50"/>
      <c r="CH786" s="50"/>
      <c r="CI786" s="50"/>
      <c r="CJ786" s="50"/>
      <c r="CK786" s="50"/>
      <c r="CL786" s="50"/>
      <c r="CM786" s="50"/>
    </row>
    <row r="787" spans="1:91" ht="14.25" customHeight="1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50"/>
      <c r="AV787" s="50"/>
      <c r="AW787" s="50"/>
      <c r="AX787" s="50"/>
      <c r="AY787" s="50"/>
      <c r="AZ787" s="50"/>
      <c r="BA787" s="50"/>
      <c r="BB787" s="50"/>
      <c r="BC787" s="50"/>
      <c r="BD787" s="50"/>
      <c r="BE787" s="50"/>
      <c r="BF787" s="50"/>
      <c r="BG787" s="50"/>
      <c r="BH787" s="50"/>
      <c r="BI787" s="50"/>
      <c r="BJ787" s="50"/>
      <c r="BK787" s="50"/>
      <c r="BL787" s="50"/>
      <c r="BM787" s="50"/>
      <c r="BN787" s="50"/>
      <c r="BO787" s="50"/>
      <c r="BP787" s="50"/>
      <c r="BQ787" s="50"/>
      <c r="BR787" s="50"/>
      <c r="BS787" s="50"/>
      <c r="BT787" s="50"/>
      <c r="BU787" s="50"/>
      <c r="BV787" s="50"/>
      <c r="BW787" s="50"/>
      <c r="BX787" s="50"/>
      <c r="BY787" s="50"/>
      <c r="BZ787" s="50"/>
      <c r="CA787" s="50"/>
      <c r="CB787" s="50"/>
      <c r="CC787" s="50"/>
      <c r="CD787" s="50"/>
      <c r="CE787" s="50"/>
      <c r="CF787" s="50"/>
      <c r="CG787" s="50"/>
      <c r="CH787" s="50"/>
      <c r="CI787" s="50"/>
      <c r="CJ787" s="50"/>
      <c r="CK787" s="50"/>
      <c r="CL787" s="50"/>
      <c r="CM787" s="50"/>
    </row>
    <row r="788" spans="1:91" ht="14.25" customHeight="1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  <c r="BC788" s="50"/>
      <c r="BD788" s="50"/>
      <c r="BE788" s="50"/>
      <c r="BF788" s="50"/>
      <c r="BG788" s="50"/>
      <c r="BH788" s="50"/>
      <c r="BI788" s="50"/>
      <c r="BJ788" s="50"/>
      <c r="BK788" s="50"/>
      <c r="BL788" s="50"/>
      <c r="BM788" s="50"/>
      <c r="BN788" s="50"/>
      <c r="BO788" s="50"/>
      <c r="BP788" s="50"/>
      <c r="BQ788" s="50"/>
      <c r="BR788" s="50"/>
      <c r="BS788" s="50"/>
      <c r="BT788" s="50"/>
      <c r="BU788" s="50"/>
      <c r="BV788" s="50"/>
      <c r="BW788" s="50"/>
      <c r="BX788" s="50"/>
      <c r="BY788" s="50"/>
      <c r="BZ788" s="50"/>
      <c r="CA788" s="50"/>
      <c r="CB788" s="50"/>
      <c r="CC788" s="50"/>
      <c r="CD788" s="50"/>
      <c r="CE788" s="50"/>
      <c r="CF788" s="50"/>
      <c r="CG788" s="50"/>
      <c r="CH788" s="50"/>
      <c r="CI788" s="50"/>
      <c r="CJ788" s="50"/>
      <c r="CK788" s="50"/>
      <c r="CL788" s="50"/>
      <c r="CM788" s="50"/>
    </row>
    <row r="789" spans="1:91" ht="14.25" customHeight="1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  <c r="AU789" s="50"/>
      <c r="AV789" s="50"/>
      <c r="AW789" s="50"/>
      <c r="AX789" s="50"/>
      <c r="AY789" s="50"/>
      <c r="AZ789" s="50"/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50"/>
      <c r="BL789" s="50"/>
      <c r="BM789" s="50"/>
      <c r="BN789" s="50"/>
      <c r="BO789" s="50"/>
      <c r="BP789" s="50"/>
      <c r="BQ789" s="50"/>
      <c r="BR789" s="50"/>
      <c r="BS789" s="50"/>
      <c r="BT789" s="50"/>
      <c r="BU789" s="50"/>
      <c r="BV789" s="50"/>
      <c r="BW789" s="50"/>
      <c r="BX789" s="50"/>
      <c r="BY789" s="50"/>
      <c r="BZ789" s="50"/>
      <c r="CA789" s="50"/>
      <c r="CB789" s="50"/>
      <c r="CC789" s="50"/>
      <c r="CD789" s="50"/>
      <c r="CE789" s="50"/>
      <c r="CF789" s="50"/>
      <c r="CG789" s="50"/>
      <c r="CH789" s="50"/>
      <c r="CI789" s="50"/>
      <c r="CJ789" s="50"/>
      <c r="CK789" s="50"/>
      <c r="CL789" s="50"/>
      <c r="CM789" s="50"/>
    </row>
    <row r="790" spans="1:91" ht="14.25" customHeight="1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V790" s="50"/>
      <c r="AW790" s="50"/>
      <c r="AX790" s="50"/>
      <c r="AY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50"/>
      <c r="BL790" s="50"/>
      <c r="BM790" s="50"/>
      <c r="BN790" s="50"/>
      <c r="BO790" s="50"/>
      <c r="BP790" s="50"/>
      <c r="BQ790" s="50"/>
      <c r="BR790" s="50"/>
      <c r="BS790" s="50"/>
      <c r="BT790" s="50"/>
      <c r="BU790" s="50"/>
      <c r="BV790" s="50"/>
      <c r="BW790" s="50"/>
      <c r="BX790" s="50"/>
      <c r="BY790" s="50"/>
      <c r="BZ790" s="50"/>
      <c r="CA790" s="50"/>
      <c r="CB790" s="50"/>
      <c r="CC790" s="50"/>
      <c r="CD790" s="50"/>
      <c r="CE790" s="50"/>
      <c r="CF790" s="50"/>
      <c r="CG790" s="50"/>
      <c r="CH790" s="50"/>
      <c r="CI790" s="50"/>
      <c r="CJ790" s="50"/>
      <c r="CK790" s="50"/>
      <c r="CL790" s="50"/>
      <c r="CM790" s="50"/>
    </row>
    <row r="791" spans="1:91" ht="14.25" customHeight="1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  <c r="AU791" s="50"/>
      <c r="AV791" s="50"/>
      <c r="AW791" s="50"/>
      <c r="AX791" s="50"/>
      <c r="AY791" s="50"/>
      <c r="AZ791" s="50"/>
      <c r="BA791" s="50"/>
      <c r="BB791" s="50"/>
      <c r="BC791" s="50"/>
      <c r="BD791" s="50"/>
      <c r="BE791" s="50"/>
      <c r="BF791" s="50"/>
      <c r="BG791" s="50"/>
      <c r="BH791" s="50"/>
      <c r="BI791" s="50"/>
      <c r="BJ791" s="50"/>
      <c r="BK791" s="50"/>
      <c r="BL791" s="50"/>
      <c r="BM791" s="50"/>
      <c r="BN791" s="50"/>
      <c r="BO791" s="50"/>
      <c r="BP791" s="50"/>
      <c r="BQ791" s="50"/>
      <c r="BR791" s="50"/>
      <c r="BS791" s="50"/>
      <c r="BT791" s="50"/>
      <c r="BU791" s="50"/>
      <c r="BV791" s="50"/>
      <c r="BW791" s="50"/>
      <c r="BX791" s="50"/>
      <c r="BY791" s="50"/>
      <c r="BZ791" s="50"/>
      <c r="CA791" s="50"/>
      <c r="CB791" s="50"/>
      <c r="CC791" s="50"/>
      <c r="CD791" s="50"/>
      <c r="CE791" s="50"/>
      <c r="CF791" s="50"/>
      <c r="CG791" s="50"/>
      <c r="CH791" s="50"/>
      <c r="CI791" s="50"/>
      <c r="CJ791" s="50"/>
      <c r="CK791" s="50"/>
      <c r="CL791" s="50"/>
      <c r="CM791" s="50"/>
    </row>
    <row r="792" spans="1:91" ht="14.25" customHeight="1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  <c r="BO792" s="50"/>
      <c r="BP792" s="50"/>
      <c r="BQ792" s="50"/>
      <c r="BR792" s="50"/>
      <c r="BS792" s="50"/>
      <c r="BT792" s="50"/>
      <c r="BU792" s="50"/>
      <c r="BV792" s="50"/>
      <c r="BW792" s="50"/>
      <c r="BX792" s="50"/>
      <c r="BY792" s="50"/>
      <c r="BZ792" s="50"/>
      <c r="CA792" s="50"/>
      <c r="CB792" s="50"/>
      <c r="CC792" s="50"/>
      <c r="CD792" s="50"/>
      <c r="CE792" s="50"/>
      <c r="CF792" s="50"/>
      <c r="CG792" s="50"/>
      <c r="CH792" s="50"/>
      <c r="CI792" s="50"/>
      <c r="CJ792" s="50"/>
      <c r="CK792" s="50"/>
      <c r="CL792" s="50"/>
      <c r="CM792" s="50"/>
    </row>
    <row r="793" spans="1:91" ht="14.25" customHeight="1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  <c r="BO793" s="50"/>
      <c r="BP793" s="50"/>
      <c r="BQ793" s="50"/>
      <c r="BR793" s="50"/>
      <c r="BS793" s="50"/>
      <c r="BT793" s="50"/>
      <c r="BU793" s="50"/>
      <c r="BV793" s="50"/>
      <c r="BW793" s="50"/>
      <c r="BX793" s="50"/>
      <c r="BY793" s="50"/>
      <c r="BZ793" s="50"/>
      <c r="CA793" s="50"/>
      <c r="CB793" s="50"/>
      <c r="CC793" s="50"/>
      <c r="CD793" s="50"/>
      <c r="CE793" s="50"/>
      <c r="CF793" s="50"/>
      <c r="CG793" s="50"/>
      <c r="CH793" s="50"/>
      <c r="CI793" s="50"/>
      <c r="CJ793" s="50"/>
      <c r="CK793" s="50"/>
      <c r="CL793" s="50"/>
      <c r="CM793" s="50"/>
    </row>
    <row r="794" spans="1:91" ht="14.25" customHeight="1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  <c r="BO794" s="50"/>
      <c r="BP794" s="50"/>
      <c r="BQ794" s="50"/>
      <c r="BR794" s="50"/>
      <c r="BS794" s="50"/>
      <c r="BT794" s="50"/>
      <c r="BU794" s="50"/>
      <c r="BV794" s="50"/>
      <c r="BW794" s="50"/>
      <c r="BX794" s="50"/>
      <c r="BY794" s="50"/>
      <c r="BZ794" s="50"/>
      <c r="CA794" s="50"/>
      <c r="CB794" s="50"/>
      <c r="CC794" s="50"/>
      <c r="CD794" s="50"/>
      <c r="CE794" s="50"/>
      <c r="CF794" s="50"/>
      <c r="CG794" s="50"/>
      <c r="CH794" s="50"/>
      <c r="CI794" s="50"/>
      <c r="CJ794" s="50"/>
      <c r="CK794" s="50"/>
      <c r="CL794" s="50"/>
      <c r="CM794" s="50"/>
    </row>
    <row r="795" spans="1:91" ht="14.25" customHeight="1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  <c r="BO795" s="50"/>
      <c r="BP795" s="50"/>
      <c r="BQ795" s="50"/>
      <c r="BR795" s="50"/>
      <c r="BS795" s="50"/>
      <c r="BT795" s="50"/>
      <c r="BU795" s="50"/>
      <c r="BV795" s="50"/>
      <c r="BW795" s="50"/>
      <c r="BX795" s="50"/>
      <c r="BY795" s="50"/>
      <c r="BZ795" s="50"/>
      <c r="CA795" s="50"/>
      <c r="CB795" s="50"/>
      <c r="CC795" s="50"/>
      <c r="CD795" s="50"/>
      <c r="CE795" s="50"/>
      <c r="CF795" s="50"/>
      <c r="CG795" s="50"/>
      <c r="CH795" s="50"/>
      <c r="CI795" s="50"/>
      <c r="CJ795" s="50"/>
      <c r="CK795" s="50"/>
      <c r="CL795" s="50"/>
      <c r="CM795" s="50"/>
    </row>
    <row r="796" spans="1:91" ht="14.25" customHeight="1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0"/>
      <c r="BB796" s="50"/>
      <c r="BC796" s="50"/>
      <c r="BD796" s="50"/>
      <c r="BE796" s="50"/>
      <c r="BF796" s="50"/>
      <c r="BG796" s="50"/>
      <c r="BH796" s="50"/>
      <c r="BI796" s="50"/>
      <c r="BJ796" s="50"/>
      <c r="BK796" s="50"/>
      <c r="BL796" s="50"/>
      <c r="BM796" s="50"/>
      <c r="BN796" s="50"/>
      <c r="BO796" s="50"/>
      <c r="BP796" s="50"/>
      <c r="BQ796" s="50"/>
      <c r="BR796" s="50"/>
      <c r="BS796" s="50"/>
      <c r="BT796" s="50"/>
      <c r="BU796" s="50"/>
      <c r="BV796" s="50"/>
      <c r="BW796" s="50"/>
      <c r="BX796" s="50"/>
      <c r="BY796" s="50"/>
      <c r="BZ796" s="50"/>
      <c r="CA796" s="50"/>
      <c r="CB796" s="50"/>
      <c r="CC796" s="50"/>
      <c r="CD796" s="50"/>
      <c r="CE796" s="50"/>
      <c r="CF796" s="50"/>
      <c r="CG796" s="50"/>
      <c r="CH796" s="50"/>
      <c r="CI796" s="50"/>
      <c r="CJ796" s="50"/>
      <c r="CK796" s="50"/>
      <c r="CL796" s="50"/>
      <c r="CM796" s="50"/>
    </row>
    <row r="797" spans="1:91" ht="14.25" customHeight="1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0"/>
      <c r="BB797" s="50"/>
      <c r="BC797" s="50"/>
      <c r="BD797" s="50"/>
      <c r="BE797" s="50"/>
      <c r="BF797" s="50"/>
      <c r="BG797" s="50"/>
      <c r="BH797" s="50"/>
      <c r="BI797" s="50"/>
      <c r="BJ797" s="50"/>
      <c r="BK797" s="50"/>
      <c r="BL797" s="50"/>
      <c r="BM797" s="50"/>
      <c r="BN797" s="50"/>
      <c r="BO797" s="50"/>
      <c r="BP797" s="50"/>
      <c r="BQ797" s="50"/>
      <c r="BR797" s="50"/>
      <c r="BS797" s="50"/>
      <c r="BT797" s="50"/>
      <c r="BU797" s="50"/>
      <c r="BV797" s="50"/>
      <c r="BW797" s="50"/>
      <c r="BX797" s="50"/>
      <c r="BY797" s="50"/>
      <c r="BZ797" s="50"/>
      <c r="CA797" s="50"/>
      <c r="CB797" s="50"/>
      <c r="CC797" s="50"/>
      <c r="CD797" s="50"/>
      <c r="CE797" s="50"/>
      <c r="CF797" s="50"/>
      <c r="CG797" s="50"/>
      <c r="CH797" s="50"/>
      <c r="CI797" s="50"/>
      <c r="CJ797" s="50"/>
      <c r="CK797" s="50"/>
      <c r="CL797" s="50"/>
      <c r="CM797" s="50"/>
    </row>
    <row r="798" spans="1:91" ht="14.25" customHeight="1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0"/>
      <c r="BB798" s="50"/>
      <c r="BC798" s="50"/>
      <c r="BD798" s="50"/>
      <c r="BE798" s="50"/>
      <c r="BF798" s="50"/>
      <c r="BG798" s="50"/>
      <c r="BH798" s="50"/>
      <c r="BI798" s="50"/>
      <c r="BJ798" s="50"/>
      <c r="BK798" s="50"/>
      <c r="BL798" s="50"/>
      <c r="BM798" s="50"/>
      <c r="BN798" s="50"/>
      <c r="BO798" s="50"/>
      <c r="BP798" s="50"/>
      <c r="BQ798" s="50"/>
      <c r="BR798" s="50"/>
      <c r="BS798" s="50"/>
      <c r="BT798" s="50"/>
      <c r="BU798" s="50"/>
      <c r="BV798" s="50"/>
      <c r="BW798" s="50"/>
      <c r="BX798" s="50"/>
      <c r="BY798" s="50"/>
      <c r="BZ798" s="50"/>
      <c r="CA798" s="50"/>
      <c r="CB798" s="50"/>
      <c r="CC798" s="50"/>
      <c r="CD798" s="50"/>
      <c r="CE798" s="50"/>
      <c r="CF798" s="50"/>
      <c r="CG798" s="50"/>
      <c r="CH798" s="50"/>
      <c r="CI798" s="50"/>
      <c r="CJ798" s="50"/>
      <c r="CK798" s="50"/>
      <c r="CL798" s="50"/>
      <c r="CM798" s="50"/>
    </row>
    <row r="799" spans="1:91" ht="14.25" customHeight="1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0"/>
      <c r="BB799" s="50"/>
      <c r="BC799" s="50"/>
      <c r="BD799" s="50"/>
      <c r="BE799" s="50"/>
      <c r="BF799" s="50"/>
      <c r="BG799" s="50"/>
      <c r="BH799" s="50"/>
      <c r="BI799" s="50"/>
      <c r="BJ799" s="50"/>
      <c r="BK799" s="50"/>
      <c r="BL799" s="50"/>
      <c r="BM799" s="50"/>
      <c r="BN799" s="50"/>
      <c r="BO799" s="50"/>
      <c r="BP799" s="50"/>
      <c r="BQ799" s="50"/>
      <c r="BR799" s="50"/>
      <c r="BS799" s="50"/>
      <c r="BT799" s="50"/>
      <c r="BU799" s="50"/>
      <c r="BV799" s="50"/>
      <c r="BW799" s="50"/>
      <c r="BX799" s="50"/>
      <c r="BY799" s="50"/>
      <c r="BZ799" s="50"/>
      <c r="CA799" s="50"/>
      <c r="CB799" s="50"/>
      <c r="CC799" s="50"/>
      <c r="CD799" s="50"/>
      <c r="CE799" s="50"/>
      <c r="CF799" s="50"/>
      <c r="CG799" s="50"/>
      <c r="CH799" s="50"/>
      <c r="CI799" s="50"/>
      <c r="CJ799" s="50"/>
      <c r="CK799" s="50"/>
      <c r="CL799" s="50"/>
      <c r="CM799" s="50"/>
    </row>
    <row r="800" spans="1:91" ht="14.25" customHeight="1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50"/>
      <c r="BL800" s="50"/>
      <c r="BM800" s="50"/>
      <c r="BN800" s="50"/>
      <c r="BO800" s="50"/>
      <c r="BP800" s="50"/>
      <c r="BQ800" s="50"/>
      <c r="BR800" s="50"/>
      <c r="BS800" s="50"/>
      <c r="BT800" s="50"/>
      <c r="BU800" s="50"/>
      <c r="BV800" s="50"/>
      <c r="BW800" s="50"/>
      <c r="BX800" s="50"/>
      <c r="BY800" s="50"/>
      <c r="BZ800" s="50"/>
      <c r="CA800" s="50"/>
      <c r="CB800" s="50"/>
      <c r="CC800" s="50"/>
      <c r="CD800" s="50"/>
      <c r="CE800" s="50"/>
      <c r="CF800" s="50"/>
      <c r="CG800" s="50"/>
      <c r="CH800" s="50"/>
      <c r="CI800" s="50"/>
      <c r="CJ800" s="50"/>
      <c r="CK800" s="50"/>
      <c r="CL800" s="50"/>
      <c r="CM800" s="50"/>
    </row>
    <row r="801" spans="1:91" ht="14.25" customHeight="1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0"/>
      <c r="BB801" s="50"/>
      <c r="BC801" s="50"/>
      <c r="BD801" s="50"/>
      <c r="BE801" s="50"/>
      <c r="BF801" s="50"/>
      <c r="BG801" s="50"/>
      <c r="BH801" s="50"/>
      <c r="BI801" s="50"/>
      <c r="BJ801" s="50"/>
      <c r="BK801" s="50"/>
      <c r="BL801" s="50"/>
      <c r="BM801" s="50"/>
      <c r="BN801" s="50"/>
      <c r="BO801" s="50"/>
      <c r="BP801" s="50"/>
      <c r="BQ801" s="50"/>
      <c r="BR801" s="50"/>
      <c r="BS801" s="50"/>
      <c r="BT801" s="50"/>
      <c r="BU801" s="50"/>
      <c r="BV801" s="50"/>
      <c r="BW801" s="50"/>
      <c r="BX801" s="50"/>
      <c r="BY801" s="50"/>
      <c r="BZ801" s="50"/>
      <c r="CA801" s="50"/>
      <c r="CB801" s="50"/>
      <c r="CC801" s="50"/>
      <c r="CD801" s="50"/>
      <c r="CE801" s="50"/>
      <c r="CF801" s="50"/>
      <c r="CG801" s="50"/>
      <c r="CH801" s="50"/>
      <c r="CI801" s="50"/>
      <c r="CJ801" s="50"/>
      <c r="CK801" s="50"/>
      <c r="CL801" s="50"/>
      <c r="CM801" s="50"/>
    </row>
    <row r="802" spans="1:91" ht="14.25" customHeight="1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  <c r="BO802" s="50"/>
      <c r="BP802" s="50"/>
      <c r="BQ802" s="50"/>
      <c r="BR802" s="50"/>
      <c r="BS802" s="50"/>
      <c r="BT802" s="50"/>
      <c r="BU802" s="50"/>
      <c r="BV802" s="50"/>
      <c r="BW802" s="50"/>
      <c r="BX802" s="50"/>
      <c r="BY802" s="50"/>
      <c r="BZ802" s="50"/>
      <c r="CA802" s="50"/>
      <c r="CB802" s="50"/>
      <c r="CC802" s="50"/>
      <c r="CD802" s="50"/>
      <c r="CE802" s="50"/>
      <c r="CF802" s="50"/>
      <c r="CG802" s="50"/>
      <c r="CH802" s="50"/>
      <c r="CI802" s="50"/>
      <c r="CJ802" s="50"/>
      <c r="CK802" s="50"/>
      <c r="CL802" s="50"/>
      <c r="CM802" s="50"/>
    </row>
    <row r="803" spans="1:91" ht="14.25" customHeight="1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  <c r="BO803" s="50"/>
      <c r="BP803" s="50"/>
      <c r="BQ803" s="50"/>
      <c r="BR803" s="50"/>
      <c r="BS803" s="50"/>
      <c r="BT803" s="50"/>
      <c r="BU803" s="50"/>
      <c r="BV803" s="50"/>
      <c r="BW803" s="50"/>
      <c r="BX803" s="50"/>
      <c r="BY803" s="50"/>
      <c r="BZ803" s="50"/>
      <c r="CA803" s="50"/>
      <c r="CB803" s="50"/>
      <c r="CC803" s="50"/>
      <c r="CD803" s="50"/>
      <c r="CE803" s="50"/>
      <c r="CF803" s="50"/>
      <c r="CG803" s="50"/>
      <c r="CH803" s="50"/>
      <c r="CI803" s="50"/>
      <c r="CJ803" s="50"/>
      <c r="CK803" s="50"/>
      <c r="CL803" s="50"/>
      <c r="CM803" s="50"/>
    </row>
    <row r="804" spans="1:91" ht="14.25" customHeight="1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  <c r="BO804" s="50"/>
      <c r="BP804" s="50"/>
      <c r="BQ804" s="50"/>
      <c r="BR804" s="50"/>
      <c r="BS804" s="50"/>
      <c r="BT804" s="50"/>
      <c r="BU804" s="50"/>
      <c r="BV804" s="50"/>
      <c r="BW804" s="50"/>
      <c r="BX804" s="50"/>
      <c r="BY804" s="50"/>
      <c r="BZ804" s="50"/>
      <c r="CA804" s="50"/>
      <c r="CB804" s="50"/>
      <c r="CC804" s="50"/>
      <c r="CD804" s="50"/>
      <c r="CE804" s="50"/>
      <c r="CF804" s="50"/>
      <c r="CG804" s="50"/>
      <c r="CH804" s="50"/>
      <c r="CI804" s="50"/>
      <c r="CJ804" s="50"/>
      <c r="CK804" s="50"/>
      <c r="CL804" s="50"/>
      <c r="CM804" s="50"/>
    </row>
    <row r="805" spans="1:91" ht="14.25" customHeight="1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  <c r="BO805" s="50"/>
      <c r="BP805" s="50"/>
      <c r="BQ805" s="50"/>
      <c r="BR805" s="50"/>
      <c r="BS805" s="50"/>
      <c r="BT805" s="50"/>
      <c r="BU805" s="50"/>
      <c r="BV805" s="50"/>
      <c r="BW805" s="50"/>
      <c r="BX805" s="50"/>
      <c r="BY805" s="50"/>
      <c r="BZ805" s="50"/>
      <c r="CA805" s="50"/>
      <c r="CB805" s="50"/>
      <c r="CC805" s="50"/>
      <c r="CD805" s="50"/>
      <c r="CE805" s="50"/>
      <c r="CF805" s="50"/>
      <c r="CG805" s="50"/>
      <c r="CH805" s="50"/>
      <c r="CI805" s="50"/>
      <c r="CJ805" s="50"/>
      <c r="CK805" s="50"/>
      <c r="CL805" s="50"/>
      <c r="CM805" s="50"/>
    </row>
    <row r="806" spans="1:91" ht="14.25" customHeight="1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  <c r="BO806" s="50"/>
      <c r="BP806" s="50"/>
      <c r="BQ806" s="50"/>
      <c r="BR806" s="50"/>
      <c r="BS806" s="50"/>
      <c r="BT806" s="50"/>
      <c r="BU806" s="50"/>
      <c r="BV806" s="50"/>
      <c r="BW806" s="50"/>
      <c r="BX806" s="50"/>
      <c r="BY806" s="50"/>
      <c r="BZ806" s="50"/>
      <c r="CA806" s="50"/>
      <c r="CB806" s="50"/>
      <c r="CC806" s="50"/>
      <c r="CD806" s="50"/>
      <c r="CE806" s="50"/>
      <c r="CF806" s="50"/>
      <c r="CG806" s="50"/>
      <c r="CH806" s="50"/>
      <c r="CI806" s="50"/>
      <c r="CJ806" s="50"/>
      <c r="CK806" s="50"/>
      <c r="CL806" s="50"/>
      <c r="CM806" s="50"/>
    </row>
    <row r="807" spans="1:91" ht="14.25" customHeight="1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  <c r="BO807" s="50"/>
      <c r="BP807" s="50"/>
      <c r="BQ807" s="50"/>
      <c r="BR807" s="50"/>
      <c r="BS807" s="50"/>
      <c r="BT807" s="50"/>
      <c r="BU807" s="50"/>
      <c r="BV807" s="50"/>
      <c r="BW807" s="50"/>
      <c r="BX807" s="50"/>
      <c r="BY807" s="50"/>
      <c r="BZ807" s="50"/>
      <c r="CA807" s="50"/>
      <c r="CB807" s="50"/>
      <c r="CC807" s="50"/>
      <c r="CD807" s="50"/>
      <c r="CE807" s="50"/>
      <c r="CF807" s="50"/>
      <c r="CG807" s="50"/>
      <c r="CH807" s="50"/>
      <c r="CI807" s="50"/>
      <c r="CJ807" s="50"/>
      <c r="CK807" s="50"/>
      <c r="CL807" s="50"/>
      <c r="CM807" s="50"/>
    </row>
    <row r="808" spans="1:91" ht="14.25" customHeight="1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  <c r="BO808" s="50"/>
      <c r="BP808" s="50"/>
      <c r="BQ808" s="50"/>
      <c r="BR808" s="50"/>
      <c r="BS808" s="50"/>
      <c r="BT808" s="50"/>
      <c r="BU808" s="50"/>
      <c r="BV808" s="50"/>
      <c r="BW808" s="50"/>
      <c r="BX808" s="50"/>
      <c r="BY808" s="50"/>
      <c r="BZ808" s="50"/>
      <c r="CA808" s="50"/>
      <c r="CB808" s="50"/>
      <c r="CC808" s="50"/>
      <c r="CD808" s="50"/>
      <c r="CE808" s="50"/>
      <c r="CF808" s="50"/>
      <c r="CG808" s="50"/>
      <c r="CH808" s="50"/>
      <c r="CI808" s="50"/>
      <c r="CJ808" s="50"/>
      <c r="CK808" s="50"/>
      <c r="CL808" s="50"/>
      <c r="CM808" s="50"/>
    </row>
    <row r="809" spans="1:91" ht="14.25" customHeight="1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  <c r="BO809" s="50"/>
      <c r="BP809" s="50"/>
      <c r="BQ809" s="50"/>
      <c r="BR809" s="50"/>
      <c r="BS809" s="50"/>
      <c r="BT809" s="50"/>
      <c r="BU809" s="50"/>
      <c r="BV809" s="50"/>
      <c r="BW809" s="50"/>
      <c r="BX809" s="50"/>
      <c r="BY809" s="50"/>
      <c r="BZ809" s="50"/>
      <c r="CA809" s="50"/>
      <c r="CB809" s="50"/>
      <c r="CC809" s="50"/>
      <c r="CD809" s="50"/>
      <c r="CE809" s="50"/>
      <c r="CF809" s="50"/>
      <c r="CG809" s="50"/>
      <c r="CH809" s="50"/>
      <c r="CI809" s="50"/>
      <c r="CJ809" s="50"/>
      <c r="CK809" s="50"/>
      <c r="CL809" s="50"/>
      <c r="CM809" s="50"/>
    </row>
    <row r="810" spans="1:91" ht="14.25" customHeight="1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  <c r="BO810" s="50"/>
      <c r="BP810" s="50"/>
      <c r="BQ810" s="50"/>
      <c r="BR810" s="50"/>
      <c r="BS810" s="50"/>
      <c r="BT810" s="50"/>
      <c r="BU810" s="50"/>
      <c r="BV810" s="50"/>
      <c r="BW810" s="50"/>
      <c r="BX810" s="50"/>
      <c r="BY810" s="50"/>
      <c r="BZ810" s="50"/>
      <c r="CA810" s="50"/>
      <c r="CB810" s="50"/>
      <c r="CC810" s="50"/>
      <c r="CD810" s="50"/>
      <c r="CE810" s="50"/>
      <c r="CF810" s="50"/>
      <c r="CG810" s="50"/>
      <c r="CH810" s="50"/>
      <c r="CI810" s="50"/>
      <c r="CJ810" s="50"/>
      <c r="CK810" s="50"/>
      <c r="CL810" s="50"/>
      <c r="CM810" s="50"/>
    </row>
    <row r="811" spans="1:91" ht="14.25" customHeight="1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  <c r="BO811" s="50"/>
      <c r="BP811" s="50"/>
      <c r="BQ811" s="50"/>
      <c r="BR811" s="50"/>
      <c r="BS811" s="50"/>
      <c r="BT811" s="50"/>
      <c r="BU811" s="50"/>
      <c r="BV811" s="50"/>
      <c r="BW811" s="50"/>
      <c r="BX811" s="50"/>
      <c r="BY811" s="50"/>
      <c r="BZ811" s="50"/>
      <c r="CA811" s="50"/>
      <c r="CB811" s="50"/>
      <c r="CC811" s="50"/>
      <c r="CD811" s="50"/>
      <c r="CE811" s="50"/>
      <c r="CF811" s="50"/>
      <c r="CG811" s="50"/>
      <c r="CH811" s="50"/>
      <c r="CI811" s="50"/>
      <c r="CJ811" s="50"/>
      <c r="CK811" s="50"/>
      <c r="CL811" s="50"/>
      <c r="CM811" s="50"/>
    </row>
    <row r="812" spans="1:91" ht="14.25" customHeight="1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  <c r="BO812" s="50"/>
      <c r="BP812" s="50"/>
      <c r="BQ812" s="50"/>
      <c r="BR812" s="50"/>
      <c r="BS812" s="50"/>
      <c r="BT812" s="50"/>
      <c r="BU812" s="50"/>
      <c r="BV812" s="50"/>
      <c r="BW812" s="50"/>
      <c r="BX812" s="50"/>
      <c r="BY812" s="50"/>
      <c r="BZ812" s="50"/>
      <c r="CA812" s="50"/>
      <c r="CB812" s="50"/>
      <c r="CC812" s="50"/>
      <c r="CD812" s="50"/>
      <c r="CE812" s="50"/>
      <c r="CF812" s="50"/>
      <c r="CG812" s="50"/>
      <c r="CH812" s="50"/>
      <c r="CI812" s="50"/>
      <c r="CJ812" s="50"/>
      <c r="CK812" s="50"/>
      <c r="CL812" s="50"/>
      <c r="CM812" s="50"/>
    </row>
    <row r="813" spans="1:91" ht="14.25" customHeight="1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  <c r="BO813" s="50"/>
      <c r="BP813" s="50"/>
      <c r="BQ813" s="50"/>
      <c r="BR813" s="50"/>
      <c r="BS813" s="50"/>
      <c r="BT813" s="50"/>
      <c r="BU813" s="50"/>
      <c r="BV813" s="50"/>
      <c r="BW813" s="50"/>
      <c r="BX813" s="50"/>
      <c r="BY813" s="50"/>
      <c r="BZ813" s="50"/>
      <c r="CA813" s="50"/>
      <c r="CB813" s="50"/>
      <c r="CC813" s="50"/>
      <c r="CD813" s="50"/>
      <c r="CE813" s="50"/>
      <c r="CF813" s="50"/>
      <c r="CG813" s="50"/>
      <c r="CH813" s="50"/>
      <c r="CI813" s="50"/>
      <c r="CJ813" s="50"/>
      <c r="CK813" s="50"/>
      <c r="CL813" s="50"/>
      <c r="CM813" s="50"/>
    </row>
    <row r="814" spans="1:91" ht="14.25" customHeight="1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  <c r="BO814" s="50"/>
      <c r="BP814" s="50"/>
      <c r="BQ814" s="50"/>
      <c r="BR814" s="50"/>
      <c r="BS814" s="50"/>
      <c r="BT814" s="50"/>
      <c r="BU814" s="50"/>
      <c r="BV814" s="50"/>
      <c r="BW814" s="50"/>
      <c r="BX814" s="50"/>
      <c r="BY814" s="50"/>
      <c r="BZ814" s="50"/>
      <c r="CA814" s="50"/>
      <c r="CB814" s="50"/>
      <c r="CC814" s="50"/>
      <c r="CD814" s="50"/>
      <c r="CE814" s="50"/>
      <c r="CF814" s="50"/>
      <c r="CG814" s="50"/>
      <c r="CH814" s="50"/>
      <c r="CI814" s="50"/>
      <c r="CJ814" s="50"/>
      <c r="CK814" s="50"/>
      <c r="CL814" s="50"/>
      <c r="CM814" s="50"/>
    </row>
    <row r="815" spans="1:91" ht="14.25" customHeight="1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  <c r="BO815" s="50"/>
      <c r="BP815" s="50"/>
      <c r="BQ815" s="50"/>
      <c r="BR815" s="50"/>
      <c r="BS815" s="50"/>
      <c r="BT815" s="50"/>
      <c r="BU815" s="50"/>
      <c r="BV815" s="50"/>
      <c r="BW815" s="50"/>
      <c r="BX815" s="50"/>
      <c r="BY815" s="50"/>
      <c r="BZ815" s="50"/>
      <c r="CA815" s="50"/>
      <c r="CB815" s="50"/>
      <c r="CC815" s="50"/>
      <c r="CD815" s="50"/>
      <c r="CE815" s="50"/>
      <c r="CF815" s="50"/>
      <c r="CG815" s="50"/>
      <c r="CH815" s="50"/>
      <c r="CI815" s="50"/>
      <c r="CJ815" s="50"/>
      <c r="CK815" s="50"/>
      <c r="CL815" s="50"/>
      <c r="CM815" s="50"/>
    </row>
    <row r="816" spans="1:91" ht="14.25" customHeight="1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  <c r="BO816" s="50"/>
      <c r="BP816" s="50"/>
      <c r="BQ816" s="50"/>
      <c r="BR816" s="50"/>
      <c r="BS816" s="50"/>
      <c r="BT816" s="50"/>
      <c r="BU816" s="50"/>
      <c r="BV816" s="50"/>
      <c r="BW816" s="50"/>
      <c r="BX816" s="50"/>
      <c r="BY816" s="50"/>
      <c r="BZ816" s="50"/>
      <c r="CA816" s="50"/>
      <c r="CB816" s="50"/>
      <c r="CC816" s="50"/>
      <c r="CD816" s="50"/>
      <c r="CE816" s="50"/>
      <c r="CF816" s="50"/>
      <c r="CG816" s="50"/>
      <c r="CH816" s="50"/>
      <c r="CI816" s="50"/>
      <c r="CJ816" s="50"/>
      <c r="CK816" s="50"/>
      <c r="CL816" s="50"/>
      <c r="CM816" s="50"/>
    </row>
    <row r="817" spans="1:91" ht="14.25" customHeight="1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  <c r="BO817" s="50"/>
      <c r="BP817" s="50"/>
      <c r="BQ817" s="50"/>
      <c r="BR817" s="50"/>
      <c r="BS817" s="50"/>
      <c r="BT817" s="50"/>
      <c r="BU817" s="50"/>
      <c r="BV817" s="50"/>
      <c r="BW817" s="50"/>
      <c r="BX817" s="50"/>
      <c r="BY817" s="50"/>
      <c r="BZ817" s="50"/>
      <c r="CA817" s="50"/>
      <c r="CB817" s="50"/>
      <c r="CC817" s="50"/>
      <c r="CD817" s="50"/>
      <c r="CE817" s="50"/>
      <c r="CF817" s="50"/>
      <c r="CG817" s="50"/>
      <c r="CH817" s="50"/>
      <c r="CI817" s="50"/>
      <c r="CJ817" s="50"/>
      <c r="CK817" s="50"/>
      <c r="CL817" s="50"/>
      <c r="CM817" s="50"/>
    </row>
    <row r="818" spans="1:91" ht="14.25" customHeight="1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  <c r="BO818" s="50"/>
      <c r="BP818" s="50"/>
      <c r="BQ818" s="50"/>
      <c r="BR818" s="50"/>
      <c r="BS818" s="50"/>
      <c r="BT818" s="50"/>
      <c r="BU818" s="50"/>
      <c r="BV818" s="50"/>
      <c r="BW818" s="50"/>
      <c r="BX818" s="50"/>
      <c r="BY818" s="50"/>
      <c r="BZ818" s="50"/>
      <c r="CA818" s="50"/>
      <c r="CB818" s="50"/>
      <c r="CC818" s="50"/>
      <c r="CD818" s="50"/>
      <c r="CE818" s="50"/>
      <c r="CF818" s="50"/>
      <c r="CG818" s="50"/>
      <c r="CH818" s="50"/>
      <c r="CI818" s="50"/>
      <c r="CJ818" s="50"/>
      <c r="CK818" s="50"/>
      <c r="CL818" s="50"/>
      <c r="CM818" s="50"/>
    </row>
    <row r="819" spans="1:91" ht="14.25" customHeight="1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  <c r="BO819" s="50"/>
      <c r="BP819" s="50"/>
      <c r="BQ819" s="50"/>
      <c r="BR819" s="50"/>
      <c r="BS819" s="50"/>
      <c r="BT819" s="50"/>
      <c r="BU819" s="50"/>
      <c r="BV819" s="50"/>
      <c r="BW819" s="50"/>
      <c r="BX819" s="50"/>
      <c r="BY819" s="50"/>
      <c r="BZ819" s="50"/>
      <c r="CA819" s="50"/>
      <c r="CB819" s="50"/>
      <c r="CC819" s="50"/>
      <c r="CD819" s="50"/>
      <c r="CE819" s="50"/>
      <c r="CF819" s="50"/>
      <c r="CG819" s="50"/>
      <c r="CH819" s="50"/>
      <c r="CI819" s="50"/>
      <c r="CJ819" s="50"/>
      <c r="CK819" s="50"/>
      <c r="CL819" s="50"/>
      <c r="CM819" s="50"/>
    </row>
    <row r="820" spans="1:91" ht="14.25" customHeight="1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  <c r="BO820" s="50"/>
      <c r="BP820" s="50"/>
      <c r="BQ820" s="50"/>
      <c r="BR820" s="50"/>
      <c r="BS820" s="50"/>
      <c r="BT820" s="50"/>
      <c r="BU820" s="50"/>
      <c r="BV820" s="50"/>
      <c r="BW820" s="50"/>
      <c r="BX820" s="50"/>
      <c r="BY820" s="50"/>
      <c r="BZ820" s="50"/>
      <c r="CA820" s="50"/>
      <c r="CB820" s="50"/>
      <c r="CC820" s="50"/>
      <c r="CD820" s="50"/>
      <c r="CE820" s="50"/>
      <c r="CF820" s="50"/>
      <c r="CG820" s="50"/>
      <c r="CH820" s="50"/>
      <c r="CI820" s="50"/>
      <c r="CJ820" s="50"/>
      <c r="CK820" s="50"/>
      <c r="CL820" s="50"/>
      <c r="CM820" s="50"/>
    </row>
    <row r="821" spans="1:91" ht="14.25" customHeight="1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  <c r="BO821" s="50"/>
      <c r="BP821" s="50"/>
      <c r="BQ821" s="50"/>
      <c r="BR821" s="50"/>
      <c r="BS821" s="50"/>
      <c r="BT821" s="50"/>
      <c r="BU821" s="50"/>
      <c r="BV821" s="50"/>
      <c r="BW821" s="50"/>
      <c r="BX821" s="50"/>
      <c r="BY821" s="50"/>
      <c r="BZ821" s="50"/>
      <c r="CA821" s="50"/>
      <c r="CB821" s="50"/>
      <c r="CC821" s="50"/>
      <c r="CD821" s="50"/>
      <c r="CE821" s="50"/>
      <c r="CF821" s="50"/>
      <c r="CG821" s="50"/>
      <c r="CH821" s="50"/>
      <c r="CI821" s="50"/>
      <c r="CJ821" s="50"/>
      <c r="CK821" s="50"/>
      <c r="CL821" s="50"/>
      <c r="CM821" s="50"/>
    </row>
    <row r="822" spans="1:91" ht="14.25" customHeight="1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  <c r="BO822" s="50"/>
      <c r="BP822" s="50"/>
      <c r="BQ822" s="50"/>
      <c r="BR822" s="50"/>
      <c r="BS822" s="50"/>
      <c r="BT822" s="50"/>
      <c r="BU822" s="50"/>
      <c r="BV822" s="50"/>
      <c r="BW822" s="50"/>
      <c r="BX822" s="50"/>
      <c r="BY822" s="50"/>
      <c r="BZ822" s="50"/>
      <c r="CA822" s="50"/>
      <c r="CB822" s="50"/>
      <c r="CC822" s="50"/>
      <c r="CD822" s="50"/>
      <c r="CE822" s="50"/>
      <c r="CF822" s="50"/>
      <c r="CG822" s="50"/>
      <c r="CH822" s="50"/>
      <c r="CI822" s="50"/>
      <c r="CJ822" s="50"/>
      <c r="CK822" s="50"/>
      <c r="CL822" s="50"/>
      <c r="CM822" s="50"/>
    </row>
    <row r="823" spans="1:91" ht="14.25" customHeight="1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  <c r="BO823" s="50"/>
      <c r="BP823" s="50"/>
      <c r="BQ823" s="50"/>
      <c r="BR823" s="50"/>
      <c r="BS823" s="50"/>
      <c r="BT823" s="50"/>
      <c r="BU823" s="50"/>
      <c r="BV823" s="50"/>
      <c r="BW823" s="50"/>
      <c r="BX823" s="50"/>
      <c r="BY823" s="50"/>
      <c r="BZ823" s="50"/>
      <c r="CA823" s="50"/>
      <c r="CB823" s="50"/>
      <c r="CC823" s="50"/>
      <c r="CD823" s="50"/>
      <c r="CE823" s="50"/>
      <c r="CF823" s="50"/>
      <c r="CG823" s="50"/>
      <c r="CH823" s="50"/>
      <c r="CI823" s="50"/>
      <c r="CJ823" s="50"/>
      <c r="CK823" s="50"/>
      <c r="CL823" s="50"/>
      <c r="CM823" s="50"/>
    </row>
    <row r="824" spans="1:91" ht="14.25" customHeight="1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  <c r="BO824" s="50"/>
      <c r="BP824" s="50"/>
      <c r="BQ824" s="50"/>
      <c r="BR824" s="50"/>
      <c r="BS824" s="50"/>
      <c r="BT824" s="50"/>
      <c r="BU824" s="50"/>
      <c r="BV824" s="50"/>
      <c r="BW824" s="50"/>
      <c r="BX824" s="50"/>
      <c r="BY824" s="50"/>
      <c r="BZ824" s="50"/>
      <c r="CA824" s="50"/>
      <c r="CB824" s="50"/>
      <c r="CC824" s="50"/>
      <c r="CD824" s="50"/>
      <c r="CE824" s="50"/>
      <c r="CF824" s="50"/>
      <c r="CG824" s="50"/>
      <c r="CH824" s="50"/>
      <c r="CI824" s="50"/>
      <c r="CJ824" s="50"/>
      <c r="CK824" s="50"/>
      <c r="CL824" s="50"/>
      <c r="CM824" s="50"/>
    </row>
    <row r="825" spans="1:91" ht="14.25" customHeight="1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  <c r="BO825" s="50"/>
      <c r="BP825" s="50"/>
      <c r="BQ825" s="50"/>
      <c r="BR825" s="50"/>
      <c r="BS825" s="50"/>
      <c r="BT825" s="50"/>
      <c r="BU825" s="50"/>
      <c r="BV825" s="50"/>
      <c r="BW825" s="50"/>
      <c r="BX825" s="50"/>
      <c r="BY825" s="50"/>
      <c r="BZ825" s="50"/>
      <c r="CA825" s="50"/>
      <c r="CB825" s="50"/>
      <c r="CC825" s="50"/>
      <c r="CD825" s="50"/>
      <c r="CE825" s="50"/>
      <c r="CF825" s="50"/>
      <c r="CG825" s="50"/>
      <c r="CH825" s="50"/>
      <c r="CI825" s="50"/>
      <c r="CJ825" s="50"/>
      <c r="CK825" s="50"/>
      <c r="CL825" s="50"/>
      <c r="CM825" s="50"/>
    </row>
    <row r="826" spans="1:91" ht="14.25" customHeight="1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  <c r="BO826" s="50"/>
      <c r="BP826" s="50"/>
      <c r="BQ826" s="50"/>
      <c r="BR826" s="50"/>
      <c r="BS826" s="50"/>
      <c r="BT826" s="50"/>
      <c r="BU826" s="50"/>
      <c r="BV826" s="50"/>
      <c r="BW826" s="50"/>
      <c r="BX826" s="50"/>
      <c r="BY826" s="50"/>
      <c r="BZ826" s="50"/>
      <c r="CA826" s="50"/>
      <c r="CB826" s="50"/>
      <c r="CC826" s="50"/>
      <c r="CD826" s="50"/>
      <c r="CE826" s="50"/>
      <c r="CF826" s="50"/>
      <c r="CG826" s="50"/>
      <c r="CH826" s="50"/>
      <c r="CI826" s="50"/>
      <c r="CJ826" s="50"/>
      <c r="CK826" s="50"/>
      <c r="CL826" s="50"/>
      <c r="CM826" s="50"/>
    </row>
    <row r="827" spans="1:91" ht="14.25" customHeight="1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  <c r="BO827" s="50"/>
      <c r="BP827" s="50"/>
      <c r="BQ827" s="50"/>
      <c r="BR827" s="50"/>
      <c r="BS827" s="50"/>
      <c r="BT827" s="50"/>
      <c r="BU827" s="50"/>
      <c r="BV827" s="50"/>
      <c r="BW827" s="50"/>
      <c r="BX827" s="50"/>
      <c r="BY827" s="50"/>
      <c r="BZ827" s="50"/>
      <c r="CA827" s="50"/>
      <c r="CB827" s="50"/>
      <c r="CC827" s="50"/>
      <c r="CD827" s="50"/>
      <c r="CE827" s="50"/>
      <c r="CF827" s="50"/>
      <c r="CG827" s="50"/>
      <c r="CH827" s="50"/>
      <c r="CI827" s="50"/>
      <c r="CJ827" s="50"/>
      <c r="CK827" s="50"/>
      <c r="CL827" s="50"/>
      <c r="CM827" s="50"/>
    </row>
    <row r="828" spans="1:91" ht="14.25" customHeight="1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  <c r="BO828" s="50"/>
      <c r="BP828" s="50"/>
      <c r="BQ828" s="50"/>
      <c r="BR828" s="50"/>
      <c r="BS828" s="50"/>
      <c r="BT828" s="50"/>
      <c r="BU828" s="50"/>
      <c r="BV828" s="50"/>
      <c r="BW828" s="50"/>
      <c r="BX828" s="50"/>
      <c r="BY828" s="50"/>
      <c r="BZ828" s="50"/>
      <c r="CA828" s="50"/>
      <c r="CB828" s="50"/>
      <c r="CC828" s="50"/>
      <c r="CD828" s="50"/>
      <c r="CE828" s="50"/>
      <c r="CF828" s="50"/>
      <c r="CG828" s="50"/>
      <c r="CH828" s="50"/>
      <c r="CI828" s="50"/>
      <c r="CJ828" s="50"/>
      <c r="CK828" s="50"/>
      <c r="CL828" s="50"/>
      <c r="CM828" s="50"/>
    </row>
    <row r="829" spans="1:91" ht="14.25" customHeight="1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  <c r="BO829" s="50"/>
      <c r="BP829" s="50"/>
      <c r="BQ829" s="50"/>
      <c r="BR829" s="50"/>
      <c r="BS829" s="50"/>
      <c r="BT829" s="50"/>
      <c r="BU829" s="50"/>
      <c r="BV829" s="50"/>
      <c r="BW829" s="50"/>
      <c r="BX829" s="50"/>
      <c r="BY829" s="50"/>
      <c r="BZ829" s="50"/>
      <c r="CA829" s="50"/>
      <c r="CB829" s="50"/>
      <c r="CC829" s="50"/>
      <c r="CD829" s="50"/>
      <c r="CE829" s="50"/>
      <c r="CF829" s="50"/>
      <c r="CG829" s="50"/>
      <c r="CH829" s="50"/>
      <c r="CI829" s="50"/>
      <c r="CJ829" s="50"/>
      <c r="CK829" s="50"/>
      <c r="CL829" s="50"/>
      <c r="CM829" s="50"/>
    </row>
    <row r="830" spans="1:91" ht="14.25" customHeight="1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  <c r="BO830" s="50"/>
      <c r="BP830" s="50"/>
      <c r="BQ830" s="50"/>
      <c r="BR830" s="50"/>
      <c r="BS830" s="50"/>
      <c r="BT830" s="50"/>
      <c r="BU830" s="50"/>
      <c r="BV830" s="50"/>
      <c r="BW830" s="50"/>
      <c r="BX830" s="50"/>
      <c r="BY830" s="50"/>
      <c r="BZ830" s="50"/>
      <c r="CA830" s="50"/>
      <c r="CB830" s="50"/>
      <c r="CC830" s="50"/>
      <c r="CD830" s="50"/>
      <c r="CE830" s="50"/>
      <c r="CF830" s="50"/>
      <c r="CG830" s="50"/>
      <c r="CH830" s="50"/>
      <c r="CI830" s="50"/>
      <c r="CJ830" s="50"/>
      <c r="CK830" s="50"/>
      <c r="CL830" s="50"/>
      <c r="CM830" s="50"/>
    </row>
    <row r="831" spans="1:91" ht="14.25" customHeight="1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  <c r="BO831" s="50"/>
      <c r="BP831" s="50"/>
      <c r="BQ831" s="50"/>
      <c r="BR831" s="50"/>
      <c r="BS831" s="50"/>
      <c r="BT831" s="50"/>
      <c r="BU831" s="50"/>
      <c r="BV831" s="50"/>
      <c r="BW831" s="50"/>
      <c r="BX831" s="50"/>
      <c r="BY831" s="50"/>
      <c r="BZ831" s="50"/>
      <c r="CA831" s="50"/>
      <c r="CB831" s="50"/>
      <c r="CC831" s="50"/>
      <c r="CD831" s="50"/>
      <c r="CE831" s="50"/>
      <c r="CF831" s="50"/>
      <c r="CG831" s="50"/>
      <c r="CH831" s="50"/>
      <c r="CI831" s="50"/>
      <c r="CJ831" s="50"/>
      <c r="CK831" s="50"/>
      <c r="CL831" s="50"/>
      <c r="CM831" s="50"/>
    </row>
    <row r="832" spans="1:91" ht="14.25" customHeight="1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  <c r="BO832" s="50"/>
      <c r="BP832" s="50"/>
      <c r="BQ832" s="50"/>
      <c r="BR832" s="50"/>
      <c r="BS832" s="50"/>
      <c r="BT832" s="50"/>
      <c r="BU832" s="50"/>
      <c r="BV832" s="50"/>
      <c r="BW832" s="50"/>
      <c r="BX832" s="50"/>
      <c r="BY832" s="50"/>
      <c r="BZ832" s="50"/>
      <c r="CA832" s="50"/>
      <c r="CB832" s="50"/>
      <c r="CC832" s="50"/>
      <c r="CD832" s="50"/>
      <c r="CE832" s="50"/>
      <c r="CF832" s="50"/>
      <c r="CG832" s="50"/>
      <c r="CH832" s="50"/>
      <c r="CI832" s="50"/>
      <c r="CJ832" s="50"/>
      <c r="CK832" s="50"/>
      <c r="CL832" s="50"/>
      <c r="CM832" s="50"/>
    </row>
    <row r="833" spans="1:91" ht="14.25" customHeight="1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  <c r="BO833" s="50"/>
      <c r="BP833" s="50"/>
      <c r="BQ833" s="50"/>
      <c r="BR833" s="50"/>
      <c r="BS833" s="50"/>
      <c r="BT833" s="50"/>
      <c r="BU833" s="50"/>
      <c r="BV833" s="50"/>
      <c r="BW833" s="50"/>
      <c r="BX833" s="50"/>
      <c r="BY833" s="50"/>
      <c r="BZ833" s="50"/>
      <c r="CA833" s="50"/>
      <c r="CB833" s="50"/>
      <c r="CC833" s="50"/>
      <c r="CD833" s="50"/>
      <c r="CE833" s="50"/>
      <c r="CF833" s="50"/>
      <c r="CG833" s="50"/>
      <c r="CH833" s="50"/>
      <c r="CI833" s="50"/>
      <c r="CJ833" s="50"/>
      <c r="CK833" s="50"/>
      <c r="CL833" s="50"/>
      <c r="CM833" s="50"/>
    </row>
    <row r="834" spans="1:91" ht="14.25" customHeight="1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  <c r="BO834" s="50"/>
      <c r="BP834" s="50"/>
      <c r="BQ834" s="50"/>
      <c r="BR834" s="50"/>
      <c r="BS834" s="50"/>
      <c r="BT834" s="50"/>
      <c r="BU834" s="50"/>
      <c r="BV834" s="50"/>
      <c r="BW834" s="50"/>
      <c r="BX834" s="50"/>
      <c r="BY834" s="50"/>
      <c r="BZ834" s="50"/>
      <c r="CA834" s="50"/>
      <c r="CB834" s="50"/>
      <c r="CC834" s="50"/>
      <c r="CD834" s="50"/>
      <c r="CE834" s="50"/>
      <c r="CF834" s="50"/>
      <c r="CG834" s="50"/>
      <c r="CH834" s="50"/>
      <c r="CI834" s="50"/>
      <c r="CJ834" s="50"/>
      <c r="CK834" s="50"/>
      <c r="CL834" s="50"/>
      <c r="CM834" s="50"/>
    </row>
    <row r="835" spans="1:91" ht="14.25" customHeight="1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  <c r="BO835" s="50"/>
      <c r="BP835" s="50"/>
      <c r="BQ835" s="50"/>
      <c r="BR835" s="50"/>
      <c r="BS835" s="50"/>
      <c r="BT835" s="50"/>
      <c r="BU835" s="50"/>
      <c r="BV835" s="50"/>
      <c r="BW835" s="50"/>
      <c r="BX835" s="50"/>
      <c r="BY835" s="50"/>
      <c r="BZ835" s="50"/>
      <c r="CA835" s="50"/>
      <c r="CB835" s="50"/>
      <c r="CC835" s="50"/>
      <c r="CD835" s="50"/>
      <c r="CE835" s="50"/>
      <c r="CF835" s="50"/>
      <c r="CG835" s="50"/>
      <c r="CH835" s="50"/>
      <c r="CI835" s="50"/>
      <c r="CJ835" s="50"/>
      <c r="CK835" s="50"/>
      <c r="CL835" s="50"/>
      <c r="CM835" s="50"/>
    </row>
    <row r="836" spans="1:91" ht="14.25" customHeight="1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  <c r="BO836" s="50"/>
      <c r="BP836" s="50"/>
      <c r="BQ836" s="50"/>
      <c r="BR836" s="50"/>
      <c r="BS836" s="50"/>
      <c r="BT836" s="50"/>
      <c r="BU836" s="50"/>
      <c r="BV836" s="50"/>
      <c r="BW836" s="50"/>
      <c r="BX836" s="50"/>
      <c r="BY836" s="50"/>
      <c r="BZ836" s="50"/>
      <c r="CA836" s="50"/>
      <c r="CB836" s="50"/>
      <c r="CC836" s="50"/>
      <c r="CD836" s="50"/>
      <c r="CE836" s="50"/>
      <c r="CF836" s="50"/>
      <c r="CG836" s="50"/>
      <c r="CH836" s="50"/>
      <c r="CI836" s="50"/>
      <c r="CJ836" s="50"/>
      <c r="CK836" s="50"/>
      <c r="CL836" s="50"/>
      <c r="CM836" s="50"/>
    </row>
    <row r="837" spans="1:91" ht="14.25" customHeight="1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  <c r="BO837" s="50"/>
      <c r="BP837" s="50"/>
      <c r="BQ837" s="50"/>
      <c r="BR837" s="50"/>
      <c r="BS837" s="50"/>
      <c r="BT837" s="50"/>
      <c r="BU837" s="50"/>
      <c r="BV837" s="50"/>
      <c r="BW837" s="50"/>
      <c r="BX837" s="50"/>
      <c r="BY837" s="50"/>
      <c r="BZ837" s="50"/>
      <c r="CA837" s="50"/>
      <c r="CB837" s="50"/>
      <c r="CC837" s="50"/>
      <c r="CD837" s="50"/>
      <c r="CE837" s="50"/>
      <c r="CF837" s="50"/>
      <c r="CG837" s="50"/>
      <c r="CH837" s="50"/>
      <c r="CI837" s="50"/>
      <c r="CJ837" s="50"/>
      <c r="CK837" s="50"/>
      <c r="CL837" s="50"/>
      <c r="CM837" s="50"/>
    </row>
    <row r="838" spans="1:91" ht="14.25" customHeight="1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  <c r="BO838" s="50"/>
      <c r="BP838" s="50"/>
      <c r="BQ838" s="50"/>
      <c r="BR838" s="50"/>
      <c r="BS838" s="50"/>
      <c r="BT838" s="50"/>
      <c r="BU838" s="50"/>
      <c r="BV838" s="50"/>
      <c r="BW838" s="50"/>
      <c r="BX838" s="50"/>
      <c r="BY838" s="50"/>
      <c r="BZ838" s="50"/>
      <c r="CA838" s="50"/>
      <c r="CB838" s="50"/>
      <c r="CC838" s="50"/>
      <c r="CD838" s="50"/>
      <c r="CE838" s="50"/>
      <c r="CF838" s="50"/>
      <c r="CG838" s="50"/>
      <c r="CH838" s="50"/>
      <c r="CI838" s="50"/>
      <c r="CJ838" s="50"/>
      <c r="CK838" s="50"/>
      <c r="CL838" s="50"/>
      <c r="CM838" s="50"/>
    </row>
    <row r="839" spans="1:91" ht="14.25" customHeight="1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  <c r="BO839" s="50"/>
      <c r="BP839" s="50"/>
      <c r="BQ839" s="50"/>
      <c r="BR839" s="50"/>
      <c r="BS839" s="50"/>
      <c r="BT839" s="50"/>
      <c r="BU839" s="50"/>
      <c r="BV839" s="50"/>
      <c r="BW839" s="50"/>
      <c r="BX839" s="50"/>
      <c r="BY839" s="50"/>
      <c r="BZ839" s="50"/>
      <c r="CA839" s="50"/>
      <c r="CB839" s="50"/>
      <c r="CC839" s="50"/>
      <c r="CD839" s="50"/>
      <c r="CE839" s="50"/>
      <c r="CF839" s="50"/>
      <c r="CG839" s="50"/>
      <c r="CH839" s="50"/>
      <c r="CI839" s="50"/>
      <c r="CJ839" s="50"/>
      <c r="CK839" s="50"/>
      <c r="CL839" s="50"/>
      <c r="CM839" s="50"/>
    </row>
    <row r="840" spans="1:91" ht="14.25" customHeight="1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  <c r="BO840" s="50"/>
      <c r="BP840" s="50"/>
      <c r="BQ840" s="50"/>
      <c r="BR840" s="50"/>
      <c r="BS840" s="50"/>
      <c r="BT840" s="50"/>
      <c r="BU840" s="50"/>
      <c r="BV840" s="50"/>
      <c r="BW840" s="50"/>
      <c r="BX840" s="50"/>
      <c r="BY840" s="50"/>
      <c r="BZ840" s="50"/>
      <c r="CA840" s="50"/>
      <c r="CB840" s="50"/>
      <c r="CC840" s="50"/>
      <c r="CD840" s="50"/>
      <c r="CE840" s="50"/>
      <c r="CF840" s="50"/>
      <c r="CG840" s="50"/>
      <c r="CH840" s="50"/>
      <c r="CI840" s="50"/>
      <c r="CJ840" s="50"/>
      <c r="CK840" s="50"/>
      <c r="CL840" s="50"/>
      <c r="CM840" s="50"/>
    </row>
    <row r="841" spans="1:91" ht="14.25" customHeight="1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  <c r="BO841" s="50"/>
      <c r="BP841" s="50"/>
      <c r="BQ841" s="50"/>
      <c r="BR841" s="50"/>
      <c r="BS841" s="50"/>
      <c r="BT841" s="50"/>
      <c r="BU841" s="50"/>
      <c r="BV841" s="50"/>
      <c r="BW841" s="50"/>
      <c r="BX841" s="50"/>
      <c r="BY841" s="50"/>
      <c r="BZ841" s="50"/>
      <c r="CA841" s="50"/>
      <c r="CB841" s="50"/>
      <c r="CC841" s="50"/>
      <c r="CD841" s="50"/>
      <c r="CE841" s="50"/>
      <c r="CF841" s="50"/>
      <c r="CG841" s="50"/>
      <c r="CH841" s="50"/>
      <c r="CI841" s="50"/>
      <c r="CJ841" s="50"/>
      <c r="CK841" s="50"/>
      <c r="CL841" s="50"/>
      <c r="CM841" s="50"/>
    </row>
    <row r="842" spans="1:91" ht="14.25" customHeight="1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  <c r="BO842" s="50"/>
      <c r="BP842" s="50"/>
      <c r="BQ842" s="50"/>
      <c r="BR842" s="50"/>
      <c r="BS842" s="50"/>
      <c r="BT842" s="50"/>
      <c r="BU842" s="50"/>
      <c r="BV842" s="50"/>
      <c r="BW842" s="50"/>
      <c r="BX842" s="50"/>
      <c r="BY842" s="50"/>
      <c r="BZ842" s="50"/>
      <c r="CA842" s="50"/>
      <c r="CB842" s="50"/>
      <c r="CC842" s="50"/>
      <c r="CD842" s="50"/>
      <c r="CE842" s="50"/>
      <c r="CF842" s="50"/>
      <c r="CG842" s="50"/>
      <c r="CH842" s="50"/>
      <c r="CI842" s="50"/>
      <c r="CJ842" s="50"/>
      <c r="CK842" s="50"/>
      <c r="CL842" s="50"/>
      <c r="CM842" s="50"/>
    </row>
    <row r="843" spans="1:91" ht="14.25" customHeight="1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  <c r="BO843" s="50"/>
      <c r="BP843" s="50"/>
      <c r="BQ843" s="50"/>
      <c r="BR843" s="50"/>
      <c r="BS843" s="50"/>
      <c r="BT843" s="50"/>
      <c r="BU843" s="50"/>
      <c r="BV843" s="50"/>
      <c r="BW843" s="50"/>
      <c r="BX843" s="50"/>
      <c r="BY843" s="50"/>
      <c r="BZ843" s="50"/>
      <c r="CA843" s="50"/>
      <c r="CB843" s="50"/>
      <c r="CC843" s="50"/>
      <c r="CD843" s="50"/>
      <c r="CE843" s="50"/>
      <c r="CF843" s="50"/>
      <c r="CG843" s="50"/>
      <c r="CH843" s="50"/>
      <c r="CI843" s="50"/>
      <c r="CJ843" s="50"/>
      <c r="CK843" s="50"/>
      <c r="CL843" s="50"/>
      <c r="CM843" s="50"/>
    </row>
    <row r="844" spans="1:91" ht="14.25" customHeight="1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50"/>
      <c r="BL844" s="50"/>
      <c r="BM844" s="50"/>
      <c r="BN844" s="50"/>
      <c r="BO844" s="50"/>
      <c r="BP844" s="50"/>
      <c r="BQ844" s="50"/>
      <c r="BR844" s="50"/>
      <c r="BS844" s="50"/>
      <c r="BT844" s="50"/>
      <c r="BU844" s="50"/>
      <c r="BV844" s="50"/>
      <c r="BW844" s="50"/>
      <c r="BX844" s="50"/>
      <c r="BY844" s="50"/>
      <c r="BZ844" s="50"/>
      <c r="CA844" s="50"/>
      <c r="CB844" s="50"/>
      <c r="CC844" s="50"/>
      <c r="CD844" s="50"/>
      <c r="CE844" s="50"/>
      <c r="CF844" s="50"/>
      <c r="CG844" s="50"/>
      <c r="CH844" s="50"/>
      <c r="CI844" s="50"/>
      <c r="CJ844" s="50"/>
      <c r="CK844" s="50"/>
      <c r="CL844" s="50"/>
      <c r="CM844" s="50"/>
    </row>
    <row r="845" spans="1:91" ht="14.25" customHeight="1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50"/>
      <c r="AV845" s="50"/>
      <c r="AW845" s="50"/>
      <c r="AX845" s="50"/>
      <c r="AY845" s="50"/>
      <c r="AZ845" s="50"/>
      <c r="BA845" s="50"/>
      <c r="BB845" s="50"/>
      <c r="BC845" s="50"/>
      <c r="BD845" s="50"/>
      <c r="BE845" s="50"/>
      <c r="BF845" s="50"/>
      <c r="BG845" s="50"/>
      <c r="BH845" s="50"/>
      <c r="BI845" s="50"/>
      <c r="BJ845" s="50"/>
      <c r="BK845" s="50"/>
      <c r="BL845" s="50"/>
      <c r="BM845" s="50"/>
      <c r="BN845" s="50"/>
      <c r="BO845" s="50"/>
      <c r="BP845" s="50"/>
      <c r="BQ845" s="50"/>
      <c r="BR845" s="50"/>
      <c r="BS845" s="50"/>
      <c r="BT845" s="50"/>
      <c r="BU845" s="50"/>
      <c r="BV845" s="50"/>
      <c r="BW845" s="50"/>
      <c r="BX845" s="50"/>
      <c r="BY845" s="50"/>
      <c r="BZ845" s="50"/>
      <c r="CA845" s="50"/>
      <c r="CB845" s="50"/>
      <c r="CC845" s="50"/>
      <c r="CD845" s="50"/>
      <c r="CE845" s="50"/>
      <c r="CF845" s="50"/>
      <c r="CG845" s="50"/>
      <c r="CH845" s="50"/>
      <c r="CI845" s="50"/>
      <c r="CJ845" s="50"/>
      <c r="CK845" s="50"/>
      <c r="CL845" s="50"/>
      <c r="CM845" s="50"/>
    </row>
    <row r="846" spans="1:91" ht="14.25" customHeight="1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  <c r="BA846" s="50"/>
      <c r="BB846" s="50"/>
      <c r="BC846" s="50"/>
      <c r="BD846" s="50"/>
      <c r="BE846" s="50"/>
      <c r="BF846" s="50"/>
      <c r="BG846" s="50"/>
      <c r="BH846" s="50"/>
      <c r="BI846" s="50"/>
      <c r="BJ846" s="50"/>
      <c r="BK846" s="50"/>
      <c r="BL846" s="50"/>
      <c r="BM846" s="50"/>
      <c r="BN846" s="50"/>
      <c r="BO846" s="50"/>
      <c r="BP846" s="50"/>
      <c r="BQ846" s="50"/>
      <c r="BR846" s="50"/>
      <c r="BS846" s="50"/>
      <c r="BT846" s="50"/>
      <c r="BU846" s="50"/>
      <c r="BV846" s="50"/>
      <c r="BW846" s="50"/>
      <c r="BX846" s="50"/>
      <c r="BY846" s="50"/>
      <c r="BZ846" s="50"/>
      <c r="CA846" s="50"/>
      <c r="CB846" s="50"/>
      <c r="CC846" s="50"/>
      <c r="CD846" s="50"/>
      <c r="CE846" s="50"/>
      <c r="CF846" s="50"/>
      <c r="CG846" s="50"/>
      <c r="CH846" s="50"/>
      <c r="CI846" s="50"/>
      <c r="CJ846" s="50"/>
      <c r="CK846" s="50"/>
      <c r="CL846" s="50"/>
      <c r="CM846" s="50"/>
    </row>
    <row r="847" spans="1:91" ht="14.25" customHeight="1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50"/>
      <c r="AV847" s="50"/>
      <c r="AW847" s="50"/>
      <c r="AX847" s="50"/>
      <c r="AY847" s="50"/>
      <c r="AZ847" s="50"/>
      <c r="BA847" s="50"/>
      <c r="BB847" s="50"/>
      <c r="BC847" s="50"/>
      <c r="BD847" s="50"/>
      <c r="BE847" s="50"/>
      <c r="BF847" s="50"/>
      <c r="BG847" s="50"/>
      <c r="BH847" s="50"/>
      <c r="BI847" s="50"/>
      <c r="BJ847" s="50"/>
      <c r="BK847" s="50"/>
      <c r="BL847" s="50"/>
      <c r="BM847" s="50"/>
      <c r="BN847" s="50"/>
      <c r="BO847" s="50"/>
      <c r="BP847" s="50"/>
      <c r="BQ847" s="50"/>
      <c r="BR847" s="50"/>
      <c r="BS847" s="50"/>
      <c r="BT847" s="50"/>
      <c r="BU847" s="50"/>
      <c r="BV847" s="50"/>
      <c r="BW847" s="50"/>
      <c r="BX847" s="50"/>
      <c r="BY847" s="50"/>
      <c r="BZ847" s="50"/>
      <c r="CA847" s="50"/>
      <c r="CB847" s="50"/>
      <c r="CC847" s="50"/>
      <c r="CD847" s="50"/>
      <c r="CE847" s="50"/>
      <c r="CF847" s="50"/>
      <c r="CG847" s="50"/>
      <c r="CH847" s="50"/>
      <c r="CI847" s="50"/>
      <c r="CJ847" s="50"/>
      <c r="CK847" s="50"/>
      <c r="CL847" s="50"/>
      <c r="CM847" s="50"/>
    </row>
    <row r="848" spans="1:91" ht="14.25" customHeight="1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  <c r="BG848" s="50"/>
      <c r="BH848" s="50"/>
      <c r="BI848" s="50"/>
      <c r="BJ848" s="50"/>
      <c r="BK848" s="50"/>
      <c r="BL848" s="50"/>
      <c r="BM848" s="50"/>
      <c r="BN848" s="50"/>
      <c r="BO848" s="50"/>
      <c r="BP848" s="50"/>
      <c r="BQ848" s="50"/>
      <c r="BR848" s="50"/>
      <c r="BS848" s="50"/>
      <c r="BT848" s="50"/>
      <c r="BU848" s="50"/>
      <c r="BV848" s="50"/>
      <c r="BW848" s="50"/>
      <c r="BX848" s="50"/>
      <c r="BY848" s="50"/>
      <c r="BZ848" s="50"/>
      <c r="CA848" s="50"/>
      <c r="CB848" s="50"/>
      <c r="CC848" s="50"/>
      <c r="CD848" s="50"/>
      <c r="CE848" s="50"/>
      <c r="CF848" s="50"/>
      <c r="CG848" s="50"/>
      <c r="CH848" s="50"/>
      <c r="CI848" s="50"/>
      <c r="CJ848" s="50"/>
      <c r="CK848" s="50"/>
      <c r="CL848" s="50"/>
      <c r="CM848" s="50"/>
    </row>
    <row r="849" spans="1:91" ht="14.25" customHeight="1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50"/>
      <c r="AV849" s="50"/>
      <c r="AW849" s="50"/>
      <c r="AX849" s="50"/>
      <c r="AY849" s="50"/>
      <c r="AZ849" s="50"/>
      <c r="BA849" s="50"/>
      <c r="BB849" s="50"/>
      <c r="BC849" s="50"/>
      <c r="BD849" s="50"/>
      <c r="BE849" s="50"/>
      <c r="BF849" s="50"/>
      <c r="BG849" s="50"/>
      <c r="BH849" s="50"/>
      <c r="BI849" s="50"/>
      <c r="BJ849" s="50"/>
      <c r="BK849" s="50"/>
      <c r="BL849" s="50"/>
      <c r="BM849" s="50"/>
      <c r="BN849" s="50"/>
      <c r="BO849" s="50"/>
      <c r="BP849" s="50"/>
      <c r="BQ849" s="50"/>
      <c r="BR849" s="50"/>
      <c r="BS849" s="50"/>
      <c r="BT849" s="50"/>
      <c r="BU849" s="50"/>
      <c r="BV849" s="50"/>
      <c r="BW849" s="50"/>
      <c r="BX849" s="50"/>
      <c r="BY849" s="50"/>
      <c r="BZ849" s="50"/>
      <c r="CA849" s="50"/>
      <c r="CB849" s="50"/>
      <c r="CC849" s="50"/>
      <c r="CD849" s="50"/>
      <c r="CE849" s="50"/>
      <c r="CF849" s="50"/>
      <c r="CG849" s="50"/>
      <c r="CH849" s="50"/>
      <c r="CI849" s="50"/>
      <c r="CJ849" s="50"/>
      <c r="CK849" s="50"/>
      <c r="CL849" s="50"/>
      <c r="CM849" s="50"/>
    </row>
    <row r="850" spans="1:91" ht="14.25" customHeight="1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50"/>
      <c r="BC850" s="50"/>
      <c r="BD850" s="50"/>
      <c r="BE850" s="50"/>
      <c r="BF850" s="50"/>
      <c r="BG850" s="50"/>
      <c r="BH850" s="50"/>
      <c r="BI850" s="50"/>
      <c r="BJ850" s="50"/>
      <c r="BK850" s="50"/>
      <c r="BL850" s="50"/>
      <c r="BM850" s="50"/>
      <c r="BN850" s="50"/>
      <c r="BO850" s="50"/>
      <c r="BP850" s="50"/>
      <c r="BQ850" s="50"/>
      <c r="BR850" s="50"/>
      <c r="BS850" s="50"/>
      <c r="BT850" s="50"/>
      <c r="BU850" s="50"/>
      <c r="BV850" s="50"/>
      <c r="BW850" s="50"/>
      <c r="BX850" s="50"/>
      <c r="BY850" s="50"/>
      <c r="BZ850" s="50"/>
      <c r="CA850" s="50"/>
      <c r="CB850" s="50"/>
      <c r="CC850" s="50"/>
      <c r="CD850" s="50"/>
      <c r="CE850" s="50"/>
      <c r="CF850" s="50"/>
      <c r="CG850" s="50"/>
      <c r="CH850" s="50"/>
      <c r="CI850" s="50"/>
      <c r="CJ850" s="50"/>
      <c r="CK850" s="50"/>
      <c r="CL850" s="50"/>
      <c r="CM850" s="50"/>
    </row>
    <row r="851" spans="1:91" ht="14.25" customHeight="1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  <c r="AU851" s="50"/>
      <c r="AV851" s="50"/>
      <c r="AW851" s="50"/>
      <c r="AX851" s="50"/>
      <c r="AY851" s="50"/>
      <c r="AZ851" s="50"/>
      <c r="BA851" s="50"/>
      <c r="BB851" s="50"/>
      <c r="BC851" s="50"/>
      <c r="BD851" s="50"/>
      <c r="BE851" s="50"/>
      <c r="BF851" s="50"/>
      <c r="BG851" s="50"/>
      <c r="BH851" s="50"/>
      <c r="BI851" s="50"/>
      <c r="BJ851" s="50"/>
      <c r="BK851" s="50"/>
      <c r="BL851" s="50"/>
      <c r="BM851" s="50"/>
      <c r="BN851" s="50"/>
      <c r="BO851" s="50"/>
      <c r="BP851" s="50"/>
      <c r="BQ851" s="50"/>
      <c r="BR851" s="50"/>
      <c r="BS851" s="50"/>
      <c r="BT851" s="50"/>
      <c r="BU851" s="50"/>
      <c r="BV851" s="50"/>
      <c r="BW851" s="50"/>
      <c r="BX851" s="50"/>
      <c r="BY851" s="50"/>
      <c r="BZ851" s="50"/>
      <c r="CA851" s="50"/>
      <c r="CB851" s="50"/>
      <c r="CC851" s="50"/>
      <c r="CD851" s="50"/>
      <c r="CE851" s="50"/>
      <c r="CF851" s="50"/>
      <c r="CG851" s="50"/>
      <c r="CH851" s="50"/>
      <c r="CI851" s="50"/>
      <c r="CJ851" s="50"/>
      <c r="CK851" s="50"/>
      <c r="CL851" s="50"/>
      <c r="CM851" s="50"/>
    </row>
    <row r="852" spans="1:91" ht="14.25" customHeight="1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  <c r="AU852" s="50"/>
      <c r="AV852" s="50"/>
      <c r="AW852" s="50"/>
      <c r="AX852" s="50"/>
      <c r="AY852" s="50"/>
      <c r="AZ852" s="50"/>
      <c r="BA852" s="50"/>
      <c r="BB852" s="50"/>
      <c r="BC852" s="50"/>
      <c r="BD852" s="50"/>
      <c r="BE852" s="50"/>
      <c r="BF852" s="50"/>
      <c r="BG852" s="50"/>
      <c r="BH852" s="50"/>
      <c r="BI852" s="50"/>
      <c r="BJ852" s="50"/>
      <c r="BK852" s="50"/>
      <c r="BL852" s="50"/>
      <c r="BM852" s="50"/>
      <c r="BN852" s="50"/>
      <c r="BO852" s="50"/>
      <c r="BP852" s="50"/>
      <c r="BQ852" s="50"/>
      <c r="BR852" s="50"/>
      <c r="BS852" s="50"/>
      <c r="BT852" s="50"/>
      <c r="BU852" s="50"/>
      <c r="BV852" s="50"/>
      <c r="BW852" s="50"/>
      <c r="BX852" s="50"/>
      <c r="BY852" s="50"/>
      <c r="BZ852" s="50"/>
      <c r="CA852" s="50"/>
      <c r="CB852" s="50"/>
      <c r="CC852" s="50"/>
      <c r="CD852" s="50"/>
      <c r="CE852" s="50"/>
      <c r="CF852" s="50"/>
      <c r="CG852" s="50"/>
      <c r="CH852" s="50"/>
      <c r="CI852" s="50"/>
      <c r="CJ852" s="50"/>
      <c r="CK852" s="50"/>
      <c r="CL852" s="50"/>
      <c r="CM852" s="50"/>
    </row>
    <row r="853" spans="1:91" ht="14.25" customHeight="1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  <c r="AU853" s="50"/>
      <c r="AV853" s="50"/>
      <c r="AW853" s="50"/>
      <c r="AX853" s="50"/>
      <c r="AY853" s="50"/>
      <c r="AZ853" s="50"/>
      <c r="BA853" s="50"/>
      <c r="BB853" s="50"/>
      <c r="BC853" s="50"/>
      <c r="BD853" s="50"/>
      <c r="BE853" s="50"/>
      <c r="BF853" s="50"/>
      <c r="BG853" s="50"/>
      <c r="BH853" s="50"/>
      <c r="BI853" s="50"/>
      <c r="BJ853" s="50"/>
      <c r="BK853" s="50"/>
      <c r="BL853" s="50"/>
      <c r="BM853" s="50"/>
      <c r="BN853" s="50"/>
      <c r="BO853" s="50"/>
      <c r="BP853" s="50"/>
      <c r="BQ853" s="50"/>
      <c r="BR853" s="50"/>
      <c r="BS853" s="50"/>
      <c r="BT853" s="50"/>
      <c r="BU853" s="50"/>
      <c r="BV853" s="50"/>
      <c r="BW853" s="50"/>
      <c r="BX853" s="50"/>
      <c r="BY853" s="50"/>
      <c r="BZ853" s="50"/>
      <c r="CA853" s="50"/>
      <c r="CB853" s="50"/>
      <c r="CC853" s="50"/>
      <c r="CD853" s="50"/>
      <c r="CE853" s="50"/>
      <c r="CF853" s="50"/>
      <c r="CG853" s="50"/>
      <c r="CH853" s="50"/>
      <c r="CI853" s="50"/>
      <c r="CJ853" s="50"/>
      <c r="CK853" s="50"/>
      <c r="CL853" s="50"/>
      <c r="CM853" s="50"/>
    </row>
    <row r="854" spans="1:91" ht="14.25" customHeight="1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50"/>
      <c r="AV854" s="50"/>
      <c r="AW854" s="50"/>
      <c r="AX854" s="50"/>
      <c r="AY854" s="50"/>
      <c r="AZ854" s="50"/>
      <c r="BA854" s="50"/>
      <c r="BB854" s="50"/>
      <c r="BC854" s="50"/>
      <c r="BD854" s="50"/>
      <c r="BE854" s="50"/>
      <c r="BF854" s="50"/>
      <c r="BG854" s="50"/>
      <c r="BH854" s="50"/>
      <c r="BI854" s="50"/>
      <c r="BJ854" s="50"/>
      <c r="BK854" s="50"/>
      <c r="BL854" s="50"/>
      <c r="BM854" s="50"/>
      <c r="BN854" s="50"/>
      <c r="BO854" s="50"/>
      <c r="BP854" s="50"/>
      <c r="BQ854" s="50"/>
      <c r="BR854" s="50"/>
      <c r="BS854" s="50"/>
      <c r="BT854" s="50"/>
      <c r="BU854" s="50"/>
      <c r="BV854" s="50"/>
      <c r="BW854" s="50"/>
      <c r="BX854" s="50"/>
      <c r="BY854" s="50"/>
      <c r="BZ854" s="50"/>
      <c r="CA854" s="50"/>
      <c r="CB854" s="50"/>
      <c r="CC854" s="50"/>
      <c r="CD854" s="50"/>
      <c r="CE854" s="50"/>
      <c r="CF854" s="50"/>
      <c r="CG854" s="50"/>
      <c r="CH854" s="50"/>
      <c r="CI854" s="50"/>
      <c r="CJ854" s="50"/>
      <c r="CK854" s="50"/>
      <c r="CL854" s="50"/>
      <c r="CM854" s="50"/>
    </row>
    <row r="855" spans="1:91" ht="14.25" customHeight="1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  <c r="BA855" s="50"/>
      <c r="BB855" s="50"/>
      <c r="BC855" s="50"/>
      <c r="BD855" s="50"/>
      <c r="BE855" s="50"/>
      <c r="BF855" s="50"/>
      <c r="BG855" s="50"/>
      <c r="BH855" s="50"/>
      <c r="BI855" s="50"/>
      <c r="BJ855" s="50"/>
      <c r="BK855" s="50"/>
      <c r="BL855" s="50"/>
      <c r="BM855" s="50"/>
      <c r="BN855" s="50"/>
      <c r="BO855" s="50"/>
      <c r="BP855" s="50"/>
      <c r="BQ855" s="50"/>
      <c r="BR855" s="50"/>
      <c r="BS855" s="50"/>
      <c r="BT855" s="50"/>
      <c r="BU855" s="50"/>
      <c r="BV855" s="50"/>
      <c r="BW855" s="50"/>
      <c r="BX855" s="50"/>
      <c r="BY855" s="50"/>
      <c r="BZ855" s="50"/>
      <c r="CA855" s="50"/>
      <c r="CB855" s="50"/>
      <c r="CC855" s="50"/>
      <c r="CD855" s="50"/>
      <c r="CE855" s="50"/>
      <c r="CF855" s="50"/>
      <c r="CG855" s="50"/>
      <c r="CH855" s="50"/>
      <c r="CI855" s="50"/>
      <c r="CJ855" s="50"/>
      <c r="CK855" s="50"/>
      <c r="CL855" s="50"/>
      <c r="CM855" s="50"/>
    </row>
    <row r="856" spans="1:91" ht="14.25" customHeight="1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  <c r="BO856" s="50"/>
      <c r="BP856" s="50"/>
      <c r="BQ856" s="50"/>
      <c r="BR856" s="50"/>
      <c r="BS856" s="50"/>
      <c r="BT856" s="50"/>
      <c r="BU856" s="50"/>
      <c r="BV856" s="50"/>
      <c r="BW856" s="50"/>
      <c r="BX856" s="50"/>
      <c r="BY856" s="50"/>
      <c r="BZ856" s="50"/>
      <c r="CA856" s="50"/>
      <c r="CB856" s="50"/>
      <c r="CC856" s="50"/>
      <c r="CD856" s="50"/>
      <c r="CE856" s="50"/>
      <c r="CF856" s="50"/>
      <c r="CG856" s="50"/>
      <c r="CH856" s="50"/>
      <c r="CI856" s="50"/>
      <c r="CJ856" s="50"/>
      <c r="CK856" s="50"/>
      <c r="CL856" s="50"/>
      <c r="CM856" s="50"/>
    </row>
    <row r="857" spans="1:91" ht="14.25" customHeight="1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  <c r="BO857" s="50"/>
      <c r="BP857" s="50"/>
      <c r="BQ857" s="50"/>
      <c r="BR857" s="50"/>
      <c r="BS857" s="50"/>
      <c r="BT857" s="50"/>
      <c r="BU857" s="50"/>
      <c r="BV857" s="50"/>
      <c r="BW857" s="50"/>
      <c r="BX857" s="50"/>
      <c r="BY857" s="50"/>
      <c r="BZ857" s="50"/>
      <c r="CA857" s="50"/>
      <c r="CB857" s="50"/>
      <c r="CC857" s="50"/>
      <c r="CD857" s="50"/>
      <c r="CE857" s="50"/>
      <c r="CF857" s="50"/>
      <c r="CG857" s="50"/>
      <c r="CH857" s="50"/>
      <c r="CI857" s="50"/>
      <c r="CJ857" s="50"/>
      <c r="CK857" s="50"/>
      <c r="CL857" s="50"/>
      <c r="CM857" s="50"/>
    </row>
    <row r="858" spans="1:91" ht="14.25" customHeight="1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  <c r="BO858" s="50"/>
      <c r="BP858" s="50"/>
      <c r="BQ858" s="50"/>
      <c r="BR858" s="50"/>
      <c r="BS858" s="50"/>
      <c r="BT858" s="50"/>
      <c r="BU858" s="50"/>
      <c r="BV858" s="50"/>
      <c r="BW858" s="50"/>
      <c r="BX858" s="50"/>
      <c r="BY858" s="50"/>
      <c r="BZ858" s="50"/>
      <c r="CA858" s="50"/>
      <c r="CB858" s="50"/>
      <c r="CC858" s="50"/>
      <c r="CD858" s="50"/>
      <c r="CE858" s="50"/>
      <c r="CF858" s="50"/>
      <c r="CG858" s="50"/>
      <c r="CH858" s="50"/>
      <c r="CI858" s="50"/>
      <c r="CJ858" s="50"/>
      <c r="CK858" s="50"/>
      <c r="CL858" s="50"/>
      <c r="CM858" s="50"/>
    </row>
    <row r="859" spans="1:91" ht="14.25" customHeight="1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  <c r="AU859" s="50"/>
      <c r="AV859" s="50"/>
      <c r="AW859" s="50"/>
      <c r="AX859" s="50"/>
      <c r="AY859" s="50"/>
      <c r="AZ859" s="50"/>
      <c r="BA859" s="50"/>
      <c r="BB859" s="50"/>
      <c r="BC859" s="50"/>
      <c r="BD859" s="50"/>
      <c r="BE859" s="50"/>
      <c r="BF859" s="50"/>
      <c r="BG859" s="50"/>
      <c r="BH859" s="50"/>
      <c r="BI859" s="50"/>
      <c r="BJ859" s="50"/>
      <c r="BK859" s="50"/>
      <c r="BL859" s="50"/>
      <c r="BM859" s="50"/>
      <c r="BN859" s="50"/>
      <c r="BO859" s="50"/>
      <c r="BP859" s="50"/>
      <c r="BQ859" s="50"/>
      <c r="BR859" s="50"/>
      <c r="BS859" s="50"/>
      <c r="BT859" s="50"/>
      <c r="BU859" s="50"/>
      <c r="BV859" s="50"/>
      <c r="BW859" s="50"/>
      <c r="BX859" s="50"/>
      <c r="BY859" s="50"/>
      <c r="BZ859" s="50"/>
      <c r="CA859" s="50"/>
      <c r="CB859" s="50"/>
      <c r="CC859" s="50"/>
      <c r="CD859" s="50"/>
      <c r="CE859" s="50"/>
      <c r="CF859" s="50"/>
      <c r="CG859" s="50"/>
      <c r="CH859" s="50"/>
      <c r="CI859" s="50"/>
      <c r="CJ859" s="50"/>
      <c r="CK859" s="50"/>
      <c r="CL859" s="50"/>
      <c r="CM859" s="50"/>
    </row>
    <row r="860" spans="1:91" ht="14.25" customHeight="1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50"/>
      <c r="AV860" s="50"/>
      <c r="AW860" s="50"/>
      <c r="AX860" s="50"/>
      <c r="AY860" s="50"/>
      <c r="AZ860" s="50"/>
      <c r="BA860" s="50"/>
      <c r="BB860" s="50"/>
      <c r="BC860" s="50"/>
      <c r="BD860" s="50"/>
      <c r="BE860" s="50"/>
      <c r="BF860" s="50"/>
      <c r="BG860" s="50"/>
      <c r="BH860" s="50"/>
      <c r="BI860" s="50"/>
      <c r="BJ860" s="50"/>
      <c r="BK860" s="50"/>
      <c r="BL860" s="50"/>
      <c r="BM860" s="50"/>
      <c r="BN860" s="50"/>
      <c r="BO860" s="50"/>
      <c r="BP860" s="50"/>
      <c r="BQ860" s="50"/>
      <c r="BR860" s="50"/>
      <c r="BS860" s="50"/>
      <c r="BT860" s="50"/>
      <c r="BU860" s="50"/>
      <c r="BV860" s="50"/>
      <c r="BW860" s="50"/>
      <c r="BX860" s="50"/>
      <c r="BY860" s="50"/>
      <c r="BZ860" s="50"/>
      <c r="CA860" s="50"/>
      <c r="CB860" s="50"/>
      <c r="CC860" s="50"/>
      <c r="CD860" s="50"/>
      <c r="CE860" s="50"/>
      <c r="CF860" s="50"/>
      <c r="CG860" s="50"/>
      <c r="CH860" s="50"/>
      <c r="CI860" s="50"/>
      <c r="CJ860" s="50"/>
      <c r="CK860" s="50"/>
      <c r="CL860" s="50"/>
      <c r="CM860" s="50"/>
    </row>
    <row r="861" spans="1:91" ht="14.25" customHeight="1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50"/>
      <c r="AV861" s="50"/>
      <c r="AW861" s="50"/>
      <c r="AX861" s="50"/>
      <c r="AY861" s="50"/>
      <c r="AZ861" s="50"/>
      <c r="BA861" s="50"/>
      <c r="BB861" s="50"/>
      <c r="BC861" s="50"/>
      <c r="BD861" s="50"/>
      <c r="BE861" s="50"/>
      <c r="BF861" s="50"/>
      <c r="BG861" s="50"/>
      <c r="BH861" s="50"/>
      <c r="BI861" s="50"/>
      <c r="BJ861" s="50"/>
      <c r="BK861" s="50"/>
      <c r="BL861" s="50"/>
      <c r="BM861" s="50"/>
      <c r="BN861" s="50"/>
      <c r="BO861" s="50"/>
      <c r="BP861" s="50"/>
      <c r="BQ861" s="50"/>
      <c r="BR861" s="50"/>
      <c r="BS861" s="50"/>
      <c r="BT861" s="50"/>
      <c r="BU861" s="50"/>
      <c r="BV861" s="50"/>
      <c r="BW861" s="50"/>
      <c r="BX861" s="50"/>
      <c r="BY861" s="50"/>
      <c r="BZ861" s="50"/>
      <c r="CA861" s="50"/>
      <c r="CB861" s="50"/>
      <c r="CC861" s="50"/>
      <c r="CD861" s="50"/>
      <c r="CE861" s="50"/>
      <c r="CF861" s="50"/>
      <c r="CG861" s="50"/>
      <c r="CH861" s="50"/>
      <c r="CI861" s="50"/>
      <c r="CJ861" s="50"/>
      <c r="CK861" s="50"/>
      <c r="CL861" s="50"/>
      <c r="CM861" s="50"/>
    </row>
    <row r="862" spans="1:91" ht="14.25" customHeight="1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50"/>
      <c r="AV862" s="50"/>
      <c r="AW862" s="50"/>
      <c r="AX862" s="50"/>
      <c r="AY862" s="50"/>
      <c r="AZ862" s="50"/>
      <c r="BA862" s="50"/>
      <c r="BB862" s="50"/>
      <c r="BC862" s="50"/>
      <c r="BD862" s="50"/>
      <c r="BE862" s="50"/>
      <c r="BF862" s="50"/>
      <c r="BG862" s="50"/>
      <c r="BH862" s="50"/>
      <c r="BI862" s="50"/>
      <c r="BJ862" s="50"/>
      <c r="BK862" s="50"/>
      <c r="BL862" s="50"/>
      <c r="BM862" s="50"/>
      <c r="BN862" s="50"/>
      <c r="BO862" s="50"/>
      <c r="BP862" s="50"/>
      <c r="BQ862" s="50"/>
      <c r="BR862" s="50"/>
      <c r="BS862" s="50"/>
      <c r="BT862" s="50"/>
      <c r="BU862" s="50"/>
      <c r="BV862" s="50"/>
      <c r="BW862" s="50"/>
      <c r="BX862" s="50"/>
      <c r="BY862" s="50"/>
      <c r="BZ862" s="50"/>
      <c r="CA862" s="50"/>
      <c r="CB862" s="50"/>
      <c r="CC862" s="50"/>
      <c r="CD862" s="50"/>
      <c r="CE862" s="50"/>
      <c r="CF862" s="50"/>
      <c r="CG862" s="50"/>
      <c r="CH862" s="50"/>
      <c r="CI862" s="50"/>
      <c r="CJ862" s="50"/>
      <c r="CK862" s="50"/>
      <c r="CL862" s="50"/>
      <c r="CM862" s="50"/>
    </row>
    <row r="863" spans="1:91" ht="14.25" customHeight="1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  <c r="AU863" s="50"/>
      <c r="AV863" s="50"/>
      <c r="AW863" s="50"/>
      <c r="AX863" s="50"/>
      <c r="AY863" s="50"/>
      <c r="AZ863" s="50"/>
      <c r="BA863" s="50"/>
      <c r="BB863" s="50"/>
      <c r="BC863" s="50"/>
      <c r="BD863" s="50"/>
      <c r="BE863" s="50"/>
      <c r="BF863" s="50"/>
      <c r="BG863" s="50"/>
      <c r="BH863" s="50"/>
      <c r="BI863" s="50"/>
      <c r="BJ863" s="50"/>
      <c r="BK863" s="50"/>
      <c r="BL863" s="50"/>
      <c r="BM863" s="50"/>
      <c r="BN863" s="50"/>
      <c r="BO863" s="50"/>
      <c r="BP863" s="50"/>
      <c r="BQ863" s="50"/>
      <c r="BR863" s="50"/>
      <c r="BS863" s="50"/>
      <c r="BT863" s="50"/>
      <c r="BU863" s="50"/>
      <c r="BV863" s="50"/>
      <c r="BW863" s="50"/>
      <c r="BX863" s="50"/>
      <c r="BY863" s="50"/>
      <c r="BZ863" s="50"/>
      <c r="CA863" s="50"/>
      <c r="CB863" s="50"/>
      <c r="CC863" s="50"/>
      <c r="CD863" s="50"/>
      <c r="CE863" s="50"/>
      <c r="CF863" s="50"/>
      <c r="CG863" s="50"/>
      <c r="CH863" s="50"/>
      <c r="CI863" s="50"/>
      <c r="CJ863" s="50"/>
      <c r="CK863" s="50"/>
      <c r="CL863" s="50"/>
      <c r="CM863" s="50"/>
    </row>
    <row r="864" spans="1:91" ht="14.25" customHeight="1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  <c r="AU864" s="50"/>
      <c r="AV864" s="50"/>
      <c r="AW864" s="50"/>
      <c r="AX864" s="50"/>
      <c r="AY864" s="50"/>
      <c r="AZ864" s="50"/>
      <c r="BA864" s="50"/>
      <c r="BB864" s="50"/>
      <c r="BC864" s="50"/>
      <c r="BD864" s="50"/>
      <c r="BE864" s="50"/>
      <c r="BF864" s="50"/>
      <c r="BG864" s="50"/>
      <c r="BH864" s="50"/>
      <c r="BI864" s="50"/>
      <c r="BJ864" s="50"/>
      <c r="BK864" s="50"/>
      <c r="BL864" s="50"/>
      <c r="BM864" s="50"/>
      <c r="BN864" s="50"/>
      <c r="BO864" s="50"/>
      <c r="BP864" s="50"/>
      <c r="BQ864" s="50"/>
      <c r="BR864" s="50"/>
      <c r="BS864" s="50"/>
      <c r="BT864" s="50"/>
      <c r="BU864" s="50"/>
      <c r="BV864" s="50"/>
      <c r="BW864" s="50"/>
      <c r="BX864" s="50"/>
      <c r="BY864" s="50"/>
      <c r="BZ864" s="50"/>
      <c r="CA864" s="50"/>
      <c r="CB864" s="50"/>
      <c r="CC864" s="50"/>
      <c r="CD864" s="50"/>
      <c r="CE864" s="50"/>
      <c r="CF864" s="50"/>
      <c r="CG864" s="50"/>
      <c r="CH864" s="50"/>
      <c r="CI864" s="50"/>
      <c r="CJ864" s="50"/>
      <c r="CK864" s="50"/>
      <c r="CL864" s="50"/>
      <c r="CM864" s="50"/>
    </row>
    <row r="865" spans="1:91" ht="14.25" customHeight="1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  <c r="AT865" s="50"/>
      <c r="AU865" s="50"/>
      <c r="AV865" s="50"/>
      <c r="AW865" s="50"/>
      <c r="AX865" s="50"/>
      <c r="AY865" s="50"/>
      <c r="AZ865" s="50"/>
      <c r="BA865" s="50"/>
      <c r="BB865" s="50"/>
      <c r="BC865" s="50"/>
      <c r="BD865" s="50"/>
      <c r="BE865" s="50"/>
      <c r="BF865" s="50"/>
      <c r="BG865" s="50"/>
      <c r="BH865" s="50"/>
      <c r="BI865" s="50"/>
      <c r="BJ865" s="50"/>
      <c r="BK865" s="50"/>
      <c r="BL865" s="50"/>
      <c r="BM865" s="50"/>
      <c r="BN865" s="50"/>
      <c r="BO865" s="50"/>
      <c r="BP865" s="50"/>
      <c r="BQ865" s="50"/>
      <c r="BR865" s="50"/>
      <c r="BS865" s="50"/>
      <c r="BT865" s="50"/>
      <c r="BU865" s="50"/>
      <c r="BV865" s="50"/>
      <c r="BW865" s="50"/>
      <c r="BX865" s="50"/>
      <c r="BY865" s="50"/>
      <c r="BZ865" s="50"/>
      <c r="CA865" s="50"/>
      <c r="CB865" s="50"/>
      <c r="CC865" s="50"/>
      <c r="CD865" s="50"/>
      <c r="CE865" s="50"/>
      <c r="CF865" s="50"/>
      <c r="CG865" s="50"/>
      <c r="CH865" s="50"/>
      <c r="CI865" s="50"/>
      <c r="CJ865" s="50"/>
      <c r="CK865" s="50"/>
      <c r="CL865" s="50"/>
      <c r="CM865" s="50"/>
    </row>
    <row r="866" spans="1:91" ht="14.25" customHeight="1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  <c r="AU866" s="50"/>
      <c r="AV866" s="50"/>
      <c r="AW866" s="50"/>
      <c r="AX866" s="50"/>
      <c r="AY866" s="50"/>
      <c r="AZ866" s="50"/>
      <c r="BA866" s="50"/>
      <c r="BB866" s="50"/>
      <c r="BC866" s="50"/>
      <c r="BD866" s="50"/>
      <c r="BE866" s="50"/>
      <c r="BF866" s="50"/>
      <c r="BG866" s="50"/>
      <c r="BH866" s="50"/>
      <c r="BI866" s="50"/>
      <c r="BJ866" s="50"/>
      <c r="BK866" s="50"/>
      <c r="BL866" s="50"/>
      <c r="BM866" s="50"/>
      <c r="BN866" s="50"/>
      <c r="BO866" s="50"/>
      <c r="BP866" s="50"/>
      <c r="BQ866" s="50"/>
      <c r="BR866" s="50"/>
      <c r="BS866" s="50"/>
      <c r="BT866" s="50"/>
      <c r="BU866" s="50"/>
      <c r="BV866" s="50"/>
      <c r="BW866" s="50"/>
      <c r="BX866" s="50"/>
      <c r="BY866" s="50"/>
      <c r="BZ866" s="50"/>
      <c r="CA866" s="50"/>
      <c r="CB866" s="50"/>
      <c r="CC866" s="50"/>
      <c r="CD866" s="50"/>
      <c r="CE866" s="50"/>
      <c r="CF866" s="50"/>
      <c r="CG866" s="50"/>
      <c r="CH866" s="50"/>
      <c r="CI866" s="50"/>
      <c r="CJ866" s="50"/>
      <c r="CK866" s="50"/>
      <c r="CL866" s="50"/>
      <c r="CM866" s="50"/>
    </row>
    <row r="867" spans="1:91" ht="14.25" customHeight="1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  <c r="AU867" s="50"/>
      <c r="AV867" s="50"/>
      <c r="AW867" s="50"/>
      <c r="AX867" s="50"/>
      <c r="AY867" s="50"/>
      <c r="AZ867" s="50"/>
      <c r="BA867" s="50"/>
      <c r="BB867" s="50"/>
      <c r="BC867" s="50"/>
      <c r="BD867" s="50"/>
      <c r="BE867" s="50"/>
      <c r="BF867" s="50"/>
      <c r="BG867" s="50"/>
      <c r="BH867" s="50"/>
      <c r="BI867" s="50"/>
      <c r="BJ867" s="50"/>
      <c r="BK867" s="50"/>
      <c r="BL867" s="50"/>
      <c r="BM867" s="50"/>
      <c r="BN867" s="50"/>
      <c r="BO867" s="50"/>
      <c r="BP867" s="50"/>
      <c r="BQ867" s="50"/>
      <c r="BR867" s="50"/>
      <c r="BS867" s="50"/>
      <c r="BT867" s="50"/>
      <c r="BU867" s="50"/>
      <c r="BV867" s="50"/>
      <c r="BW867" s="50"/>
      <c r="BX867" s="50"/>
      <c r="BY867" s="50"/>
      <c r="BZ867" s="50"/>
      <c r="CA867" s="50"/>
      <c r="CB867" s="50"/>
      <c r="CC867" s="50"/>
      <c r="CD867" s="50"/>
      <c r="CE867" s="50"/>
      <c r="CF867" s="50"/>
      <c r="CG867" s="50"/>
      <c r="CH867" s="50"/>
      <c r="CI867" s="50"/>
      <c r="CJ867" s="50"/>
      <c r="CK867" s="50"/>
      <c r="CL867" s="50"/>
      <c r="CM867" s="50"/>
    </row>
    <row r="868" spans="1:91" ht="14.25" customHeight="1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  <c r="AU868" s="50"/>
      <c r="AV868" s="50"/>
      <c r="AW868" s="50"/>
      <c r="AX868" s="50"/>
      <c r="AY868" s="50"/>
      <c r="AZ868" s="50"/>
      <c r="BA868" s="50"/>
      <c r="BB868" s="50"/>
      <c r="BC868" s="50"/>
      <c r="BD868" s="50"/>
      <c r="BE868" s="50"/>
      <c r="BF868" s="50"/>
      <c r="BG868" s="50"/>
      <c r="BH868" s="50"/>
      <c r="BI868" s="50"/>
      <c r="BJ868" s="50"/>
      <c r="BK868" s="50"/>
      <c r="BL868" s="50"/>
      <c r="BM868" s="50"/>
      <c r="BN868" s="50"/>
      <c r="BO868" s="50"/>
      <c r="BP868" s="50"/>
      <c r="BQ868" s="50"/>
      <c r="BR868" s="50"/>
      <c r="BS868" s="50"/>
      <c r="BT868" s="50"/>
      <c r="BU868" s="50"/>
      <c r="BV868" s="50"/>
      <c r="BW868" s="50"/>
      <c r="BX868" s="50"/>
      <c r="BY868" s="50"/>
      <c r="BZ868" s="50"/>
      <c r="CA868" s="50"/>
      <c r="CB868" s="50"/>
      <c r="CC868" s="50"/>
      <c r="CD868" s="50"/>
      <c r="CE868" s="50"/>
      <c r="CF868" s="50"/>
      <c r="CG868" s="50"/>
      <c r="CH868" s="50"/>
      <c r="CI868" s="50"/>
      <c r="CJ868" s="50"/>
      <c r="CK868" s="50"/>
      <c r="CL868" s="50"/>
      <c r="CM868" s="50"/>
    </row>
    <row r="869" spans="1:91" ht="14.25" customHeight="1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  <c r="AT869" s="50"/>
      <c r="AU869" s="50"/>
      <c r="AV869" s="50"/>
      <c r="AW869" s="50"/>
      <c r="AX869" s="50"/>
      <c r="AY869" s="50"/>
      <c r="AZ869" s="50"/>
      <c r="BA869" s="50"/>
      <c r="BB869" s="50"/>
      <c r="BC869" s="50"/>
      <c r="BD869" s="50"/>
      <c r="BE869" s="50"/>
      <c r="BF869" s="50"/>
      <c r="BG869" s="50"/>
      <c r="BH869" s="50"/>
      <c r="BI869" s="50"/>
      <c r="BJ869" s="50"/>
      <c r="BK869" s="50"/>
      <c r="BL869" s="50"/>
      <c r="BM869" s="50"/>
      <c r="BN869" s="50"/>
      <c r="BO869" s="50"/>
      <c r="BP869" s="50"/>
      <c r="BQ869" s="50"/>
      <c r="BR869" s="50"/>
      <c r="BS869" s="50"/>
      <c r="BT869" s="50"/>
      <c r="BU869" s="50"/>
      <c r="BV869" s="50"/>
      <c r="BW869" s="50"/>
      <c r="BX869" s="50"/>
      <c r="BY869" s="50"/>
      <c r="BZ869" s="50"/>
      <c r="CA869" s="50"/>
      <c r="CB869" s="50"/>
      <c r="CC869" s="50"/>
      <c r="CD869" s="50"/>
      <c r="CE869" s="50"/>
      <c r="CF869" s="50"/>
      <c r="CG869" s="50"/>
      <c r="CH869" s="50"/>
      <c r="CI869" s="50"/>
      <c r="CJ869" s="50"/>
      <c r="CK869" s="50"/>
      <c r="CL869" s="50"/>
      <c r="CM869" s="50"/>
    </row>
    <row r="870" spans="1:91" ht="14.25" customHeight="1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  <c r="AT870" s="50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  <c r="BO870" s="50"/>
      <c r="BP870" s="50"/>
      <c r="BQ870" s="50"/>
      <c r="BR870" s="50"/>
      <c r="BS870" s="50"/>
      <c r="BT870" s="50"/>
      <c r="BU870" s="50"/>
      <c r="BV870" s="50"/>
      <c r="BW870" s="50"/>
      <c r="BX870" s="50"/>
      <c r="BY870" s="50"/>
      <c r="BZ870" s="50"/>
      <c r="CA870" s="50"/>
      <c r="CB870" s="50"/>
      <c r="CC870" s="50"/>
      <c r="CD870" s="50"/>
      <c r="CE870" s="50"/>
      <c r="CF870" s="50"/>
      <c r="CG870" s="50"/>
      <c r="CH870" s="50"/>
      <c r="CI870" s="50"/>
      <c r="CJ870" s="50"/>
      <c r="CK870" s="50"/>
      <c r="CL870" s="50"/>
      <c r="CM870" s="50"/>
    </row>
    <row r="871" spans="1:91" ht="14.25" customHeight="1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  <c r="AT871" s="50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  <c r="BO871" s="50"/>
      <c r="BP871" s="50"/>
      <c r="BQ871" s="50"/>
      <c r="BR871" s="50"/>
      <c r="BS871" s="50"/>
      <c r="BT871" s="50"/>
      <c r="BU871" s="50"/>
      <c r="BV871" s="50"/>
      <c r="BW871" s="50"/>
      <c r="BX871" s="50"/>
      <c r="BY871" s="50"/>
      <c r="BZ871" s="50"/>
      <c r="CA871" s="50"/>
      <c r="CB871" s="50"/>
      <c r="CC871" s="50"/>
      <c r="CD871" s="50"/>
      <c r="CE871" s="50"/>
      <c r="CF871" s="50"/>
      <c r="CG871" s="50"/>
      <c r="CH871" s="50"/>
      <c r="CI871" s="50"/>
      <c r="CJ871" s="50"/>
      <c r="CK871" s="50"/>
      <c r="CL871" s="50"/>
      <c r="CM871" s="50"/>
    </row>
    <row r="872" spans="1:91" ht="14.25" customHeight="1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  <c r="AT872" s="50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  <c r="BO872" s="50"/>
      <c r="BP872" s="50"/>
      <c r="BQ872" s="50"/>
      <c r="BR872" s="50"/>
      <c r="BS872" s="50"/>
      <c r="BT872" s="50"/>
      <c r="BU872" s="50"/>
      <c r="BV872" s="50"/>
      <c r="BW872" s="50"/>
      <c r="BX872" s="50"/>
      <c r="BY872" s="50"/>
      <c r="BZ872" s="50"/>
      <c r="CA872" s="50"/>
      <c r="CB872" s="50"/>
      <c r="CC872" s="50"/>
      <c r="CD872" s="50"/>
      <c r="CE872" s="50"/>
      <c r="CF872" s="50"/>
      <c r="CG872" s="50"/>
      <c r="CH872" s="50"/>
      <c r="CI872" s="50"/>
      <c r="CJ872" s="50"/>
      <c r="CK872" s="50"/>
      <c r="CL872" s="50"/>
      <c r="CM872" s="50"/>
    </row>
    <row r="873" spans="1:91" ht="14.25" customHeight="1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  <c r="AT873" s="50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  <c r="BO873" s="50"/>
      <c r="BP873" s="50"/>
      <c r="BQ873" s="50"/>
      <c r="BR873" s="50"/>
      <c r="BS873" s="50"/>
      <c r="BT873" s="50"/>
      <c r="BU873" s="50"/>
      <c r="BV873" s="50"/>
      <c r="BW873" s="50"/>
      <c r="BX873" s="50"/>
      <c r="BY873" s="50"/>
      <c r="BZ873" s="50"/>
      <c r="CA873" s="50"/>
      <c r="CB873" s="50"/>
      <c r="CC873" s="50"/>
      <c r="CD873" s="50"/>
      <c r="CE873" s="50"/>
      <c r="CF873" s="50"/>
      <c r="CG873" s="50"/>
      <c r="CH873" s="50"/>
      <c r="CI873" s="50"/>
      <c r="CJ873" s="50"/>
      <c r="CK873" s="50"/>
      <c r="CL873" s="50"/>
      <c r="CM873" s="50"/>
    </row>
    <row r="874" spans="1:91" ht="14.25" customHeight="1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50"/>
      <c r="AV874" s="50"/>
      <c r="AW874" s="50"/>
      <c r="AX874" s="50"/>
      <c r="AY874" s="50"/>
      <c r="AZ874" s="50"/>
      <c r="BA874" s="50"/>
      <c r="BB874" s="50"/>
      <c r="BC874" s="50"/>
      <c r="BD874" s="50"/>
      <c r="BE874" s="50"/>
      <c r="BF874" s="50"/>
      <c r="BG874" s="50"/>
      <c r="BH874" s="50"/>
      <c r="BI874" s="50"/>
      <c r="BJ874" s="50"/>
      <c r="BK874" s="50"/>
      <c r="BL874" s="50"/>
      <c r="BM874" s="50"/>
      <c r="BN874" s="50"/>
      <c r="BO874" s="50"/>
      <c r="BP874" s="50"/>
      <c r="BQ874" s="50"/>
      <c r="BR874" s="50"/>
      <c r="BS874" s="50"/>
      <c r="BT874" s="50"/>
      <c r="BU874" s="50"/>
      <c r="BV874" s="50"/>
      <c r="BW874" s="50"/>
      <c r="BX874" s="50"/>
      <c r="BY874" s="50"/>
      <c r="BZ874" s="50"/>
      <c r="CA874" s="50"/>
      <c r="CB874" s="50"/>
      <c r="CC874" s="50"/>
      <c r="CD874" s="50"/>
      <c r="CE874" s="50"/>
      <c r="CF874" s="50"/>
      <c r="CG874" s="50"/>
      <c r="CH874" s="50"/>
      <c r="CI874" s="50"/>
      <c r="CJ874" s="50"/>
      <c r="CK874" s="50"/>
      <c r="CL874" s="50"/>
      <c r="CM874" s="50"/>
    </row>
    <row r="875" spans="1:91" ht="14.25" customHeight="1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  <c r="AU875" s="50"/>
      <c r="AV875" s="50"/>
      <c r="AW875" s="50"/>
      <c r="AX875" s="50"/>
      <c r="AY875" s="50"/>
      <c r="AZ875" s="50"/>
      <c r="BA875" s="50"/>
      <c r="BB875" s="50"/>
      <c r="BC875" s="50"/>
      <c r="BD875" s="50"/>
      <c r="BE875" s="50"/>
      <c r="BF875" s="50"/>
      <c r="BG875" s="50"/>
      <c r="BH875" s="50"/>
      <c r="BI875" s="50"/>
      <c r="BJ875" s="50"/>
      <c r="BK875" s="50"/>
      <c r="BL875" s="50"/>
      <c r="BM875" s="50"/>
      <c r="BN875" s="50"/>
      <c r="BO875" s="50"/>
      <c r="BP875" s="50"/>
      <c r="BQ875" s="50"/>
      <c r="BR875" s="50"/>
      <c r="BS875" s="50"/>
      <c r="BT875" s="50"/>
      <c r="BU875" s="50"/>
      <c r="BV875" s="50"/>
      <c r="BW875" s="50"/>
      <c r="BX875" s="50"/>
      <c r="BY875" s="50"/>
      <c r="BZ875" s="50"/>
      <c r="CA875" s="50"/>
      <c r="CB875" s="50"/>
      <c r="CC875" s="50"/>
      <c r="CD875" s="50"/>
      <c r="CE875" s="50"/>
      <c r="CF875" s="50"/>
      <c r="CG875" s="50"/>
      <c r="CH875" s="50"/>
      <c r="CI875" s="50"/>
      <c r="CJ875" s="50"/>
      <c r="CK875" s="50"/>
      <c r="CL875" s="50"/>
      <c r="CM875" s="50"/>
    </row>
    <row r="876" spans="1:91" ht="14.25" customHeight="1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  <c r="AU876" s="50"/>
      <c r="AV876" s="50"/>
      <c r="AW876" s="50"/>
      <c r="AX876" s="50"/>
      <c r="AY876" s="50"/>
      <c r="AZ876" s="50"/>
      <c r="BA876" s="50"/>
      <c r="BB876" s="50"/>
      <c r="BC876" s="50"/>
      <c r="BD876" s="50"/>
      <c r="BE876" s="50"/>
      <c r="BF876" s="50"/>
      <c r="BG876" s="50"/>
      <c r="BH876" s="50"/>
      <c r="BI876" s="50"/>
      <c r="BJ876" s="50"/>
      <c r="BK876" s="50"/>
      <c r="BL876" s="50"/>
      <c r="BM876" s="50"/>
      <c r="BN876" s="50"/>
      <c r="BO876" s="50"/>
      <c r="BP876" s="50"/>
      <c r="BQ876" s="50"/>
      <c r="BR876" s="50"/>
      <c r="BS876" s="50"/>
      <c r="BT876" s="50"/>
      <c r="BU876" s="50"/>
      <c r="BV876" s="50"/>
      <c r="BW876" s="50"/>
      <c r="BX876" s="50"/>
      <c r="BY876" s="50"/>
      <c r="BZ876" s="50"/>
      <c r="CA876" s="50"/>
      <c r="CB876" s="50"/>
      <c r="CC876" s="50"/>
      <c r="CD876" s="50"/>
      <c r="CE876" s="50"/>
      <c r="CF876" s="50"/>
      <c r="CG876" s="50"/>
      <c r="CH876" s="50"/>
      <c r="CI876" s="50"/>
      <c r="CJ876" s="50"/>
      <c r="CK876" s="50"/>
      <c r="CL876" s="50"/>
      <c r="CM876" s="50"/>
    </row>
    <row r="877" spans="1:91" ht="14.25" customHeight="1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  <c r="AU877" s="50"/>
      <c r="AV877" s="50"/>
      <c r="AW877" s="50"/>
      <c r="AX877" s="50"/>
      <c r="AY877" s="50"/>
      <c r="AZ877" s="50"/>
      <c r="BA877" s="50"/>
      <c r="BB877" s="50"/>
      <c r="BC877" s="50"/>
      <c r="BD877" s="50"/>
      <c r="BE877" s="50"/>
      <c r="BF877" s="50"/>
      <c r="BG877" s="50"/>
      <c r="BH877" s="50"/>
      <c r="BI877" s="50"/>
      <c r="BJ877" s="50"/>
      <c r="BK877" s="50"/>
      <c r="BL877" s="50"/>
      <c r="BM877" s="50"/>
      <c r="BN877" s="50"/>
      <c r="BO877" s="50"/>
      <c r="BP877" s="50"/>
      <c r="BQ877" s="50"/>
      <c r="BR877" s="50"/>
      <c r="BS877" s="50"/>
      <c r="BT877" s="50"/>
      <c r="BU877" s="50"/>
      <c r="BV877" s="50"/>
      <c r="BW877" s="50"/>
      <c r="BX877" s="50"/>
      <c r="BY877" s="50"/>
      <c r="BZ877" s="50"/>
      <c r="CA877" s="50"/>
      <c r="CB877" s="50"/>
      <c r="CC877" s="50"/>
      <c r="CD877" s="50"/>
      <c r="CE877" s="50"/>
      <c r="CF877" s="50"/>
      <c r="CG877" s="50"/>
      <c r="CH877" s="50"/>
      <c r="CI877" s="50"/>
      <c r="CJ877" s="50"/>
      <c r="CK877" s="50"/>
      <c r="CL877" s="50"/>
      <c r="CM877" s="50"/>
    </row>
    <row r="878" spans="1:91" ht="14.25" customHeight="1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  <c r="AT878" s="50"/>
      <c r="AU878" s="50"/>
      <c r="AV878" s="50"/>
      <c r="AW878" s="50"/>
      <c r="AX878" s="50"/>
      <c r="AY878" s="50"/>
      <c r="AZ878" s="50"/>
      <c r="BA878" s="50"/>
      <c r="BB878" s="50"/>
      <c r="BC878" s="50"/>
      <c r="BD878" s="50"/>
      <c r="BE878" s="50"/>
      <c r="BF878" s="50"/>
      <c r="BG878" s="50"/>
      <c r="BH878" s="50"/>
      <c r="BI878" s="50"/>
      <c r="BJ878" s="50"/>
      <c r="BK878" s="50"/>
      <c r="BL878" s="50"/>
      <c r="BM878" s="50"/>
      <c r="BN878" s="50"/>
      <c r="BO878" s="50"/>
      <c r="BP878" s="50"/>
      <c r="BQ878" s="50"/>
      <c r="BR878" s="50"/>
      <c r="BS878" s="50"/>
      <c r="BT878" s="50"/>
      <c r="BU878" s="50"/>
      <c r="BV878" s="50"/>
      <c r="BW878" s="50"/>
      <c r="BX878" s="50"/>
      <c r="BY878" s="50"/>
      <c r="BZ878" s="50"/>
      <c r="CA878" s="50"/>
      <c r="CB878" s="50"/>
      <c r="CC878" s="50"/>
      <c r="CD878" s="50"/>
      <c r="CE878" s="50"/>
      <c r="CF878" s="50"/>
      <c r="CG878" s="50"/>
      <c r="CH878" s="50"/>
      <c r="CI878" s="50"/>
      <c r="CJ878" s="50"/>
      <c r="CK878" s="50"/>
      <c r="CL878" s="50"/>
      <c r="CM878" s="50"/>
    </row>
    <row r="879" spans="1:91" ht="14.25" customHeight="1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  <c r="AU879" s="50"/>
      <c r="AV879" s="50"/>
      <c r="AW879" s="50"/>
      <c r="AX879" s="50"/>
      <c r="AY879" s="50"/>
      <c r="AZ879" s="50"/>
      <c r="BA879" s="50"/>
      <c r="BB879" s="50"/>
      <c r="BC879" s="50"/>
      <c r="BD879" s="50"/>
      <c r="BE879" s="50"/>
      <c r="BF879" s="50"/>
      <c r="BG879" s="50"/>
      <c r="BH879" s="50"/>
      <c r="BI879" s="50"/>
      <c r="BJ879" s="50"/>
      <c r="BK879" s="50"/>
      <c r="BL879" s="50"/>
      <c r="BM879" s="50"/>
      <c r="BN879" s="50"/>
      <c r="BO879" s="50"/>
      <c r="BP879" s="50"/>
      <c r="BQ879" s="50"/>
      <c r="BR879" s="50"/>
      <c r="BS879" s="50"/>
      <c r="BT879" s="50"/>
      <c r="BU879" s="50"/>
      <c r="BV879" s="50"/>
      <c r="BW879" s="50"/>
      <c r="BX879" s="50"/>
      <c r="BY879" s="50"/>
      <c r="BZ879" s="50"/>
      <c r="CA879" s="50"/>
      <c r="CB879" s="50"/>
      <c r="CC879" s="50"/>
      <c r="CD879" s="50"/>
      <c r="CE879" s="50"/>
      <c r="CF879" s="50"/>
      <c r="CG879" s="50"/>
      <c r="CH879" s="50"/>
      <c r="CI879" s="50"/>
      <c r="CJ879" s="50"/>
      <c r="CK879" s="50"/>
      <c r="CL879" s="50"/>
      <c r="CM879" s="50"/>
    </row>
    <row r="880" spans="1:91" ht="14.25" customHeight="1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  <c r="AS880" s="50"/>
      <c r="AT880" s="50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  <c r="BO880" s="50"/>
      <c r="BP880" s="50"/>
      <c r="BQ880" s="50"/>
      <c r="BR880" s="50"/>
      <c r="BS880" s="50"/>
      <c r="BT880" s="50"/>
      <c r="BU880" s="50"/>
      <c r="BV880" s="50"/>
      <c r="BW880" s="50"/>
      <c r="BX880" s="50"/>
      <c r="BY880" s="50"/>
      <c r="BZ880" s="50"/>
      <c r="CA880" s="50"/>
      <c r="CB880" s="50"/>
      <c r="CC880" s="50"/>
      <c r="CD880" s="50"/>
      <c r="CE880" s="50"/>
      <c r="CF880" s="50"/>
      <c r="CG880" s="50"/>
      <c r="CH880" s="50"/>
      <c r="CI880" s="50"/>
      <c r="CJ880" s="50"/>
      <c r="CK880" s="50"/>
      <c r="CL880" s="50"/>
      <c r="CM880" s="50"/>
    </row>
    <row r="881" spans="1:91" ht="14.25" customHeight="1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  <c r="BO881" s="50"/>
      <c r="BP881" s="50"/>
      <c r="BQ881" s="50"/>
      <c r="BR881" s="50"/>
      <c r="BS881" s="50"/>
      <c r="BT881" s="50"/>
      <c r="BU881" s="50"/>
      <c r="BV881" s="50"/>
      <c r="BW881" s="50"/>
      <c r="BX881" s="50"/>
      <c r="BY881" s="50"/>
      <c r="BZ881" s="50"/>
      <c r="CA881" s="50"/>
      <c r="CB881" s="50"/>
      <c r="CC881" s="50"/>
      <c r="CD881" s="50"/>
      <c r="CE881" s="50"/>
      <c r="CF881" s="50"/>
      <c r="CG881" s="50"/>
      <c r="CH881" s="50"/>
      <c r="CI881" s="50"/>
      <c r="CJ881" s="50"/>
      <c r="CK881" s="50"/>
      <c r="CL881" s="50"/>
      <c r="CM881" s="50"/>
    </row>
    <row r="882" spans="1:91" ht="14.25" customHeight="1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  <c r="AR882" s="50"/>
      <c r="AS882" s="50"/>
      <c r="AT882" s="50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  <c r="BO882" s="50"/>
      <c r="BP882" s="50"/>
      <c r="BQ882" s="50"/>
      <c r="BR882" s="50"/>
      <c r="BS882" s="50"/>
      <c r="BT882" s="50"/>
      <c r="BU882" s="50"/>
      <c r="BV882" s="50"/>
      <c r="BW882" s="50"/>
      <c r="BX882" s="50"/>
      <c r="BY882" s="50"/>
      <c r="BZ882" s="50"/>
      <c r="CA882" s="50"/>
      <c r="CB882" s="50"/>
      <c r="CC882" s="50"/>
      <c r="CD882" s="50"/>
      <c r="CE882" s="50"/>
      <c r="CF882" s="50"/>
      <c r="CG882" s="50"/>
      <c r="CH882" s="50"/>
      <c r="CI882" s="50"/>
      <c r="CJ882" s="50"/>
      <c r="CK882" s="50"/>
      <c r="CL882" s="50"/>
      <c r="CM882" s="50"/>
    </row>
    <row r="883" spans="1:91" ht="14.25" customHeight="1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  <c r="AR883" s="50"/>
      <c r="AS883" s="50"/>
      <c r="AT883" s="50"/>
      <c r="AU883" s="50"/>
      <c r="AV883" s="50"/>
      <c r="AW883" s="50"/>
      <c r="AX883" s="50"/>
      <c r="AY883" s="50"/>
      <c r="AZ883" s="50"/>
      <c r="BA883" s="50"/>
      <c r="BB883" s="50"/>
      <c r="BC883" s="50"/>
      <c r="BD883" s="50"/>
      <c r="BE883" s="50"/>
      <c r="BF883" s="50"/>
      <c r="BG883" s="50"/>
      <c r="BH883" s="50"/>
      <c r="BI883" s="50"/>
      <c r="BJ883" s="50"/>
      <c r="BK883" s="50"/>
      <c r="BL883" s="50"/>
      <c r="BM883" s="50"/>
      <c r="BN883" s="50"/>
      <c r="BO883" s="50"/>
      <c r="BP883" s="50"/>
      <c r="BQ883" s="50"/>
      <c r="BR883" s="50"/>
      <c r="BS883" s="50"/>
      <c r="BT883" s="50"/>
      <c r="BU883" s="50"/>
      <c r="BV883" s="50"/>
      <c r="BW883" s="50"/>
      <c r="BX883" s="50"/>
      <c r="BY883" s="50"/>
      <c r="BZ883" s="50"/>
      <c r="CA883" s="50"/>
      <c r="CB883" s="50"/>
      <c r="CC883" s="50"/>
      <c r="CD883" s="50"/>
      <c r="CE883" s="50"/>
      <c r="CF883" s="50"/>
      <c r="CG883" s="50"/>
      <c r="CH883" s="50"/>
      <c r="CI883" s="50"/>
      <c r="CJ883" s="50"/>
      <c r="CK883" s="50"/>
      <c r="CL883" s="50"/>
      <c r="CM883" s="50"/>
    </row>
    <row r="884" spans="1:91" ht="14.25" customHeight="1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  <c r="AR884" s="50"/>
      <c r="AS884" s="50"/>
      <c r="AT884" s="50"/>
      <c r="AU884" s="50"/>
      <c r="AV884" s="50"/>
      <c r="AW884" s="50"/>
      <c r="AX884" s="50"/>
      <c r="AY884" s="50"/>
      <c r="AZ884" s="50"/>
      <c r="BA884" s="50"/>
      <c r="BB884" s="50"/>
      <c r="BC884" s="50"/>
      <c r="BD884" s="50"/>
      <c r="BE884" s="50"/>
      <c r="BF884" s="50"/>
      <c r="BG884" s="50"/>
      <c r="BH884" s="50"/>
      <c r="BI884" s="50"/>
      <c r="BJ884" s="50"/>
      <c r="BK884" s="50"/>
      <c r="BL884" s="50"/>
      <c r="BM884" s="50"/>
      <c r="BN884" s="50"/>
      <c r="BO884" s="50"/>
      <c r="BP884" s="50"/>
      <c r="BQ884" s="50"/>
      <c r="BR884" s="50"/>
      <c r="BS884" s="50"/>
      <c r="BT884" s="50"/>
      <c r="BU884" s="50"/>
      <c r="BV884" s="50"/>
      <c r="BW884" s="50"/>
      <c r="BX884" s="50"/>
      <c r="BY884" s="50"/>
      <c r="BZ884" s="50"/>
      <c r="CA884" s="50"/>
      <c r="CB884" s="50"/>
      <c r="CC884" s="50"/>
      <c r="CD884" s="50"/>
      <c r="CE884" s="50"/>
      <c r="CF884" s="50"/>
      <c r="CG884" s="50"/>
      <c r="CH884" s="50"/>
      <c r="CI884" s="50"/>
      <c r="CJ884" s="50"/>
      <c r="CK884" s="50"/>
      <c r="CL884" s="50"/>
      <c r="CM884" s="50"/>
    </row>
    <row r="885" spans="1:91" ht="14.25" customHeight="1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  <c r="AR885" s="50"/>
      <c r="AS885" s="50"/>
      <c r="AT885" s="50"/>
      <c r="AU885" s="50"/>
      <c r="AV885" s="50"/>
      <c r="AW885" s="50"/>
      <c r="AX885" s="50"/>
      <c r="AY885" s="50"/>
      <c r="AZ885" s="50"/>
      <c r="BA885" s="50"/>
      <c r="BB885" s="50"/>
      <c r="BC885" s="50"/>
      <c r="BD885" s="50"/>
      <c r="BE885" s="50"/>
      <c r="BF885" s="50"/>
      <c r="BG885" s="50"/>
      <c r="BH885" s="50"/>
      <c r="BI885" s="50"/>
      <c r="BJ885" s="50"/>
      <c r="BK885" s="50"/>
      <c r="BL885" s="50"/>
      <c r="BM885" s="50"/>
      <c r="BN885" s="50"/>
      <c r="BO885" s="50"/>
      <c r="BP885" s="50"/>
      <c r="BQ885" s="50"/>
      <c r="BR885" s="50"/>
      <c r="BS885" s="50"/>
      <c r="BT885" s="50"/>
      <c r="BU885" s="50"/>
      <c r="BV885" s="50"/>
      <c r="BW885" s="50"/>
      <c r="BX885" s="50"/>
      <c r="BY885" s="50"/>
      <c r="BZ885" s="50"/>
      <c r="CA885" s="50"/>
      <c r="CB885" s="50"/>
      <c r="CC885" s="50"/>
      <c r="CD885" s="50"/>
      <c r="CE885" s="50"/>
      <c r="CF885" s="50"/>
      <c r="CG885" s="50"/>
      <c r="CH885" s="50"/>
      <c r="CI885" s="50"/>
      <c r="CJ885" s="50"/>
      <c r="CK885" s="50"/>
      <c r="CL885" s="50"/>
      <c r="CM885" s="50"/>
    </row>
    <row r="886" spans="1:91" ht="14.25" customHeight="1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  <c r="AS886" s="50"/>
      <c r="AT886" s="50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  <c r="BO886" s="50"/>
      <c r="BP886" s="50"/>
      <c r="BQ886" s="50"/>
      <c r="BR886" s="50"/>
      <c r="BS886" s="50"/>
      <c r="BT886" s="50"/>
      <c r="BU886" s="50"/>
      <c r="BV886" s="50"/>
      <c r="BW886" s="50"/>
      <c r="BX886" s="50"/>
      <c r="BY886" s="50"/>
      <c r="BZ886" s="50"/>
      <c r="CA886" s="50"/>
      <c r="CB886" s="50"/>
      <c r="CC886" s="50"/>
      <c r="CD886" s="50"/>
      <c r="CE886" s="50"/>
      <c r="CF886" s="50"/>
      <c r="CG886" s="50"/>
      <c r="CH886" s="50"/>
      <c r="CI886" s="50"/>
      <c r="CJ886" s="50"/>
      <c r="CK886" s="50"/>
      <c r="CL886" s="50"/>
      <c r="CM886" s="50"/>
    </row>
    <row r="887" spans="1:91" ht="14.25" customHeight="1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  <c r="AR887" s="50"/>
      <c r="AS887" s="50"/>
      <c r="AT887" s="50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  <c r="BO887" s="50"/>
      <c r="BP887" s="50"/>
      <c r="BQ887" s="50"/>
      <c r="BR887" s="50"/>
      <c r="BS887" s="50"/>
      <c r="BT887" s="50"/>
      <c r="BU887" s="50"/>
      <c r="BV887" s="50"/>
      <c r="BW887" s="50"/>
      <c r="BX887" s="50"/>
      <c r="BY887" s="50"/>
      <c r="BZ887" s="50"/>
      <c r="CA887" s="50"/>
      <c r="CB887" s="50"/>
      <c r="CC887" s="50"/>
      <c r="CD887" s="50"/>
      <c r="CE887" s="50"/>
      <c r="CF887" s="50"/>
      <c r="CG887" s="50"/>
      <c r="CH887" s="50"/>
      <c r="CI887" s="50"/>
      <c r="CJ887" s="50"/>
      <c r="CK887" s="50"/>
      <c r="CL887" s="50"/>
      <c r="CM887" s="50"/>
    </row>
    <row r="888" spans="1:91" ht="14.25" customHeight="1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  <c r="AS888" s="50"/>
      <c r="AT888" s="50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  <c r="BO888" s="50"/>
      <c r="BP888" s="50"/>
      <c r="BQ888" s="50"/>
      <c r="BR888" s="50"/>
      <c r="BS888" s="50"/>
      <c r="BT888" s="50"/>
      <c r="BU888" s="50"/>
      <c r="BV888" s="50"/>
      <c r="BW888" s="50"/>
      <c r="BX888" s="50"/>
      <c r="BY888" s="50"/>
      <c r="BZ888" s="50"/>
      <c r="CA888" s="50"/>
      <c r="CB888" s="50"/>
      <c r="CC888" s="50"/>
      <c r="CD888" s="50"/>
      <c r="CE888" s="50"/>
      <c r="CF888" s="50"/>
      <c r="CG888" s="50"/>
      <c r="CH888" s="50"/>
      <c r="CI888" s="50"/>
      <c r="CJ888" s="50"/>
      <c r="CK888" s="50"/>
      <c r="CL888" s="50"/>
      <c r="CM888" s="50"/>
    </row>
    <row r="889" spans="1:91" ht="14.25" customHeight="1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  <c r="AR889" s="50"/>
      <c r="AS889" s="50"/>
      <c r="AT889" s="50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  <c r="BO889" s="50"/>
      <c r="BP889" s="50"/>
      <c r="BQ889" s="50"/>
      <c r="BR889" s="50"/>
      <c r="BS889" s="50"/>
      <c r="BT889" s="50"/>
      <c r="BU889" s="50"/>
      <c r="BV889" s="50"/>
      <c r="BW889" s="50"/>
      <c r="BX889" s="50"/>
      <c r="BY889" s="50"/>
      <c r="BZ889" s="50"/>
      <c r="CA889" s="50"/>
      <c r="CB889" s="50"/>
      <c r="CC889" s="50"/>
      <c r="CD889" s="50"/>
      <c r="CE889" s="50"/>
      <c r="CF889" s="50"/>
      <c r="CG889" s="50"/>
      <c r="CH889" s="50"/>
      <c r="CI889" s="50"/>
      <c r="CJ889" s="50"/>
      <c r="CK889" s="50"/>
      <c r="CL889" s="50"/>
      <c r="CM889" s="50"/>
    </row>
    <row r="890" spans="1:91" ht="14.25" customHeight="1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  <c r="AR890" s="50"/>
      <c r="AS890" s="50"/>
      <c r="AT890" s="50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  <c r="BO890" s="50"/>
      <c r="BP890" s="50"/>
      <c r="BQ890" s="50"/>
      <c r="BR890" s="50"/>
      <c r="BS890" s="50"/>
      <c r="BT890" s="50"/>
      <c r="BU890" s="50"/>
      <c r="BV890" s="50"/>
      <c r="BW890" s="50"/>
      <c r="BX890" s="50"/>
      <c r="BY890" s="50"/>
      <c r="BZ890" s="50"/>
      <c r="CA890" s="50"/>
      <c r="CB890" s="50"/>
      <c r="CC890" s="50"/>
      <c r="CD890" s="50"/>
      <c r="CE890" s="50"/>
      <c r="CF890" s="50"/>
      <c r="CG890" s="50"/>
      <c r="CH890" s="50"/>
      <c r="CI890" s="50"/>
      <c r="CJ890" s="50"/>
      <c r="CK890" s="50"/>
      <c r="CL890" s="50"/>
      <c r="CM890" s="50"/>
    </row>
    <row r="891" spans="1:91" ht="14.25" customHeight="1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  <c r="AR891" s="50"/>
      <c r="AS891" s="50"/>
      <c r="AT891" s="50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  <c r="BO891" s="50"/>
      <c r="BP891" s="50"/>
      <c r="BQ891" s="50"/>
      <c r="BR891" s="50"/>
      <c r="BS891" s="50"/>
      <c r="BT891" s="50"/>
      <c r="BU891" s="50"/>
      <c r="BV891" s="50"/>
      <c r="BW891" s="50"/>
      <c r="BX891" s="50"/>
      <c r="BY891" s="50"/>
      <c r="BZ891" s="50"/>
      <c r="CA891" s="50"/>
      <c r="CB891" s="50"/>
      <c r="CC891" s="50"/>
      <c r="CD891" s="50"/>
      <c r="CE891" s="50"/>
      <c r="CF891" s="50"/>
      <c r="CG891" s="50"/>
      <c r="CH891" s="50"/>
      <c r="CI891" s="50"/>
      <c r="CJ891" s="50"/>
      <c r="CK891" s="50"/>
      <c r="CL891" s="50"/>
      <c r="CM891" s="50"/>
    </row>
    <row r="892" spans="1:91" ht="14.25" customHeight="1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  <c r="AR892" s="50"/>
      <c r="AS892" s="50"/>
      <c r="AT892" s="50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  <c r="BO892" s="50"/>
      <c r="BP892" s="50"/>
      <c r="BQ892" s="50"/>
      <c r="BR892" s="50"/>
      <c r="BS892" s="50"/>
      <c r="BT892" s="50"/>
      <c r="BU892" s="50"/>
      <c r="BV892" s="50"/>
      <c r="BW892" s="50"/>
      <c r="BX892" s="50"/>
      <c r="BY892" s="50"/>
      <c r="BZ892" s="50"/>
      <c r="CA892" s="50"/>
      <c r="CB892" s="50"/>
      <c r="CC892" s="50"/>
      <c r="CD892" s="50"/>
      <c r="CE892" s="50"/>
      <c r="CF892" s="50"/>
      <c r="CG892" s="50"/>
      <c r="CH892" s="50"/>
      <c r="CI892" s="50"/>
      <c r="CJ892" s="50"/>
      <c r="CK892" s="50"/>
      <c r="CL892" s="50"/>
      <c r="CM892" s="50"/>
    </row>
    <row r="893" spans="1:91" ht="14.25" customHeight="1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  <c r="AR893" s="50"/>
      <c r="AS893" s="50"/>
      <c r="AT893" s="50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  <c r="BO893" s="50"/>
      <c r="BP893" s="50"/>
      <c r="BQ893" s="50"/>
      <c r="BR893" s="50"/>
      <c r="BS893" s="50"/>
      <c r="BT893" s="50"/>
      <c r="BU893" s="50"/>
      <c r="BV893" s="50"/>
      <c r="BW893" s="50"/>
      <c r="BX893" s="50"/>
      <c r="BY893" s="50"/>
      <c r="BZ893" s="50"/>
      <c r="CA893" s="50"/>
      <c r="CB893" s="50"/>
      <c r="CC893" s="50"/>
      <c r="CD893" s="50"/>
      <c r="CE893" s="50"/>
      <c r="CF893" s="50"/>
      <c r="CG893" s="50"/>
      <c r="CH893" s="50"/>
      <c r="CI893" s="50"/>
      <c r="CJ893" s="50"/>
      <c r="CK893" s="50"/>
      <c r="CL893" s="50"/>
      <c r="CM893" s="50"/>
    </row>
    <row r="894" spans="1:91" ht="14.25" customHeight="1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  <c r="AR894" s="50"/>
      <c r="AS894" s="50"/>
      <c r="AT894" s="50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  <c r="BO894" s="50"/>
      <c r="BP894" s="50"/>
      <c r="BQ894" s="50"/>
      <c r="BR894" s="50"/>
      <c r="BS894" s="50"/>
      <c r="BT894" s="50"/>
      <c r="BU894" s="50"/>
      <c r="BV894" s="50"/>
      <c r="BW894" s="50"/>
      <c r="BX894" s="50"/>
      <c r="BY894" s="50"/>
      <c r="BZ894" s="50"/>
      <c r="CA894" s="50"/>
      <c r="CB894" s="50"/>
      <c r="CC894" s="50"/>
      <c r="CD894" s="50"/>
      <c r="CE894" s="50"/>
      <c r="CF894" s="50"/>
      <c r="CG894" s="50"/>
      <c r="CH894" s="50"/>
      <c r="CI894" s="50"/>
      <c r="CJ894" s="50"/>
      <c r="CK894" s="50"/>
      <c r="CL894" s="50"/>
      <c r="CM894" s="50"/>
    </row>
    <row r="895" spans="1:91" ht="14.25" customHeight="1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  <c r="AS895" s="50"/>
      <c r="AT895" s="50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  <c r="BO895" s="50"/>
      <c r="BP895" s="50"/>
      <c r="BQ895" s="50"/>
      <c r="BR895" s="50"/>
      <c r="BS895" s="50"/>
      <c r="BT895" s="50"/>
      <c r="BU895" s="50"/>
      <c r="BV895" s="50"/>
      <c r="BW895" s="50"/>
      <c r="BX895" s="50"/>
      <c r="BY895" s="50"/>
      <c r="BZ895" s="50"/>
      <c r="CA895" s="50"/>
      <c r="CB895" s="50"/>
      <c r="CC895" s="50"/>
      <c r="CD895" s="50"/>
      <c r="CE895" s="50"/>
      <c r="CF895" s="50"/>
      <c r="CG895" s="50"/>
      <c r="CH895" s="50"/>
      <c r="CI895" s="50"/>
      <c r="CJ895" s="50"/>
      <c r="CK895" s="50"/>
      <c r="CL895" s="50"/>
      <c r="CM895" s="50"/>
    </row>
    <row r="896" spans="1:91" ht="14.25" customHeight="1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  <c r="AR896" s="50"/>
      <c r="AS896" s="50"/>
      <c r="AT896" s="50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  <c r="BO896" s="50"/>
      <c r="BP896" s="50"/>
      <c r="BQ896" s="50"/>
      <c r="BR896" s="50"/>
      <c r="BS896" s="50"/>
      <c r="BT896" s="50"/>
      <c r="BU896" s="50"/>
      <c r="BV896" s="50"/>
      <c r="BW896" s="50"/>
      <c r="BX896" s="50"/>
      <c r="BY896" s="50"/>
      <c r="BZ896" s="50"/>
      <c r="CA896" s="50"/>
      <c r="CB896" s="50"/>
      <c r="CC896" s="50"/>
      <c r="CD896" s="50"/>
      <c r="CE896" s="50"/>
      <c r="CF896" s="50"/>
      <c r="CG896" s="50"/>
      <c r="CH896" s="50"/>
      <c r="CI896" s="50"/>
      <c r="CJ896" s="50"/>
      <c r="CK896" s="50"/>
      <c r="CL896" s="50"/>
      <c r="CM896" s="50"/>
    </row>
    <row r="897" spans="1:91" ht="14.25" customHeight="1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  <c r="AS897" s="50"/>
      <c r="AT897" s="50"/>
      <c r="AU897" s="50"/>
      <c r="AV897" s="50"/>
      <c r="AW897" s="50"/>
      <c r="AX897" s="50"/>
      <c r="AY897" s="50"/>
      <c r="AZ897" s="50"/>
      <c r="BA897" s="50"/>
      <c r="BB897" s="50"/>
      <c r="BC897" s="50"/>
      <c r="BD897" s="50"/>
      <c r="BE897" s="50"/>
      <c r="BF897" s="50"/>
      <c r="BG897" s="50"/>
      <c r="BH897" s="50"/>
      <c r="BI897" s="50"/>
      <c r="BJ897" s="50"/>
      <c r="BK897" s="50"/>
      <c r="BL897" s="50"/>
      <c r="BM897" s="50"/>
      <c r="BN897" s="50"/>
      <c r="BO897" s="50"/>
      <c r="BP897" s="50"/>
      <c r="BQ897" s="50"/>
      <c r="BR897" s="50"/>
      <c r="BS897" s="50"/>
      <c r="BT897" s="50"/>
      <c r="BU897" s="50"/>
      <c r="BV897" s="50"/>
      <c r="BW897" s="50"/>
      <c r="BX897" s="50"/>
      <c r="BY897" s="50"/>
      <c r="BZ897" s="50"/>
      <c r="CA897" s="50"/>
      <c r="CB897" s="50"/>
      <c r="CC897" s="50"/>
      <c r="CD897" s="50"/>
      <c r="CE897" s="50"/>
      <c r="CF897" s="50"/>
      <c r="CG897" s="50"/>
      <c r="CH897" s="50"/>
      <c r="CI897" s="50"/>
      <c r="CJ897" s="50"/>
      <c r="CK897" s="50"/>
      <c r="CL897" s="50"/>
      <c r="CM897" s="50"/>
    </row>
    <row r="898" spans="1:91" ht="14.25" customHeight="1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  <c r="AR898" s="50"/>
      <c r="AS898" s="50"/>
      <c r="AT898" s="50"/>
      <c r="AU898" s="50"/>
      <c r="AV898" s="50"/>
      <c r="AW898" s="50"/>
      <c r="AX898" s="50"/>
      <c r="AY898" s="50"/>
      <c r="AZ898" s="50"/>
      <c r="BA898" s="50"/>
      <c r="BB898" s="50"/>
      <c r="BC898" s="50"/>
      <c r="BD898" s="50"/>
      <c r="BE898" s="50"/>
      <c r="BF898" s="50"/>
      <c r="BG898" s="50"/>
      <c r="BH898" s="50"/>
      <c r="BI898" s="50"/>
      <c r="BJ898" s="50"/>
      <c r="BK898" s="50"/>
      <c r="BL898" s="50"/>
      <c r="BM898" s="50"/>
      <c r="BN898" s="50"/>
      <c r="BO898" s="50"/>
      <c r="BP898" s="50"/>
      <c r="BQ898" s="50"/>
      <c r="BR898" s="50"/>
      <c r="BS898" s="50"/>
      <c r="BT898" s="50"/>
      <c r="BU898" s="50"/>
      <c r="BV898" s="50"/>
      <c r="BW898" s="50"/>
      <c r="BX898" s="50"/>
      <c r="BY898" s="50"/>
      <c r="BZ898" s="50"/>
      <c r="CA898" s="50"/>
      <c r="CB898" s="50"/>
      <c r="CC898" s="50"/>
      <c r="CD898" s="50"/>
      <c r="CE898" s="50"/>
      <c r="CF898" s="50"/>
      <c r="CG898" s="50"/>
      <c r="CH898" s="50"/>
      <c r="CI898" s="50"/>
      <c r="CJ898" s="50"/>
      <c r="CK898" s="50"/>
      <c r="CL898" s="50"/>
      <c r="CM898" s="50"/>
    </row>
    <row r="899" spans="1:91" ht="14.25" customHeight="1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  <c r="AS899" s="50"/>
      <c r="AT899" s="50"/>
      <c r="AU899" s="50"/>
      <c r="AV899" s="50"/>
      <c r="AW899" s="50"/>
      <c r="AX899" s="50"/>
      <c r="AY899" s="50"/>
      <c r="AZ899" s="50"/>
      <c r="BA899" s="50"/>
      <c r="BB899" s="50"/>
      <c r="BC899" s="50"/>
      <c r="BD899" s="50"/>
      <c r="BE899" s="50"/>
      <c r="BF899" s="50"/>
      <c r="BG899" s="50"/>
      <c r="BH899" s="50"/>
      <c r="BI899" s="50"/>
      <c r="BJ899" s="50"/>
      <c r="BK899" s="50"/>
      <c r="BL899" s="50"/>
      <c r="BM899" s="50"/>
      <c r="BN899" s="50"/>
      <c r="BO899" s="50"/>
      <c r="BP899" s="50"/>
      <c r="BQ899" s="50"/>
      <c r="BR899" s="50"/>
      <c r="BS899" s="50"/>
      <c r="BT899" s="50"/>
      <c r="BU899" s="50"/>
      <c r="BV899" s="50"/>
      <c r="BW899" s="50"/>
      <c r="BX899" s="50"/>
      <c r="BY899" s="50"/>
      <c r="BZ899" s="50"/>
      <c r="CA899" s="50"/>
      <c r="CB899" s="50"/>
      <c r="CC899" s="50"/>
      <c r="CD899" s="50"/>
      <c r="CE899" s="50"/>
      <c r="CF899" s="50"/>
      <c r="CG899" s="50"/>
      <c r="CH899" s="50"/>
      <c r="CI899" s="50"/>
      <c r="CJ899" s="50"/>
      <c r="CK899" s="50"/>
      <c r="CL899" s="50"/>
      <c r="CM899" s="50"/>
    </row>
    <row r="900" spans="1:91" ht="14.25" customHeight="1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  <c r="AS900" s="50"/>
      <c r="AT900" s="50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  <c r="BO900" s="50"/>
      <c r="BP900" s="50"/>
      <c r="BQ900" s="50"/>
      <c r="BR900" s="50"/>
      <c r="BS900" s="50"/>
      <c r="BT900" s="50"/>
      <c r="BU900" s="50"/>
      <c r="BV900" s="50"/>
      <c r="BW900" s="50"/>
      <c r="BX900" s="50"/>
      <c r="BY900" s="50"/>
      <c r="BZ900" s="50"/>
      <c r="CA900" s="50"/>
      <c r="CB900" s="50"/>
      <c r="CC900" s="50"/>
      <c r="CD900" s="50"/>
      <c r="CE900" s="50"/>
      <c r="CF900" s="50"/>
      <c r="CG900" s="50"/>
      <c r="CH900" s="50"/>
      <c r="CI900" s="50"/>
      <c r="CJ900" s="50"/>
      <c r="CK900" s="50"/>
      <c r="CL900" s="50"/>
      <c r="CM900" s="50"/>
    </row>
    <row r="901" spans="1:91" ht="14.25" customHeight="1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  <c r="AR901" s="50"/>
      <c r="AS901" s="50"/>
      <c r="AT901" s="50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  <c r="BO901" s="50"/>
      <c r="BP901" s="50"/>
      <c r="BQ901" s="50"/>
      <c r="BR901" s="50"/>
      <c r="BS901" s="50"/>
      <c r="BT901" s="50"/>
      <c r="BU901" s="50"/>
      <c r="BV901" s="50"/>
      <c r="BW901" s="50"/>
      <c r="BX901" s="50"/>
      <c r="BY901" s="50"/>
      <c r="BZ901" s="50"/>
      <c r="CA901" s="50"/>
      <c r="CB901" s="50"/>
      <c r="CC901" s="50"/>
      <c r="CD901" s="50"/>
      <c r="CE901" s="50"/>
      <c r="CF901" s="50"/>
      <c r="CG901" s="50"/>
      <c r="CH901" s="50"/>
      <c r="CI901" s="50"/>
      <c r="CJ901" s="50"/>
      <c r="CK901" s="50"/>
      <c r="CL901" s="50"/>
      <c r="CM901" s="50"/>
    </row>
    <row r="902" spans="1:91" ht="14.25" customHeight="1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  <c r="AR902" s="50"/>
      <c r="AS902" s="50"/>
      <c r="AT902" s="50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  <c r="BO902" s="50"/>
      <c r="BP902" s="50"/>
      <c r="BQ902" s="50"/>
      <c r="BR902" s="50"/>
      <c r="BS902" s="50"/>
      <c r="BT902" s="50"/>
      <c r="BU902" s="50"/>
      <c r="BV902" s="50"/>
      <c r="BW902" s="50"/>
      <c r="BX902" s="50"/>
      <c r="BY902" s="50"/>
      <c r="BZ902" s="50"/>
      <c r="CA902" s="50"/>
      <c r="CB902" s="50"/>
      <c r="CC902" s="50"/>
      <c r="CD902" s="50"/>
      <c r="CE902" s="50"/>
      <c r="CF902" s="50"/>
      <c r="CG902" s="50"/>
      <c r="CH902" s="50"/>
      <c r="CI902" s="50"/>
      <c r="CJ902" s="50"/>
      <c r="CK902" s="50"/>
      <c r="CL902" s="50"/>
      <c r="CM902" s="50"/>
    </row>
    <row r="903" spans="1:91" ht="14.25" customHeight="1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  <c r="AR903" s="50"/>
      <c r="AS903" s="50"/>
      <c r="AT903" s="50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  <c r="BO903" s="50"/>
      <c r="BP903" s="50"/>
      <c r="BQ903" s="50"/>
      <c r="BR903" s="50"/>
      <c r="BS903" s="50"/>
      <c r="BT903" s="50"/>
      <c r="BU903" s="50"/>
      <c r="BV903" s="50"/>
      <c r="BW903" s="50"/>
      <c r="BX903" s="50"/>
      <c r="BY903" s="50"/>
      <c r="BZ903" s="50"/>
      <c r="CA903" s="50"/>
      <c r="CB903" s="50"/>
      <c r="CC903" s="50"/>
      <c r="CD903" s="50"/>
      <c r="CE903" s="50"/>
      <c r="CF903" s="50"/>
      <c r="CG903" s="50"/>
      <c r="CH903" s="50"/>
      <c r="CI903" s="50"/>
      <c r="CJ903" s="50"/>
      <c r="CK903" s="50"/>
      <c r="CL903" s="50"/>
      <c r="CM903" s="50"/>
    </row>
    <row r="904" spans="1:91" ht="14.25" customHeight="1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  <c r="AS904" s="50"/>
      <c r="AT904" s="50"/>
      <c r="AU904" s="50"/>
      <c r="AV904" s="50"/>
      <c r="AW904" s="50"/>
      <c r="AX904" s="50"/>
      <c r="AY904" s="50"/>
      <c r="AZ904" s="50"/>
      <c r="BA904" s="50"/>
      <c r="BB904" s="50"/>
      <c r="BC904" s="50"/>
      <c r="BD904" s="50"/>
      <c r="BE904" s="50"/>
      <c r="BF904" s="50"/>
      <c r="BG904" s="50"/>
      <c r="BH904" s="50"/>
      <c r="BI904" s="50"/>
      <c r="BJ904" s="50"/>
      <c r="BK904" s="50"/>
      <c r="BL904" s="50"/>
      <c r="BM904" s="50"/>
      <c r="BN904" s="50"/>
      <c r="BO904" s="50"/>
      <c r="BP904" s="50"/>
      <c r="BQ904" s="50"/>
      <c r="BR904" s="50"/>
      <c r="BS904" s="50"/>
      <c r="BT904" s="50"/>
      <c r="BU904" s="50"/>
      <c r="BV904" s="50"/>
      <c r="BW904" s="50"/>
      <c r="BX904" s="50"/>
      <c r="BY904" s="50"/>
      <c r="BZ904" s="50"/>
      <c r="CA904" s="50"/>
      <c r="CB904" s="50"/>
      <c r="CC904" s="50"/>
      <c r="CD904" s="50"/>
      <c r="CE904" s="50"/>
      <c r="CF904" s="50"/>
      <c r="CG904" s="50"/>
      <c r="CH904" s="50"/>
      <c r="CI904" s="50"/>
      <c r="CJ904" s="50"/>
      <c r="CK904" s="50"/>
      <c r="CL904" s="50"/>
      <c r="CM904" s="50"/>
    </row>
    <row r="905" spans="1:91" ht="14.25" customHeight="1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  <c r="AR905" s="50"/>
      <c r="AS905" s="50"/>
      <c r="AT905" s="50"/>
      <c r="AU905" s="50"/>
      <c r="AV905" s="50"/>
      <c r="AW905" s="50"/>
      <c r="AX905" s="50"/>
      <c r="AY905" s="50"/>
      <c r="AZ905" s="50"/>
      <c r="BA905" s="50"/>
      <c r="BB905" s="50"/>
      <c r="BC905" s="50"/>
      <c r="BD905" s="50"/>
      <c r="BE905" s="50"/>
      <c r="BF905" s="50"/>
      <c r="BG905" s="50"/>
      <c r="BH905" s="50"/>
      <c r="BI905" s="50"/>
      <c r="BJ905" s="50"/>
      <c r="BK905" s="50"/>
      <c r="BL905" s="50"/>
      <c r="BM905" s="50"/>
      <c r="BN905" s="50"/>
      <c r="BO905" s="50"/>
      <c r="BP905" s="50"/>
      <c r="BQ905" s="50"/>
      <c r="BR905" s="50"/>
      <c r="BS905" s="50"/>
      <c r="BT905" s="50"/>
      <c r="BU905" s="50"/>
      <c r="BV905" s="50"/>
      <c r="BW905" s="50"/>
      <c r="BX905" s="50"/>
      <c r="BY905" s="50"/>
      <c r="BZ905" s="50"/>
      <c r="CA905" s="50"/>
      <c r="CB905" s="50"/>
      <c r="CC905" s="50"/>
      <c r="CD905" s="50"/>
      <c r="CE905" s="50"/>
      <c r="CF905" s="50"/>
      <c r="CG905" s="50"/>
      <c r="CH905" s="50"/>
      <c r="CI905" s="50"/>
      <c r="CJ905" s="50"/>
      <c r="CK905" s="50"/>
      <c r="CL905" s="50"/>
      <c r="CM905" s="50"/>
    </row>
    <row r="906" spans="1:91" ht="14.25" customHeight="1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  <c r="AR906" s="50"/>
      <c r="AS906" s="50"/>
      <c r="AT906" s="50"/>
      <c r="AU906" s="50"/>
      <c r="AV906" s="50"/>
      <c r="AW906" s="50"/>
      <c r="AX906" s="50"/>
      <c r="AY906" s="50"/>
      <c r="AZ906" s="50"/>
      <c r="BA906" s="50"/>
      <c r="BB906" s="50"/>
      <c r="BC906" s="50"/>
      <c r="BD906" s="50"/>
      <c r="BE906" s="50"/>
      <c r="BF906" s="50"/>
      <c r="BG906" s="50"/>
      <c r="BH906" s="50"/>
      <c r="BI906" s="50"/>
      <c r="BJ906" s="50"/>
      <c r="BK906" s="50"/>
      <c r="BL906" s="50"/>
      <c r="BM906" s="50"/>
      <c r="BN906" s="50"/>
      <c r="BO906" s="50"/>
      <c r="BP906" s="50"/>
      <c r="BQ906" s="50"/>
      <c r="BR906" s="50"/>
      <c r="BS906" s="50"/>
      <c r="BT906" s="50"/>
      <c r="BU906" s="50"/>
      <c r="BV906" s="50"/>
      <c r="BW906" s="50"/>
      <c r="BX906" s="50"/>
      <c r="BY906" s="50"/>
      <c r="BZ906" s="50"/>
      <c r="CA906" s="50"/>
      <c r="CB906" s="50"/>
      <c r="CC906" s="50"/>
      <c r="CD906" s="50"/>
      <c r="CE906" s="50"/>
      <c r="CF906" s="50"/>
      <c r="CG906" s="50"/>
      <c r="CH906" s="50"/>
      <c r="CI906" s="50"/>
      <c r="CJ906" s="50"/>
      <c r="CK906" s="50"/>
      <c r="CL906" s="50"/>
      <c r="CM906" s="50"/>
    </row>
    <row r="907" spans="1:91" ht="14.25" customHeight="1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  <c r="AR907" s="50"/>
      <c r="AS907" s="50"/>
      <c r="AT907" s="50"/>
      <c r="AU907" s="50"/>
      <c r="AV907" s="50"/>
      <c r="AW907" s="50"/>
      <c r="AX907" s="50"/>
      <c r="AY907" s="50"/>
      <c r="AZ907" s="50"/>
      <c r="BA907" s="50"/>
      <c r="BB907" s="50"/>
      <c r="BC907" s="50"/>
      <c r="BD907" s="50"/>
      <c r="BE907" s="50"/>
      <c r="BF907" s="50"/>
      <c r="BG907" s="50"/>
      <c r="BH907" s="50"/>
      <c r="BI907" s="50"/>
      <c r="BJ907" s="50"/>
      <c r="BK907" s="50"/>
      <c r="BL907" s="50"/>
      <c r="BM907" s="50"/>
      <c r="BN907" s="50"/>
      <c r="BO907" s="50"/>
      <c r="BP907" s="50"/>
      <c r="BQ907" s="50"/>
      <c r="BR907" s="50"/>
      <c r="BS907" s="50"/>
      <c r="BT907" s="50"/>
      <c r="BU907" s="50"/>
      <c r="BV907" s="50"/>
      <c r="BW907" s="50"/>
      <c r="BX907" s="50"/>
      <c r="BY907" s="50"/>
      <c r="BZ907" s="50"/>
      <c r="CA907" s="50"/>
      <c r="CB907" s="50"/>
      <c r="CC907" s="50"/>
      <c r="CD907" s="50"/>
      <c r="CE907" s="50"/>
      <c r="CF907" s="50"/>
      <c r="CG907" s="50"/>
      <c r="CH907" s="50"/>
      <c r="CI907" s="50"/>
      <c r="CJ907" s="50"/>
      <c r="CK907" s="50"/>
      <c r="CL907" s="50"/>
      <c r="CM907" s="50"/>
    </row>
    <row r="908" spans="1:91" ht="14.25" customHeight="1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  <c r="AR908" s="50"/>
      <c r="AS908" s="50"/>
      <c r="AT908" s="50"/>
      <c r="AU908" s="50"/>
      <c r="AV908" s="50"/>
      <c r="AW908" s="50"/>
      <c r="AX908" s="50"/>
      <c r="AY908" s="50"/>
      <c r="AZ908" s="50"/>
      <c r="BA908" s="50"/>
      <c r="BB908" s="50"/>
      <c r="BC908" s="50"/>
      <c r="BD908" s="50"/>
      <c r="BE908" s="50"/>
      <c r="BF908" s="50"/>
      <c r="BG908" s="50"/>
      <c r="BH908" s="50"/>
      <c r="BI908" s="50"/>
      <c r="BJ908" s="50"/>
      <c r="BK908" s="50"/>
      <c r="BL908" s="50"/>
      <c r="BM908" s="50"/>
      <c r="BN908" s="50"/>
      <c r="BO908" s="50"/>
      <c r="BP908" s="50"/>
      <c r="BQ908" s="50"/>
      <c r="BR908" s="50"/>
      <c r="BS908" s="50"/>
      <c r="BT908" s="50"/>
      <c r="BU908" s="50"/>
      <c r="BV908" s="50"/>
      <c r="BW908" s="50"/>
      <c r="BX908" s="50"/>
      <c r="BY908" s="50"/>
      <c r="BZ908" s="50"/>
      <c r="CA908" s="50"/>
      <c r="CB908" s="50"/>
      <c r="CC908" s="50"/>
      <c r="CD908" s="50"/>
      <c r="CE908" s="50"/>
      <c r="CF908" s="50"/>
      <c r="CG908" s="50"/>
      <c r="CH908" s="50"/>
      <c r="CI908" s="50"/>
      <c r="CJ908" s="50"/>
      <c r="CK908" s="50"/>
      <c r="CL908" s="50"/>
      <c r="CM908" s="50"/>
    </row>
    <row r="909" spans="1:91" ht="14.25" customHeight="1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  <c r="AR909" s="50"/>
      <c r="AS909" s="50"/>
      <c r="AT909" s="50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  <c r="BO909" s="50"/>
      <c r="BP909" s="50"/>
      <c r="BQ909" s="50"/>
      <c r="BR909" s="50"/>
      <c r="BS909" s="50"/>
      <c r="BT909" s="50"/>
      <c r="BU909" s="50"/>
      <c r="BV909" s="50"/>
      <c r="BW909" s="50"/>
      <c r="BX909" s="50"/>
      <c r="BY909" s="50"/>
      <c r="BZ909" s="50"/>
      <c r="CA909" s="50"/>
      <c r="CB909" s="50"/>
      <c r="CC909" s="50"/>
      <c r="CD909" s="50"/>
      <c r="CE909" s="50"/>
      <c r="CF909" s="50"/>
      <c r="CG909" s="50"/>
      <c r="CH909" s="50"/>
      <c r="CI909" s="50"/>
      <c r="CJ909" s="50"/>
      <c r="CK909" s="50"/>
      <c r="CL909" s="50"/>
      <c r="CM909" s="50"/>
    </row>
    <row r="910" spans="1:91" ht="14.25" customHeight="1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  <c r="AR910" s="50"/>
      <c r="AS910" s="50"/>
      <c r="AT910" s="50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  <c r="BO910" s="50"/>
      <c r="BP910" s="50"/>
      <c r="BQ910" s="50"/>
      <c r="BR910" s="50"/>
      <c r="BS910" s="50"/>
      <c r="BT910" s="50"/>
      <c r="BU910" s="50"/>
      <c r="BV910" s="50"/>
      <c r="BW910" s="50"/>
      <c r="BX910" s="50"/>
      <c r="BY910" s="50"/>
      <c r="BZ910" s="50"/>
      <c r="CA910" s="50"/>
      <c r="CB910" s="50"/>
      <c r="CC910" s="50"/>
      <c r="CD910" s="50"/>
      <c r="CE910" s="50"/>
      <c r="CF910" s="50"/>
      <c r="CG910" s="50"/>
      <c r="CH910" s="50"/>
      <c r="CI910" s="50"/>
      <c r="CJ910" s="50"/>
      <c r="CK910" s="50"/>
      <c r="CL910" s="50"/>
      <c r="CM910" s="50"/>
    </row>
    <row r="911" spans="1:91" ht="14.25" customHeight="1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  <c r="AR911" s="50"/>
      <c r="AS911" s="50"/>
      <c r="AT911" s="50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  <c r="BO911" s="50"/>
      <c r="BP911" s="50"/>
      <c r="BQ911" s="50"/>
      <c r="BR911" s="50"/>
      <c r="BS911" s="50"/>
      <c r="BT911" s="50"/>
      <c r="BU911" s="50"/>
      <c r="BV911" s="50"/>
      <c r="BW911" s="50"/>
      <c r="BX911" s="50"/>
      <c r="BY911" s="50"/>
      <c r="BZ911" s="50"/>
      <c r="CA911" s="50"/>
      <c r="CB911" s="50"/>
      <c r="CC911" s="50"/>
      <c r="CD911" s="50"/>
      <c r="CE911" s="50"/>
      <c r="CF911" s="50"/>
      <c r="CG911" s="50"/>
      <c r="CH911" s="50"/>
      <c r="CI911" s="50"/>
      <c r="CJ911" s="50"/>
      <c r="CK911" s="50"/>
      <c r="CL911" s="50"/>
      <c r="CM911" s="50"/>
    </row>
    <row r="912" spans="1:91" ht="14.25" customHeight="1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  <c r="AS912" s="50"/>
      <c r="AT912" s="50"/>
      <c r="AU912" s="50"/>
      <c r="AV912" s="50"/>
      <c r="AW912" s="50"/>
      <c r="AX912" s="50"/>
      <c r="AY912" s="50"/>
      <c r="AZ912" s="50"/>
      <c r="BA912" s="50"/>
      <c r="BB912" s="50"/>
      <c r="BC912" s="50"/>
      <c r="BD912" s="50"/>
      <c r="BE912" s="50"/>
      <c r="BF912" s="50"/>
      <c r="BG912" s="50"/>
      <c r="BH912" s="50"/>
      <c r="BI912" s="50"/>
      <c r="BJ912" s="50"/>
      <c r="BK912" s="50"/>
      <c r="BL912" s="50"/>
      <c r="BM912" s="50"/>
      <c r="BN912" s="50"/>
      <c r="BO912" s="50"/>
      <c r="BP912" s="50"/>
      <c r="BQ912" s="50"/>
      <c r="BR912" s="50"/>
      <c r="BS912" s="50"/>
      <c r="BT912" s="50"/>
      <c r="BU912" s="50"/>
      <c r="BV912" s="50"/>
      <c r="BW912" s="50"/>
      <c r="BX912" s="50"/>
      <c r="BY912" s="50"/>
      <c r="BZ912" s="50"/>
      <c r="CA912" s="50"/>
      <c r="CB912" s="50"/>
      <c r="CC912" s="50"/>
      <c r="CD912" s="50"/>
      <c r="CE912" s="50"/>
      <c r="CF912" s="50"/>
      <c r="CG912" s="50"/>
      <c r="CH912" s="50"/>
      <c r="CI912" s="50"/>
      <c r="CJ912" s="50"/>
      <c r="CK912" s="50"/>
      <c r="CL912" s="50"/>
      <c r="CM912" s="50"/>
    </row>
    <row r="913" spans="1:91" ht="14.25" customHeight="1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  <c r="AS913" s="50"/>
      <c r="AT913" s="50"/>
      <c r="AU913" s="50"/>
      <c r="AV913" s="50"/>
      <c r="AW913" s="50"/>
      <c r="AX913" s="50"/>
      <c r="AY913" s="50"/>
      <c r="AZ913" s="50"/>
      <c r="BA913" s="50"/>
      <c r="BB913" s="50"/>
      <c r="BC913" s="50"/>
      <c r="BD913" s="50"/>
      <c r="BE913" s="50"/>
      <c r="BF913" s="50"/>
      <c r="BG913" s="50"/>
      <c r="BH913" s="50"/>
      <c r="BI913" s="50"/>
      <c r="BJ913" s="50"/>
      <c r="BK913" s="50"/>
      <c r="BL913" s="50"/>
      <c r="BM913" s="50"/>
      <c r="BN913" s="50"/>
      <c r="BO913" s="50"/>
      <c r="BP913" s="50"/>
      <c r="BQ913" s="50"/>
      <c r="BR913" s="50"/>
      <c r="BS913" s="50"/>
      <c r="BT913" s="50"/>
      <c r="BU913" s="50"/>
      <c r="BV913" s="50"/>
      <c r="BW913" s="50"/>
      <c r="BX913" s="50"/>
      <c r="BY913" s="50"/>
      <c r="BZ913" s="50"/>
      <c r="CA913" s="50"/>
      <c r="CB913" s="50"/>
      <c r="CC913" s="50"/>
      <c r="CD913" s="50"/>
      <c r="CE913" s="50"/>
      <c r="CF913" s="50"/>
      <c r="CG913" s="50"/>
      <c r="CH913" s="50"/>
      <c r="CI913" s="50"/>
      <c r="CJ913" s="50"/>
      <c r="CK913" s="50"/>
      <c r="CL913" s="50"/>
      <c r="CM913" s="50"/>
    </row>
    <row r="914" spans="1:91" ht="14.25" customHeight="1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  <c r="AR914" s="50"/>
      <c r="AS914" s="50"/>
      <c r="AT914" s="50"/>
      <c r="AU914" s="50"/>
      <c r="AV914" s="50"/>
      <c r="AW914" s="50"/>
      <c r="AX914" s="50"/>
      <c r="AY914" s="50"/>
      <c r="AZ914" s="50"/>
      <c r="BA914" s="50"/>
      <c r="BB914" s="50"/>
      <c r="BC914" s="50"/>
      <c r="BD914" s="50"/>
      <c r="BE914" s="50"/>
      <c r="BF914" s="50"/>
      <c r="BG914" s="50"/>
      <c r="BH914" s="50"/>
      <c r="BI914" s="50"/>
      <c r="BJ914" s="50"/>
      <c r="BK914" s="50"/>
      <c r="BL914" s="50"/>
      <c r="BM914" s="50"/>
      <c r="BN914" s="50"/>
      <c r="BO914" s="50"/>
      <c r="BP914" s="50"/>
      <c r="BQ914" s="50"/>
      <c r="BR914" s="50"/>
      <c r="BS914" s="50"/>
      <c r="BT914" s="50"/>
      <c r="BU914" s="50"/>
      <c r="BV914" s="50"/>
      <c r="BW914" s="50"/>
      <c r="BX914" s="50"/>
      <c r="BY914" s="50"/>
      <c r="BZ914" s="50"/>
      <c r="CA914" s="50"/>
      <c r="CB914" s="50"/>
      <c r="CC914" s="50"/>
      <c r="CD914" s="50"/>
      <c r="CE914" s="50"/>
      <c r="CF914" s="50"/>
      <c r="CG914" s="50"/>
      <c r="CH914" s="50"/>
      <c r="CI914" s="50"/>
      <c r="CJ914" s="50"/>
      <c r="CK914" s="50"/>
      <c r="CL914" s="50"/>
      <c r="CM914" s="50"/>
    </row>
    <row r="915" spans="1:91" ht="14.25" customHeight="1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  <c r="AR915" s="50"/>
      <c r="AS915" s="50"/>
      <c r="AT915" s="50"/>
      <c r="AU915" s="50"/>
      <c r="AV915" s="50"/>
      <c r="AW915" s="50"/>
      <c r="AX915" s="50"/>
      <c r="AY915" s="50"/>
      <c r="AZ915" s="50"/>
      <c r="BA915" s="50"/>
      <c r="BB915" s="50"/>
      <c r="BC915" s="50"/>
      <c r="BD915" s="50"/>
      <c r="BE915" s="50"/>
      <c r="BF915" s="50"/>
      <c r="BG915" s="50"/>
      <c r="BH915" s="50"/>
      <c r="BI915" s="50"/>
      <c r="BJ915" s="50"/>
      <c r="BK915" s="50"/>
      <c r="BL915" s="50"/>
      <c r="BM915" s="50"/>
      <c r="BN915" s="50"/>
      <c r="BO915" s="50"/>
      <c r="BP915" s="50"/>
      <c r="BQ915" s="50"/>
      <c r="BR915" s="50"/>
      <c r="BS915" s="50"/>
      <c r="BT915" s="50"/>
      <c r="BU915" s="50"/>
      <c r="BV915" s="50"/>
      <c r="BW915" s="50"/>
      <c r="BX915" s="50"/>
      <c r="BY915" s="50"/>
      <c r="BZ915" s="50"/>
      <c r="CA915" s="50"/>
      <c r="CB915" s="50"/>
      <c r="CC915" s="50"/>
      <c r="CD915" s="50"/>
      <c r="CE915" s="50"/>
      <c r="CF915" s="50"/>
      <c r="CG915" s="50"/>
      <c r="CH915" s="50"/>
      <c r="CI915" s="50"/>
      <c r="CJ915" s="50"/>
      <c r="CK915" s="50"/>
      <c r="CL915" s="50"/>
      <c r="CM915" s="50"/>
    </row>
    <row r="916" spans="1:91" ht="14.25" customHeight="1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  <c r="AR916" s="50"/>
      <c r="AS916" s="50"/>
      <c r="AT916" s="50"/>
      <c r="AU916" s="50"/>
      <c r="AV916" s="50"/>
      <c r="AW916" s="50"/>
      <c r="AX916" s="50"/>
      <c r="AY916" s="50"/>
      <c r="AZ916" s="50"/>
      <c r="BA916" s="50"/>
      <c r="BB916" s="50"/>
      <c r="BC916" s="50"/>
      <c r="BD916" s="50"/>
      <c r="BE916" s="50"/>
      <c r="BF916" s="50"/>
      <c r="BG916" s="50"/>
      <c r="BH916" s="50"/>
      <c r="BI916" s="50"/>
      <c r="BJ916" s="50"/>
      <c r="BK916" s="50"/>
      <c r="BL916" s="50"/>
      <c r="BM916" s="50"/>
      <c r="BN916" s="50"/>
      <c r="BO916" s="50"/>
      <c r="BP916" s="50"/>
      <c r="BQ916" s="50"/>
      <c r="BR916" s="50"/>
      <c r="BS916" s="50"/>
      <c r="BT916" s="50"/>
      <c r="BU916" s="50"/>
      <c r="BV916" s="50"/>
      <c r="BW916" s="50"/>
      <c r="BX916" s="50"/>
      <c r="BY916" s="50"/>
      <c r="BZ916" s="50"/>
      <c r="CA916" s="50"/>
      <c r="CB916" s="50"/>
      <c r="CC916" s="50"/>
      <c r="CD916" s="50"/>
      <c r="CE916" s="50"/>
      <c r="CF916" s="50"/>
      <c r="CG916" s="50"/>
      <c r="CH916" s="50"/>
      <c r="CI916" s="50"/>
      <c r="CJ916" s="50"/>
      <c r="CK916" s="50"/>
      <c r="CL916" s="50"/>
      <c r="CM916" s="50"/>
    </row>
    <row r="917" spans="1:91" ht="14.25" customHeight="1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  <c r="AR917" s="50"/>
      <c r="AS917" s="50"/>
      <c r="AT917" s="50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  <c r="BO917" s="50"/>
      <c r="BP917" s="50"/>
      <c r="BQ917" s="50"/>
      <c r="BR917" s="50"/>
      <c r="BS917" s="50"/>
      <c r="BT917" s="50"/>
      <c r="BU917" s="50"/>
      <c r="BV917" s="50"/>
      <c r="BW917" s="50"/>
      <c r="BX917" s="50"/>
      <c r="BY917" s="50"/>
      <c r="BZ917" s="50"/>
      <c r="CA917" s="50"/>
      <c r="CB917" s="50"/>
      <c r="CC917" s="50"/>
      <c r="CD917" s="50"/>
      <c r="CE917" s="50"/>
      <c r="CF917" s="50"/>
      <c r="CG917" s="50"/>
      <c r="CH917" s="50"/>
      <c r="CI917" s="50"/>
      <c r="CJ917" s="50"/>
      <c r="CK917" s="50"/>
      <c r="CL917" s="50"/>
      <c r="CM917" s="50"/>
    </row>
    <row r="918" spans="1:91" ht="14.25" customHeight="1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  <c r="AR918" s="50"/>
      <c r="AS918" s="50"/>
      <c r="AT918" s="50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  <c r="BO918" s="50"/>
      <c r="BP918" s="50"/>
      <c r="BQ918" s="50"/>
      <c r="BR918" s="50"/>
      <c r="BS918" s="50"/>
      <c r="BT918" s="50"/>
      <c r="BU918" s="50"/>
      <c r="BV918" s="50"/>
      <c r="BW918" s="50"/>
      <c r="BX918" s="50"/>
      <c r="BY918" s="50"/>
      <c r="BZ918" s="50"/>
      <c r="CA918" s="50"/>
      <c r="CB918" s="50"/>
      <c r="CC918" s="50"/>
      <c r="CD918" s="50"/>
      <c r="CE918" s="50"/>
      <c r="CF918" s="50"/>
      <c r="CG918" s="50"/>
      <c r="CH918" s="50"/>
      <c r="CI918" s="50"/>
      <c r="CJ918" s="50"/>
      <c r="CK918" s="50"/>
      <c r="CL918" s="50"/>
      <c r="CM918" s="50"/>
    </row>
    <row r="919" spans="1:91" ht="14.25" customHeight="1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  <c r="AR919" s="50"/>
      <c r="AS919" s="50"/>
      <c r="AT919" s="50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  <c r="BO919" s="50"/>
      <c r="BP919" s="50"/>
      <c r="BQ919" s="50"/>
      <c r="BR919" s="50"/>
      <c r="BS919" s="50"/>
      <c r="BT919" s="50"/>
      <c r="BU919" s="50"/>
      <c r="BV919" s="50"/>
      <c r="BW919" s="50"/>
      <c r="BX919" s="50"/>
      <c r="BY919" s="50"/>
      <c r="BZ919" s="50"/>
      <c r="CA919" s="50"/>
      <c r="CB919" s="50"/>
      <c r="CC919" s="50"/>
      <c r="CD919" s="50"/>
      <c r="CE919" s="50"/>
      <c r="CF919" s="50"/>
      <c r="CG919" s="50"/>
      <c r="CH919" s="50"/>
      <c r="CI919" s="50"/>
      <c r="CJ919" s="50"/>
      <c r="CK919" s="50"/>
      <c r="CL919" s="50"/>
      <c r="CM919" s="50"/>
    </row>
    <row r="920" spans="1:91" ht="14.25" customHeight="1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  <c r="AR920" s="50"/>
      <c r="AS920" s="50"/>
      <c r="AT920" s="50"/>
      <c r="AU920" s="50"/>
      <c r="AV920" s="50"/>
      <c r="AW920" s="50"/>
      <c r="AX920" s="50"/>
      <c r="AY920" s="50"/>
      <c r="AZ920" s="50"/>
      <c r="BA920" s="50"/>
      <c r="BB920" s="50"/>
      <c r="BC920" s="50"/>
      <c r="BD920" s="50"/>
      <c r="BE920" s="50"/>
      <c r="BF920" s="50"/>
      <c r="BG920" s="50"/>
      <c r="BH920" s="50"/>
      <c r="BI920" s="50"/>
      <c r="BJ920" s="50"/>
      <c r="BK920" s="50"/>
      <c r="BL920" s="50"/>
      <c r="BM920" s="50"/>
      <c r="BN920" s="50"/>
      <c r="BO920" s="50"/>
      <c r="BP920" s="50"/>
      <c r="BQ920" s="50"/>
      <c r="BR920" s="50"/>
      <c r="BS920" s="50"/>
      <c r="BT920" s="50"/>
      <c r="BU920" s="50"/>
      <c r="BV920" s="50"/>
      <c r="BW920" s="50"/>
      <c r="BX920" s="50"/>
      <c r="BY920" s="50"/>
      <c r="BZ920" s="50"/>
      <c r="CA920" s="50"/>
      <c r="CB920" s="50"/>
      <c r="CC920" s="50"/>
      <c r="CD920" s="50"/>
      <c r="CE920" s="50"/>
      <c r="CF920" s="50"/>
      <c r="CG920" s="50"/>
      <c r="CH920" s="50"/>
      <c r="CI920" s="50"/>
      <c r="CJ920" s="50"/>
      <c r="CK920" s="50"/>
      <c r="CL920" s="50"/>
      <c r="CM920" s="50"/>
    </row>
    <row r="921" spans="1:91" ht="14.25" customHeight="1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  <c r="AS921" s="50"/>
      <c r="AT921" s="50"/>
      <c r="AU921" s="50"/>
      <c r="AV921" s="50"/>
      <c r="AW921" s="50"/>
      <c r="AX921" s="50"/>
      <c r="AY921" s="50"/>
      <c r="AZ921" s="50"/>
      <c r="BA921" s="50"/>
      <c r="BB921" s="50"/>
      <c r="BC921" s="50"/>
      <c r="BD921" s="50"/>
      <c r="BE921" s="50"/>
      <c r="BF921" s="50"/>
      <c r="BG921" s="50"/>
      <c r="BH921" s="50"/>
      <c r="BI921" s="50"/>
      <c r="BJ921" s="50"/>
      <c r="BK921" s="50"/>
      <c r="BL921" s="50"/>
      <c r="BM921" s="50"/>
      <c r="BN921" s="50"/>
      <c r="BO921" s="50"/>
      <c r="BP921" s="50"/>
      <c r="BQ921" s="50"/>
      <c r="BR921" s="50"/>
      <c r="BS921" s="50"/>
      <c r="BT921" s="50"/>
      <c r="BU921" s="50"/>
      <c r="BV921" s="50"/>
      <c r="BW921" s="50"/>
      <c r="BX921" s="50"/>
      <c r="BY921" s="50"/>
      <c r="BZ921" s="50"/>
      <c r="CA921" s="50"/>
      <c r="CB921" s="50"/>
      <c r="CC921" s="50"/>
      <c r="CD921" s="50"/>
      <c r="CE921" s="50"/>
      <c r="CF921" s="50"/>
      <c r="CG921" s="50"/>
      <c r="CH921" s="50"/>
      <c r="CI921" s="50"/>
      <c r="CJ921" s="50"/>
      <c r="CK921" s="50"/>
      <c r="CL921" s="50"/>
      <c r="CM921" s="50"/>
    </row>
    <row r="922" spans="1:91" ht="14.25" customHeight="1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  <c r="AR922" s="50"/>
      <c r="AS922" s="50"/>
      <c r="AT922" s="50"/>
      <c r="AU922" s="50"/>
      <c r="AV922" s="50"/>
      <c r="AW922" s="50"/>
      <c r="AX922" s="50"/>
      <c r="AY922" s="50"/>
      <c r="AZ922" s="50"/>
      <c r="BA922" s="50"/>
      <c r="BB922" s="50"/>
      <c r="BC922" s="50"/>
      <c r="BD922" s="50"/>
      <c r="BE922" s="50"/>
      <c r="BF922" s="50"/>
      <c r="BG922" s="50"/>
      <c r="BH922" s="50"/>
      <c r="BI922" s="50"/>
      <c r="BJ922" s="50"/>
      <c r="BK922" s="50"/>
      <c r="BL922" s="50"/>
      <c r="BM922" s="50"/>
      <c r="BN922" s="50"/>
      <c r="BO922" s="50"/>
      <c r="BP922" s="50"/>
      <c r="BQ922" s="50"/>
      <c r="BR922" s="50"/>
      <c r="BS922" s="50"/>
      <c r="BT922" s="50"/>
      <c r="BU922" s="50"/>
      <c r="BV922" s="50"/>
      <c r="BW922" s="50"/>
      <c r="BX922" s="50"/>
      <c r="BY922" s="50"/>
      <c r="BZ922" s="50"/>
      <c r="CA922" s="50"/>
      <c r="CB922" s="50"/>
      <c r="CC922" s="50"/>
      <c r="CD922" s="50"/>
      <c r="CE922" s="50"/>
      <c r="CF922" s="50"/>
      <c r="CG922" s="50"/>
      <c r="CH922" s="50"/>
      <c r="CI922" s="50"/>
      <c r="CJ922" s="50"/>
      <c r="CK922" s="50"/>
      <c r="CL922" s="50"/>
      <c r="CM922" s="50"/>
    </row>
    <row r="923" spans="1:91" ht="14.25" customHeight="1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  <c r="AR923" s="50"/>
      <c r="AS923" s="50"/>
      <c r="AT923" s="50"/>
      <c r="AU923" s="50"/>
      <c r="AV923" s="50"/>
      <c r="AW923" s="50"/>
      <c r="AX923" s="50"/>
      <c r="AY923" s="50"/>
      <c r="AZ923" s="50"/>
      <c r="BA923" s="50"/>
      <c r="BB923" s="50"/>
      <c r="BC923" s="50"/>
      <c r="BD923" s="50"/>
      <c r="BE923" s="50"/>
      <c r="BF923" s="50"/>
      <c r="BG923" s="50"/>
      <c r="BH923" s="50"/>
      <c r="BI923" s="50"/>
      <c r="BJ923" s="50"/>
      <c r="BK923" s="50"/>
      <c r="BL923" s="50"/>
      <c r="BM923" s="50"/>
      <c r="BN923" s="50"/>
      <c r="BO923" s="50"/>
      <c r="BP923" s="50"/>
      <c r="BQ923" s="50"/>
      <c r="BR923" s="50"/>
      <c r="BS923" s="50"/>
      <c r="BT923" s="50"/>
      <c r="BU923" s="50"/>
      <c r="BV923" s="50"/>
      <c r="BW923" s="50"/>
      <c r="BX923" s="50"/>
      <c r="BY923" s="50"/>
      <c r="BZ923" s="50"/>
      <c r="CA923" s="50"/>
      <c r="CB923" s="50"/>
      <c r="CC923" s="50"/>
      <c r="CD923" s="50"/>
      <c r="CE923" s="50"/>
      <c r="CF923" s="50"/>
      <c r="CG923" s="50"/>
      <c r="CH923" s="50"/>
      <c r="CI923" s="50"/>
      <c r="CJ923" s="50"/>
      <c r="CK923" s="50"/>
      <c r="CL923" s="50"/>
      <c r="CM923" s="50"/>
    </row>
    <row r="924" spans="1:91" ht="14.25" customHeight="1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  <c r="AR924" s="50"/>
      <c r="AS924" s="50"/>
      <c r="AT924" s="50"/>
      <c r="AU924" s="50"/>
      <c r="AV924" s="50"/>
      <c r="AW924" s="50"/>
      <c r="AX924" s="50"/>
      <c r="AY924" s="50"/>
      <c r="AZ924" s="50"/>
      <c r="BA924" s="50"/>
      <c r="BB924" s="50"/>
      <c r="BC924" s="50"/>
      <c r="BD924" s="50"/>
      <c r="BE924" s="50"/>
      <c r="BF924" s="50"/>
      <c r="BG924" s="50"/>
      <c r="BH924" s="50"/>
      <c r="BI924" s="50"/>
      <c r="BJ924" s="50"/>
      <c r="BK924" s="50"/>
      <c r="BL924" s="50"/>
      <c r="BM924" s="50"/>
      <c r="BN924" s="50"/>
      <c r="BO924" s="50"/>
      <c r="BP924" s="50"/>
      <c r="BQ924" s="50"/>
      <c r="BR924" s="50"/>
      <c r="BS924" s="50"/>
      <c r="BT924" s="50"/>
      <c r="BU924" s="50"/>
      <c r="BV924" s="50"/>
      <c r="BW924" s="50"/>
      <c r="BX924" s="50"/>
      <c r="BY924" s="50"/>
      <c r="BZ924" s="50"/>
      <c r="CA924" s="50"/>
      <c r="CB924" s="50"/>
      <c r="CC924" s="50"/>
      <c r="CD924" s="50"/>
      <c r="CE924" s="50"/>
      <c r="CF924" s="50"/>
      <c r="CG924" s="50"/>
      <c r="CH924" s="50"/>
      <c r="CI924" s="50"/>
      <c r="CJ924" s="50"/>
      <c r="CK924" s="50"/>
      <c r="CL924" s="50"/>
      <c r="CM924" s="50"/>
    </row>
    <row r="925" spans="1:91" ht="14.25" customHeight="1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  <c r="AS925" s="50"/>
      <c r="AT925" s="50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  <c r="BO925" s="50"/>
      <c r="BP925" s="50"/>
      <c r="BQ925" s="50"/>
      <c r="BR925" s="50"/>
      <c r="BS925" s="50"/>
      <c r="BT925" s="50"/>
      <c r="BU925" s="50"/>
      <c r="BV925" s="50"/>
      <c r="BW925" s="50"/>
      <c r="BX925" s="50"/>
      <c r="BY925" s="50"/>
      <c r="BZ925" s="50"/>
      <c r="CA925" s="50"/>
      <c r="CB925" s="50"/>
      <c r="CC925" s="50"/>
      <c r="CD925" s="50"/>
      <c r="CE925" s="50"/>
      <c r="CF925" s="50"/>
      <c r="CG925" s="50"/>
      <c r="CH925" s="50"/>
      <c r="CI925" s="50"/>
      <c r="CJ925" s="50"/>
      <c r="CK925" s="50"/>
      <c r="CL925" s="50"/>
      <c r="CM925" s="50"/>
    </row>
    <row r="926" spans="1:91" ht="14.25" customHeight="1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  <c r="AR926" s="50"/>
      <c r="AS926" s="50"/>
      <c r="AT926" s="50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  <c r="BO926" s="50"/>
      <c r="BP926" s="50"/>
      <c r="BQ926" s="50"/>
      <c r="BR926" s="50"/>
      <c r="BS926" s="50"/>
      <c r="BT926" s="50"/>
      <c r="BU926" s="50"/>
      <c r="BV926" s="50"/>
      <c r="BW926" s="50"/>
      <c r="BX926" s="50"/>
      <c r="BY926" s="50"/>
      <c r="BZ926" s="50"/>
      <c r="CA926" s="50"/>
      <c r="CB926" s="50"/>
      <c r="CC926" s="50"/>
      <c r="CD926" s="50"/>
      <c r="CE926" s="50"/>
      <c r="CF926" s="50"/>
      <c r="CG926" s="50"/>
      <c r="CH926" s="50"/>
      <c r="CI926" s="50"/>
      <c r="CJ926" s="50"/>
      <c r="CK926" s="50"/>
      <c r="CL926" s="50"/>
      <c r="CM926" s="50"/>
    </row>
    <row r="927" spans="1:91" ht="14.25" customHeight="1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  <c r="AR927" s="50"/>
      <c r="AS927" s="50"/>
      <c r="AT927" s="50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  <c r="BO927" s="50"/>
      <c r="BP927" s="50"/>
      <c r="BQ927" s="50"/>
      <c r="BR927" s="50"/>
      <c r="BS927" s="50"/>
      <c r="BT927" s="50"/>
      <c r="BU927" s="50"/>
      <c r="BV927" s="50"/>
      <c r="BW927" s="50"/>
      <c r="BX927" s="50"/>
      <c r="BY927" s="50"/>
      <c r="BZ927" s="50"/>
      <c r="CA927" s="50"/>
      <c r="CB927" s="50"/>
      <c r="CC927" s="50"/>
      <c r="CD927" s="50"/>
      <c r="CE927" s="50"/>
      <c r="CF927" s="50"/>
      <c r="CG927" s="50"/>
      <c r="CH927" s="50"/>
      <c r="CI927" s="50"/>
      <c r="CJ927" s="50"/>
      <c r="CK927" s="50"/>
      <c r="CL927" s="50"/>
      <c r="CM927" s="50"/>
    </row>
    <row r="928" spans="1:91" ht="14.25" customHeight="1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  <c r="AR928" s="50"/>
      <c r="AS928" s="50"/>
      <c r="AT928" s="50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  <c r="BO928" s="50"/>
      <c r="BP928" s="50"/>
      <c r="BQ928" s="50"/>
      <c r="BR928" s="50"/>
      <c r="BS928" s="50"/>
      <c r="BT928" s="50"/>
      <c r="BU928" s="50"/>
      <c r="BV928" s="50"/>
      <c r="BW928" s="50"/>
      <c r="BX928" s="50"/>
      <c r="BY928" s="50"/>
      <c r="BZ928" s="50"/>
      <c r="CA928" s="50"/>
      <c r="CB928" s="50"/>
      <c r="CC928" s="50"/>
      <c r="CD928" s="50"/>
      <c r="CE928" s="50"/>
      <c r="CF928" s="50"/>
      <c r="CG928" s="50"/>
      <c r="CH928" s="50"/>
      <c r="CI928" s="50"/>
      <c r="CJ928" s="50"/>
      <c r="CK928" s="50"/>
      <c r="CL928" s="50"/>
      <c r="CM928" s="50"/>
    </row>
    <row r="929" spans="1:91" ht="14.25" customHeight="1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  <c r="AR929" s="50"/>
      <c r="AS929" s="50"/>
      <c r="AT929" s="50"/>
      <c r="AU929" s="50"/>
      <c r="AV929" s="50"/>
      <c r="AW929" s="50"/>
      <c r="AX929" s="50"/>
      <c r="AY929" s="50"/>
      <c r="AZ929" s="50"/>
      <c r="BA929" s="50"/>
      <c r="BB929" s="50"/>
      <c r="BC929" s="50"/>
      <c r="BD929" s="50"/>
      <c r="BE929" s="50"/>
      <c r="BF929" s="50"/>
      <c r="BG929" s="50"/>
      <c r="BH929" s="50"/>
      <c r="BI929" s="50"/>
      <c r="BJ929" s="50"/>
      <c r="BK929" s="50"/>
      <c r="BL929" s="50"/>
      <c r="BM929" s="50"/>
      <c r="BN929" s="50"/>
      <c r="BO929" s="50"/>
      <c r="BP929" s="50"/>
      <c r="BQ929" s="50"/>
      <c r="BR929" s="50"/>
      <c r="BS929" s="50"/>
      <c r="BT929" s="50"/>
      <c r="BU929" s="50"/>
      <c r="BV929" s="50"/>
      <c r="BW929" s="50"/>
      <c r="BX929" s="50"/>
      <c r="BY929" s="50"/>
      <c r="BZ929" s="50"/>
      <c r="CA929" s="50"/>
      <c r="CB929" s="50"/>
      <c r="CC929" s="50"/>
      <c r="CD929" s="50"/>
      <c r="CE929" s="50"/>
      <c r="CF929" s="50"/>
      <c r="CG929" s="50"/>
      <c r="CH929" s="50"/>
      <c r="CI929" s="50"/>
      <c r="CJ929" s="50"/>
      <c r="CK929" s="50"/>
      <c r="CL929" s="50"/>
      <c r="CM929" s="50"/>
    </row>
    <row r="930" spans="1:91" ht="14.25" customHeight="1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  <c r="AR930" s="50"/>
      <c r="AS930" s="50"/>
      <c r="AT930" s="50"/>
      <c r="AU930" s="50"/>
      <c r="AV930" s="50"/>
      <c r="AW930" s="50"/>
      <c r="AX930" s="50"/>
      <c r="AY930" s="50"/>
      <c r="AZ930" s="50"/>
      <c r="BA930" s="50"/>
      <c r="BB930" s="50"/>
      <c r="BC930" s="50"/>
      <c r="BD930" s="50"/>
      <c r="BE930" s="50"/>
      <c r="BF930" s="50"/>
      <c r="BG930" s="50"/>
      <c r="BH930" s="50"/>
      <c r="BI930" s="50"/>
      <c r="BJ930" s="50"/>
      <c r="BK930" s="50"/>
      <c r="BL930" s="50"/>
      <c r="BM930" s="50"/>
      <c r="BN930" s="50"/>
      <c r="BO930" s="50"/>
      <c r="BP930" s="50"/>
      <c r="BQ930" s="50"/>
      <c r="BR930" s="50"/>
      <c r="BS930" s="50"/>
      <c r="BT930" s="50"/>
      <c r="BU930" s="50"/>
      <c r="BV930" s="50"/>
      <c r="BW930" s="50"/>
      <c r="BX930" s="50"/>
      <c r="BY930" s="50"/>
      <c r="BZ930" s="50"/>
      <c r="CA930" s="50"/>
      <c r="CB930" s="50"/>
      <c r="CC930" s="50"/>
      <c r="CD930" s="50"/>
      <c r="CE930" s="50"/>
      <c r="CF930" s="50"/>
      <c r="CG930" s="50"/>
      <c r="CH930" s="50"/>
      <c r="CI930" s="50"/>
      <c r="CJ930" s="50"/>
      <c r="CK930" s="50"/>
      <c r="CL930" s="50"/>
      <c r="CM930" s="50"/>
    </row>
    <row r="931" spans="1:91" ht="14.25" customHeight="1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  <c r="AR931" s="50"/>
      <c r="AS931" s="50"/>
      <c r="AT931" s="50"/>
      <c r="AU931" s="50"/>
      <c r="AV931" s="50"/>
      <c r="AW931" s="50"/>
      <c r="AX931" s="50"/>
      <c r="AY931" s="50"/>
      <c r="AZ931" s="50"/>
      <c r="BA931" s="50"/>
      <c r="BB931" s="50"/>
      <c r="BC931" s="50"/>
      <c r="BD931" s="50"/>
      <c r="BE931" s="50"/>
      <c r="BF931" s="50"/>
      <c r="BG931" s="50"/>
      <c r="BH931" s="50"/>
      <c r="BI931" s="50"/>
      <c r="BJ931" s="50"/>
      <c r="BK931" s="50"/>
      <c r="BL931" s="50"/>
      <c r="BM931" s="50"/>
      <c r="BN931" s="50"/>
      <c r="BO931" s="50"/>
      <c r="BP931" s="50"/>
      <c r="BQ931" s="50"/>
      <c r="BR931" s="50"/>
      <c r="BS931" s="50"/>
      <c r="BT931" s="50"/>
      <c r="BU931" s="50"/>
      <c r="BV931" s="50"/>
      <c r="BW931" s="50"/>
      <c r="BX931" s="50"/>
      <c r="BY931" s="50"/>
      <c r="BZ931" s="50"/>
      <c r="CA931" s="50"/>
      <c r="CB931" s="50"/>
      <c r="CC931" s="50"/>
      <c r="CD931" s="50"/>
      <c r="CE931" s="50"/>
      <c r="CF931" s="50"/>
      <c r="CG931" s="50"/>
      <c r="CH931" s="50"/>
      <c r="CI931" s="50"/>
      <c r="CJ931" s="50"/>
      <c r="CK931" s="50"/>
      <c r="CL931" s="50"/>
      <c r="CM931" s="50"/>
    </row>
    <row r="932" spans="1:91" ht="14.25" customHeight="1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  <c r="AR932" s="50"/>
      <c r="AS932" s="50"/>
      <c r="AT932" s="50"/>
      <c r="AU932" s="50"/>
      <c r="AV932" s="50"/>
      <c r="AW932" s="50"/>
      <c r="AX932" s="50"/>
      <c r="AY932" s="50"/>
      <c r="AZ932" s="50"/>
      <c r="BA932" s="50"/>
      <c r="BB932" s="50"/>
      <c r="BC932" s="50"/>
      <c r="BD932" s="50"/>
      <c r="BE932" s="50"/>
      <c r="BF932" s="50"/>
      <c r="BG932" s="50"/>
      <c r="BH932" s="50"/>
      <c r="BI932" s="50"/>
      <c r="BJ932" s="50"/>
      <c r="BK932" s="50"/>
      <c r="BL932" s="50"/>
      <c r="BM932" s="50"/>
      <c r="BN932" s="50"/>
      <c r="BO932" s="50"/>
      <c r="BP932" s="50"/>
      <c r="BQ932" s="50"/>
      <c r="BR932" s="50"/>
      <c r="BS932" s="50"/>
      <c r="BT932" s="50"/>
      <c r="BU932" s="50"/>
      <c r="BV932" s="50"/>
      <c r="BW932" s="50"/>
      <c r="BX932" s="50"/>
      <c r="BY932" s="50"/>
      <c r="BZ932" s="50"/>
      <c r="CA932" s="50"/>
      <c r="CB932" s="50"/>
      <c r="CC932" s="50"/>
      <c r="CD932" s="50"/>
      <c r="CE932" s="50"/>
      <c r="CF932" s="50"/>
      <c r="CG932" s="50"/>
      <c r="CH932" s="50"/>
      <c r="CI932" s="50"/>
      <c r="CJ932" s="50"/>
      <c r="CK932" s="50"/>
      <c r="CL932" s="50"/>
      <c r="CM932" s="50"/>
    </row>
    <row r="933" spans="1:91" ht="14.25" customHeight="1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  <c r="AS933" s="50"/>
      <c r="AT933" s="50"/>
      <c r="AU933" s="50"/>
      <c r="AV933" s="50"/>
      <c r="AW933" s="50"/>
      <c r="AX933" s="50"/>
      <c r="AY933" s="50"/>
      <c r="AZ933" s="50"/>
      <c r="BA933" s="50"/>
      <c r="BB933" s="50"/>
      <c r="BC933" s="50"/>
      <c r="BD933" s="50"/>
      <c r="BE933" s="50"/>
      <c r="BF933" s="50"/>
      <c r="BG933" s="50"/>
      <c r="BH933" s="50"/>
      <c r="BI933" s="50"/>
      <c r="BJ933" s="50"/>
      <c r="BK933" s="50"/>
      <c r="BL933" s="50"/>
      <c r="BM933" s="50"/>
      <c r="BN933" s="50"/>
      <c r="BO933" s="50"/>
      <c r="BP933" s="50"/>
      <c r="BQ933" s="50"/>
      <c r="BR933" s="50"/>
      <c r="BS933" s="50"/>
      <c r="BT933" s="50"/>
      <c r="BU933" s="50"/>
      <c r="BV933" s="50"/>
      <c r="BW933" s="50"/>
      <c r="BX933" s="50"/>
      <c r="BY933" s="50"/>
      <c r="BZ933" s="50"/>
      <c r="CA933" s="50"/>
      <c r="CB933" s="50"/>
      <c r="CC933" s="50"/>
      <c r="CD933" s="50"/>
      <c r="CE933" s="50"/>
      <c r="CF933" s="50"/>
      <c r="CG933" s="50"/>
      <c r="CH933" s="50"/>
      <c r="CI933" s="50"/>
      <c r="CJ933" s="50"/>
      <c r="CK933" s="50"/>
      <c r="CL933" s="50"/>
      <c r="CM933" s="50"/>
    </row>
    <row r="934" spans="1:91" ht="14.25" customHeight="1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  <c r="AS934" s="50"/>
      <c r="AT934" s="50"/>
      <c r="AU934" s="50"/>
      <c r="AV934" s="50"/>
      <c r="AW934" s="50"/>
      <c r="AX934" s="50"/>
      <c r="AY934" s="50"/>
      <c r="AZ934" s="50"/>
      <c r="BA934" s="50"/>
      <c r="BB934" s="50"/>
      <c r="BC934" s="50"/>
      <c r="BD934" s="50"/>
      <c r="BE934" s="50"/>
      <c r="BF934" s="50"/>
      <c r="BG934" s="50"/>
      <c r="BH934" s="50"/>
      <c r="BI934" s="50"/>
      <c r="BJ934" s="50"/>
      <c r="BK934" s="50"/>
      <c r="BL934" s="50"/>
      <c r="BM934" s="50"/>
      <c r="BN934" s="50"/>
      <c r="BO934" s="50"/>
      <c r="BP934" s="50"/>
      <c r="BQ934" s="50"/>
      <c r="BR934" s="50"/>
      <c r="BS934" s="50"/>
      <c r="BT934" s="50"/>
      <c r="BU934" s="50"/>
      <c r="BV934" s="50"/>
      <c r="BW934" s="50"/>
      <c r="BX934" s="50"/>
      <c r="BY934" s="50"/>
      <c r="BZ934" s="50"/>
      <c r="CA934" s="50"/>
      <c r="CB934" s="50"/>
      <c r="CC934" s="50"/>
      <c r="CD934" s="50"/>
      <c r="CE934" s="50"/>
      <c r="CF934" s="50"/>
      <c r="CG934" s="50"/>
      <c r="CH934" s="50"/>
      <c r="CI934" s="50"/>
      <c r="CJ934" s="50"/>
      <c r="CK934" s="50"/>
      <c r="CL934" s="50"/>
      <c r="CM934" s="50"/>
    </row>
    <row r="935" spans="1:91" ht="14.25" customHeight="1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  <c r="AR935" s="50"/>
      <c r="AS935" s="50"/>
      <c r="AT935" s="50"/>
      <c r="AU935" s="50"/>
      <c r="AV935" s="50"/>
      <c r="AW935" s="50"/>
      <c r="AX935" s="50"/>
      <c r="AY935" s="50"/>
      <c r="AZ935" s="50"/>
      <c r="BA935" s="50"/>
      <c r="BB935" s="50"/>
      <c r="BC935" s="50"/>
      <c r="BD935" s="50"/>
      <c r="BE935" s="50"/>
      <c r="BF935" s="50"/>
      <c r="BG935" s="50"/>
      <c r="BH935" s="50"/>
      <c r="BI935" s="50"/>
      <c r="BJ935" s="50"/>
      <c r="BK935" s="50"/>
      <c r="BL935" s="50"/>
      <c r="BM935" s="50"/>
      <c r="BN935" s="50"/>
      <c r="BO935" s="50"/>
      <c r="BP935" s="50"/>
      <c r="BQ935" s="50"/>
      <c r="BR935" s="50"/>
      <c r="BS935" s="50"/>
      <c r="BT935" s="50"/>
      <c r="BU935" s="50"/>
      <c r="BV935" s="50"/>
      <c r="BW935" s="50"/>
      <c r="BX935" s="50"/>
      <c r="BY935" s="50"/>
      <c r="BZ935" s="50"/>
      <c r="CA935" s="50"/>
      <c r="CB935" s="50"/>
      <c r="CC935" s="50"/>
      <c r="CD935" s="50"/>
      <c r="CE935" s="50"/>
      <c r="CF935" s="50"/>
      <c r="CG935" s="50"/>
      <c r="CH935" s="50"/>
      <c r="CI935" s="50"/>
      <c r="CJ935" s="50"/>
      <c r="CK935" s="50"/>
      <c r="CL935" s="50"/>
      <c r="CM935" s="50"/>
    </row>
    <row r="936" spans="1:91" ht="14.25" customHeight="1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  <c r="AR936" s="50"/>
      <c r="AS936" s="50"/>
      <c r="AT936" s="50"/>
      <c r="AU936" s="50"/>
      <c r="AV936" s="50"/>
      <c r="AW936" s="50"/>
      <c r="AX936" s="50"/>
      <c r="AY936" s="50"/>
      <c r="AZ936" s="50"/>
      <c r="BA936" s="50"/>
      <c r="BB936" s="50"/>
      <c r="BC936" s="50"/>
      <c r="BD936" s="50"/>
      <c r="BE936" s="50"/>
      <c r="BF936" s="50"/>
      <c r="BG936" s="50"/>
      <c r="BH936" s="50"/>
      <c r="BI936" s="50"/>
      <c r="BJ936" s="50"/>
      <c r="BK936" s="50"/>
      <c r="BL936" s="50"/>
      <c r="BM936" s="50"/>
      <c r="BN936" s="50"/>
      <c r="BO936" s="50"/>
      <c r="BP936" s="50"/>
      <c r="BQ936" s="50"/>
      <c r="BR936" s="50"/>
      <c r="BS936" s="50"/>
      <c r="BT936" s="50"/>
      <c r="BU936" s="50"/>
      <c r="BV936" s="50"/>
      <c r="BW936" s="50"/>
      <c r="BX936" s="50"/>
      <c r="BY936" s="50"/>
      <c r="BZ936" s="50"/>
      <c r="CA936" s="50"/>
      <c r="CB936" s="50"/>
      <c r="CC936" s="50"/>
      <c r="CD936" s="50"/>
      <c r="CE936" s="50"/>
      <c r="CF936" s="50"/>
      <c r="CG936" s="50"/>
      <c r="CH936" s="50"/>
      <c r="CI936" s="50"/>
      <c r="CJ936" s="50"/>
      <c r="CK936" s="50"/>
      <c r="CL936" s="50"/>
      <c r="CM936" s="50"/>
    </row>
    <row r="937" spans="1:91" ht="14.25" customHeight="1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  <c r="AR937" s="50"/>
      <c r="AS937" s="50"/>
      <c r="AT937" s="50"/>
      <c r="AU937" s="50"/>
      <c r="AV937" s="50"/>
      <c r="AW937" s="50"/>
      <c r="AX937" s="50"/>
      <c r="AY937" s="50"/>
      <c r="AZ937" s="50"/>
      <c r="BA937" s="50"/>
      <c r="BB937" s="50"/>
      <c r="BC937" s="50"/>
      <c r="BD937" s="50"/>
      <c r="BE937" s="50"/>
      <c r="BF937" s="50"/>
      <c r="BG937" s="50"/>
      <c r="BH937" s="50"/>
      <c r="BI937" s="50"/>
      <c r="BJ937" s="50"/>
      <c r="BK937" s="50"/>
      <c r="BL937" s="50"/>
      <c r="BM937" s="50"/>
      <c r="BN937" s="50"/>
      <c r="BO937" s="50"/>
      <c r="BP937" s="50"/>
      <c r="BQ937" s="50"/>
      <c r="BR937" s="50"/>
      <c r="BS937" s="50"/>
      <c r="BT937" s="50"/>
      <c r="BU937" s="50"/>
      <c r="BV937" s="50"/>
      <c r="BW937" s="50"/>
      <c r="BX937" s="50"/>
      <c r="BY937" s="50"/>
      <c r="BZ937" s="50"/>
      <c r="CA937" s="50"/>
      <c r="CB937" s="50"/>
      <c r="CC937" s="50"/>
      <c r="CD937" s="50"/>
      <c r="CE937" s="50"/>
      <c r="CF937" s="50"/>
      <c r="CG937" s="50"/>
      <c r="CH937" s="50"/>
      <c r="CI937" s="50"/>
      <c r="CJ937" s="50"/>
      <c r="CK937" s="50"/>
      <c r="CL937" s="50"/>
      <c r="CM937" s="50"/>
    </row>
    <row r="938" spans="1:91" ht="14.25" customHeight="1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  <c r="AR938" s="50"/>
      <c r="AS938" s="50"/>
      <c r="AT938" s="50"/>
      <c r="AU938" s="50"/>
      <c r="AV938" s="50"/>
      <c r="AW938" s="50"/>
      <c r="AX938" s="50"/>
      <c r="AY938" s="50"/>
      <c r="AZ938" s="50"/>
      <c r="BA938" s="50"/>
      <c r="BB938" s="50"/>
      <c r="BC938" s="50"/>
      <c r="BD938" s="50"/>
      <c r="BE938" s="50"/>
      <c r="BF938" s="50"/>
      <c r="BG938" s="50"/>
      <c r="BH938" s="50"/>
      <c r="BI938" s="50"/>
      <c r="BJ938" s="50"/>
      <c r="BK938" s="50"/>
      <c r="BL938" s="50"/>
      <c r="BM938" s="50"/>
      <c r="BN938" s="50"/>
      <c r="BO938" s="50"/>
      <c r="BP938" s="50"/>
      <c r="BQ938" s="50"/>
      <c r="BR938" s="50"/>
      <c r="BS938" s="50"/>
      <c r="BT938" s="50"/>
      <c r="BU938" s="50"/>
      <c r="BV938" s="50"/>
      <c r="BW938" s="50"/>
      <c r="BX938" s="50"/>
      <c r="BY938" s="50"/>
      <c r="BZ938" s="50"/>
      <c r="CA938" s="50"/>
      <c r="CB938" s="50"/>
      <c r="CC938" s="50"/>
      <c r="CD938" s="50"/>
      <c r="CE938" s="50"/>
      <c r="CF938" s="50"/>
      <c r="CG938" s="50"/>
      <c r="CH938" s="50"/>
      <c r="CI938" s="50"/>
      <c r="CJ938" s="50"/>
      <c r="CK938" s="50"/>
      <c r="CL938" s="50"/>
      <c r="CM938" s="50"/>
    </row>
    <row r="939" spans="1:91" ht="14.25" customHeight="1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  <c r="AR939" s="50"/>
      <c r="AS939" s="50"/>
      <c r="AT939" s="50"/>
      <c r="AU939" s="50"/>
      <c r="AV939" s="50"/>
      <c r="AW939" s="50"/>
      <c r="AX939" s="50"/>
      <c r="AY939" s="50"/>
      <c r="AZ939" s="50"/>
      <c r="BA939" s="50"/>
      <c r="BB939" s="50"/>
      <c r="BC939" s="50"/>
      <c r="BD939" s="50"/>
      <c r="BE939" s="50"/>
      <c r="BF939" s="50"/>
      <c r="BG939" s="50"/>
      <c r="BH939" s="50"/>
      <c r="BI939" s="50"/>
      <c r="BJ939" s="50"/>
      <c r="BK939" s="50"/>
      <c r="BL939" s="50"/>
      <c r="BM939" s="50"/>
      <c r="BN939" s="50"/>
      <c r="BO939" s="50"/>
      <c r="BP939" s="50"/>
      <c r="BQ939" s="50"/>
      <c r="BR939" s="50"/>
      <c r="BS939" s="50"/>
      <c r="BT939" s="50"/>
      <c r="BU939" s="50"/>
      <c r="BV939" s="50"/>
      <c r="BW939" s="50"/>
      <c r="BX939" s="50"/>
      <c r="BY939" s="50"/>
      <c r="BZ939" s="50"/>
      <c r="CA939" s="50"/>
      <c r="CB939" s="50"/>
      <c r="CC939" s="50"/>
      <c r="CD939" s="50"/>
      <c r="CE939" s="50"/>
      <c r="CF939" s="50"/>
      <c r="CG939" s="50"/>
      <c r="CH939" s="50"/>
      <c r="CI939" s="50"/>
      <c r="CJ939" s="50"/>
      <c r="CK939" s="50"/>
      <c r="CL939" s="50"/>
      <c r="CM939" s="50"/>
    </row>
    <row r="940" spans="1:91" ht="14.25" customHeight="1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N940" s="50"/>
      <c r="AO940" s="50"/>
      <c r="AP940" s="50"/>
      <c r="AQ940" s="50"/>
      <c r="AR940" s="50"/>
      <c r="AS940" s="50"/>
      <c r="AT940" s="50"/>
      <c r="AU940" s="50"/>
      <c r="AV940" s="50"/>
      <c r="AW940" s="50"/>
      <c r="AX940" s="50"/>
      <c r="AY940" s="50"/>
      <c r="AZ940" s="50"/>
      <c r="BA940" s="50"/>
      <c r="BB940" s="50"/>
      <c r="BC940" s="50"/>
      <c r="BD940" s="50"/>
      <c r="BE940" s="50"/>
      <c r="BF940" s="50"/>
      <c r="BG940" s="50"/>
      <c r="BH940" s="50"/>
      <c r="BI940" s="50"/>
      <c r="BJ940" s="50"/>
      <c r="BK940" s="50"/>
      <c r="BL940" s="50"/>
      <c r="BM940" s="50"/>
      <c r="BN940" s="50"/>
      <c r="BO940" s="50"/>
      <c r="BP940" s="50"/>
      <c r="BQ940" s="50"/>
      <c r="BR940" s="50"/>
      <c r="BS940" s="50"/>
      <c r="BT940" s="50"/>
      <c r="BU940" s="50"/>
      <c r="BV940" s="50"/>
      <c r="BW940" s="50"/>
      <c r="BX940" s="50"/>
      <c r="BY940" s="50"/>
      <c r="BZ940" s="50"/>
      <c r="CA940" s="50"/>
      <c r="CB940" s="50"/>
      <c r="CC940" s="50"/>
      <c r="CD940" s="50"/>
      <c r="CE940" s="50"/>
      <c r="CF940" s="50"/>
      <c r="CG940" s="50"/>
      <c r="CH940" s="50"/>
      <c r="CI940" s="50"/>
      <c r="CJ940" s="50"/>
      <c r="CK940" s="50"/>
      <c r="CL940" s="50"/>
      <c r="CM940" s="50"/>
    </row>
    <row r="941" spans="1:91" ht="14.25" customHeight="1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N941" s="50"/>
      <c r="AO941" s="50"/>
      <c r="AP941" s="50"/>
      <c r="AQ941" s="50"/>
      <c r="AR941" s="50"/>
      <c r="AS941" s="50"/>
      <c r="AT941" s="50"/>
      <c r="AU941" s="50"/>
      <c r="AV941" s="50"/>
      <c r="AW941" s="50"/>
      <c r="AX941" s="50"/>
      <c r="AY941" s="50"/>
      <c r="AZ941" s="50"/>
      <c r="BA941" s="50"/>
      <c r="BB941" s="50"/>
      <c r="BC941" s="50"/>
      <c r="BD941" s="50"/>
      <c r="BE941" s="50"/>
      <c r="BF941" s="50"/>
      <c r="BG941" s="50"/>
      <c r="BH941" s="50"/>
      <c r="BI941" s="50"/>
      <c r="BJ941" s="50"/>
      <c r="BK941" s="50"/>
      <c r="BL941" s="50"/>
      <c r="BM941" s="50"/>
      <c r="BN941" s="50"/>
      <c r="BO941" s="50"/>
      <c r="BP941" s="50"/>
      <c r="BQ941" s="50"/>
      <c r="BR941" s="50"/>
      <c r="BS941" s="50"/>
      <c r="BT941" s="50"/>
      <c r="BU941" s="50"/>
      <c r="BV941" s="50"/>
      <c r="BW941" s="50"/>
      <c r="BX941" s="50"/>
      <c r="BY941" s="50"/>
      <c r="BZ941" s="50"/>
      <c r="CA941" s="50"/>
      <c r="CB941" s="50"/>
      <c r="CC941" s="50"/>
      <c r="CD941" s="50"/>
      <c r="CE941" s="50"/>
      <c r="CF941" s="50"/>
      <c r="CG941" s="50"/>
      <c r="CH941" s="50"/>
      <c r="CI941" s="50"/>
      <c r="CJ941" s="50"/>
      <c r="CK941" s="50"/>
      <c r="CL941" s="50"/>
      <c r="CM941" s="50"/>
    </row>
    <row r="942" spans="1:91" ht="14.25" customHeight="1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N942" s="50"/>
      <c r="AO942" s="50"/>
      <c r="AP942" s="50"/>
      <c r="AQ942" s="50"/>
      <c r="AR942" s="50"/>
      <c r="AS942" s="50"/>
      <c r="AT942" s="50"/>
      <c r="AU942" s="50"/>
      <c r="AV942" s="50"/>
      <c r="AW942" s="50"/>
      <c r="AX942" s="50"/>
      <c r="AY942" s="50"/>
      <c r="AZ942" s="50"/>
      <c r="BA942" s="50"/>
      <c r="BB942" s="50"/>
      <c r="BC942" s="50"/>
      <c r="BD942" s="50"/>
      <c r="BE942" s="50"/>
      <c r="BF942" s="50"/>
      <c r="BG942" s="50"/>
      <c r="BH942" s="50"/>
      <c r="BI942" s="50"/>
      <c r="BJ942" s="50"/>
      <c r="BK942" s="50"/>
      <c r="BL942" s="50"/>
      <c r="BM942" s="50"/>
      <c r="BN942" s="50"/>
      <c r="BO942" s="50"/>
      <c r="BP942" s="50"/>
      <c r="BQ942" s="50"/>
      <c r="BR942" s="50"/>
      <c r="BS942" s="50"/>
      <c r="BT942" s="50"/>
      <c r="BU942" s="50"/>
      <c r="BV942" s="50"/>
      <c r="BW942" s="50"/>
      <c r="BX942" s="50"/>
      <c r="BY942" s="50"/>
      <c r="BZ942" s="50"/>
      <c r="CA942" s="50"/>
      <c r="CB942" s="50"/>
      <c r="CC942" s="50"/>
      <c r="CD942" s="50"/>
      <c r="CE942" s="50"/>
      <c r="CF942" s="50"/>
      <c r="CG942" s="50"/>
      <c r="CH942" s="50"/>
      <c r="CI942" s="50"/>
      <c r="CJ942" s="50"/>
      <c r="CK942" s="50"/>
      <c r="CL942" s="50"/>
      <c r="CM942" s="50"/>
    </row>
    <row r="943" spans="1:91" ht="14.25" customHeight="1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N943" s="50"/>
      <c r="AO943" s="50"/>
      <c r="AP943" s="50"/>
      <c r="AQ943" s="50"/>
      <c r="AR943" s="50"/>
      <c r="AS943" s="50"/>
      <c r="AT943" s="50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  <c r="BO943" s="50"/>
      <c r="BP943" s="50"/>
      <c r="BQ943" s="50"/>
      <c r="BR943" s="50"/>
      <c r="BS943" s="50"/>
      <c r="BT943" s="50"/>
      <c r="BU943" s="50"/>
      <c r="BV943" s="50"/>
      <c r="BW943" s="50"/>
      <c r="BX943" s="50"/>
      <c r="BY943" s="50"/>
      <c r="BZ943" s="50"/>
      <c r="CA943" s="50"/>
      <c r="CB943" s="50"/>
      <c r="CC943" s="50"/>
      <c r="CD943" s="50"/>
      <c r="CE943" s="50"/>
      <c r="CF943" s="50"/>
      <c r="CG943" s="50"/>
      <c r="CH943" s="50"/>
      <c r="CI943" s="50"/>
      <c r="CJ943" s="50"/>
      <c r="CK943" s="50"/>
      <c r="CL943" s="50"/>
      <c r="CM943" s="50"/>
    </row>
    <row r="944" spans="1:91" ht="14.25" customHeight="1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N944" s="50"/>
      <c r="AO944" s="50"/>
      <c r="AP944" s="50"/>
      <c r="AQ944" s="50"/>
      <c r="AR944" s="50"/>
      <c r="AS944" s="50"/>
      <c r="AT944" s="50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50"/>
      <c r="BL944" s="50"/>
      <c r="BM944" s="50"/>
      <c r="BN944" s="50"/>
      <c r="BO944" s="50"/>
      <c r="BP944" s="50"/>
      <c r="BQ944" s="50"/>
      <c r="BR944" s="50"/>
      <c r="BS944" s="50"/>
      <c r="BT944" s="50"/>
      <c r="BU944" s="50"/>
      <c r="BV944" s="50"/>
      <c r="BW944" s="50"/>
      <c r="BX944" s="50"/>
      <c r="BY944" s="50"/>
      <c r="BZ944" s="50"/>
      <c r="CA944" s="50"/>
      <c r="CB944" s="50"/>
      <c r="CC944" s="50"/>
      <c r="CD944" s="50"/>
      <c r="CE944" s="50"/>
      <c r="CF944" s="50"/>
      <c r="CG944" s="50"/>
      <c r="CH944" s="50"/>
      <c r="CI944" s="50"/>
      <c r="CJ944" s="50"/>
      <c r="CK944" s="50"/>
      <c r="CL944" s="50"/>
      <c r="CM944" s="50"/>
    </row>
    <row r="945" spans="1:91" ht="14.25" customHeight="1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N945" s="50"/>
      <c r="AO945" s="50"/>
      <c r="AP945" s="50"/>
      <c r="AQ945" s="50"/>
      <c r="AR945" s="50"/>
      <c r="AS945" s="50"/>
      <c r="AT945" s="50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50"/>
      <c r="BL945" s="50"/>
      <c r="BM945" s="50"/>
      <c r="BN945" s="50"/>
      <c r="BO945" s="50"/>
      <c r="BP945" s="50"/>
      <c r="BQ945" s="50"/>
      <c r="BR945" s="50"/>
      <c r="BS945" s="50"/>
      <c r="BT945" s="50"/>
      <c r="BU945" s="50"/>
      <c r="BV945" s="50"/>
      <c r="BW945" s="50"/>
      <c r="BX945" s="50"/>
      <c r="BY945" s="50"/>
      <c r="BZ945" s="50"/>
      <c r="CA945" s="50"/>
      <c r="CB945" s="50"/>
      <c r="CC945" s="50"/>
      <c r="CD945" s="50"/>
      <c r="CE945" s="50"/>
      <c r="CF945" s="50"/>
      <c r="CG945" s="50"/>
      <c r="CH945" s="50"/>
      <c r="CI945" s="50"/>
      <c r="CJ945" s="50"/>
      <c r="CK945" s="50"/>
      <c r="CL945" s="50"/>
      <c r="CM945" s="50"/>
    </row>
    <row r="946" spans="1:91" ht="14.25" customHeight="1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N946" s="50"/>
      <c r="AO946" s="50"/>
      <c r="AP946" s="50"/>
      <c r="AQ946" s="50"/>
      <c r="AR946" s="50"/>
      <c r="AS946" s="50"/>
      <c r="AT946" s="50"/>
      <c r="AU946" s="50"/>
      <c r="AV946" s="50"/>
      <c r="AW946" s="50"/>
      <c r="AX946" s="50"/>
      <c r="AY946" s="50"/>
      <c r="AZ946" s="50"/>
      <c r="BA946" s="50"/>
      <c r="BB946" s="50"/>
      <c r="BC946" s="50"/>
      <c r="BD946" s="50"/>
      <c r="BE946" s="50"/>
      <c r="BF946" s="50"/>
      <c r="BG946" s="50"/>
      <c r="BH946" s="50"/>
      <c r="BI946" s="50"/>
      <c r="BJ946" s="50"/>
      <c r="BK946" s="50"/>
      <c r="BL946" s="50"/>
      <c r="BM946" s="50"/>
      <c r="BN946" s="50"/>
      <c r="BO946" s="50"/>
      <c r="BP946" s="50"/>
      <c r="BQ946" s="50"/>
      <c r="BR946" s="50"/>
      <c r="BS946" s="50"/>
      <c r="BT946" s="50"/>
      <c r="BU946" s="50"/>
      <c r="BV946" s="50"/>
      <c r="BW946" s="50"/>
      <c r="BX946" s="50"/>
      <c r="BY946" s="50"/>
      <c r="BZ946" s="50"/>
      <c r="CA946" s="50"/>
      <c r="CB946" s="50"/>
      <c r="CC946" s="50"/>
      <c r="CD946" s="50"/>
      <c r="CE946" s="50"/>
      <c r="CF946" s="50"/>
      <c r="CG946" s="50"/>
      <c r="CH946" s="50"/>
      <c r="CI946" s="50"/>
      <c r="CJ946" s="50"/>
      <c r="CK946" s="50"/>
      <c r="CL946" s="50"/>
      <c r="CM946" s="50"/>
    </row>
    <row r="947" spans="1:91" ht="14.25" customHeight="1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  <c r="AR947" s="50"/>
      <c r="AS947" s="50"/>
      <c r="AT947" s="50"/>
      <c r="AU947" s="50"/>
      <c r="AV947" s="50"/>
      <c r="AW947" s="50"/>
      <c r="AX947" s="50"/>
      <c r="AY947" s="50"/>
      <c r="AZ947" s="50"/>
      <c r="BA947" s="50"/>
      <c r="BB947" s="50"/>
      <c r="BC947" s="50"/>
      <c r="BD947" s="50"/>
      <c r="BE947" s="50"/>
      <c r="BF947" s="50"/>
      <c r="BG947" s="50"/>
      <c r="BH947" s="50"/>
      <c r="BI947" s="50"/>
      <c r="BJ947" s="50"/>
      <c r="BK947" s="50"/>
      <c r="BL947" s="50"/>
      <c r="BM947" s="50"/>
      <c r="BN947" s="50"/>
      <c r="BO947" s="50"/>
      <c r="BP947" s="50"/>
      <c r="BQ947" s="50"/>
      <c r="BR947" s="50"/>
      <c r="BS947" s="50"/>
      <c r="BT947" s="50"/>
      <c r="BU947" s="50"/>
      <c r="BV947" s="50"/>
      <c r="BW947" s="50"/>
      <c r="BX947" s="50"/>
      <c r="BY947" s="50"/>
      <c r="BZ947" s="50"/>
      <c r="CA947" s="50"/>
      <c r="CB947" s="50"/>
      <c r="CC947" s="50"/>
      <c r="CD947" s="50"/>
      <c r="CE947" s="50"/>
      <c r="CF947" s="50"/>
      <c r="CG947" s="50"/>
      <c r="CH947" s="50"/>
      <c r="CI947" s="50"/>
      <c r="CJ947" s="50"/>
      <c r="CK947" s="50"/>
      <c r="CL947" s="50"/>
      <c r="CM947" s="50"/>
    </row>
    <row r="948" spans="1:91" ht="14.25" customHeight="1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N948" s="50"/>
      <c r="AO948" s="50"/>
      <c r="AP948" s="50"/>
      <c r="AQ948" s="50"/>
      <c r="AR948" s="50"/>
      <c r="AS948" s="50"/>
      <c r="AT948" s="50"/>
      <c r="AU948" s="50"/>
      <c r="AV948" s="50"/>
      <c r="AW948" s="50"/>
      <c r="AX948" s="50"/>
      <c r="AY948" s="50"/>
      <c r="AZ948" s="50"/>
      <c r="BA948" s="50"/>
      <c r="BB948" s="50"/>
      <c r="BC948" s="50"/>
      <c r="BD948" s="50"/>
      <c r="BE948" s="50"/>
      <c r="BF948" s="50"/>
      <c r="BG948" s="50"/>
      <c r="BH948" s="50"/>
      <c r="BI948" s="50"/>
      <c r="BJ948" s="50"/>
      <c r="BK948" s="50"/>
      <c r="BL948" s="50"/>
      <c r="BM948" s="50"/>
      <c r="BN948" s="50"/>
      <c r="BO948" s="50"/>
      <c r="BP948" s="50"/>
      <c r="BQ948" s="50"/>
      <c r="BR948" s="50"/>
      <c r="BS948" s="50"/>
      <c r="BT948" s="50"/>
      <c r="BU948" s="50"/>
      <c r="BV948" s="50"/>
      <c r="BW948" s="50"/>
      <c r="BX948" s="50"/>
      <c r="BY948" s="50"/>
      <c r="BZ948" s="50"/>
      <c r="CA948" s="50"/>
      <c r="CB948" s="50"/>
      <c r="CC948" s="50"/>
      <c r="CD948" s="50"/>
      <c r="CE948" s="50"/>
      <c r="CF948" s="50"/>
      <c r="CG948" s="50"/>
      <c r="CH948" s="50"/>
      <c r="CI948" s="50"/>
      <c r="CJ948" s="50"/>
      <c r="CK948" s="50"/>
      <c r="CL948" s="50"/>
      <c r="CM948" s="50"/>
    </row>
    <row r="949" spans="1:91" ht="14.25" customHeight="1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N949" s="50"/>
      <c r="AO949" s="50"/>
      <c r="AP949" s="50"/>
      <c r="AQ949" s="50"/>
      <c r="AR949" s="50"/>
      <c r="AS949" s="50"/>
      <c r="AT949" s="50"/>
      <c r="AU949" s="50"/>
      <c r="AV949" s="50"/>
      <c r="AW949" s="50"/>
      <c r="AX949" s="50"/>
      <c r="AY949" s="50"/>
      <c r="AZ949" s="50"/>
      <c r="BA949" s="50"/>
      <c r="BB949" s="50"/>
      <c r="BC949" s="50"/>
      <c r="BD949" s="50"/>
      <c r="BE949" s="50"/>
      <c r="BF949" s="50"/>
      <c r="BG949" s="50"/>
      <c r="BH949" s="50"/>
      <c r="BI949" s="50"/>
      <c r="BJ949" s="50"/>
      <c r="BK949" s="50"/>
      <c r="BL949" s="50"/>
      <c r="BM949" s="50"/>
      <c r="BN949" s="50"/>
      <c r="BO949" s="50"/>
      <c r="BP949" s="50"/>
      <c r="BQ949" s="50"/>
      <c r="BR949" s="50"/>
      <c r="BS949" s="50"/>
      <c r="BT949" s="50"/>
      <c r="BU949" s="50"/>
      <c r="BV949" s="50"/>
      <c r="BW949" s="50"/>
      <c r="BX949" s="50"/>
      <c r="BY949" s="50"/>
      <c r="BZ949" s="50"/>
      <c r="CA949" s="50"/>
      <c r="CB949" s="50"/>
      <c r="CC949" s="50"/>
      <c r="CD949" s="50"/>
      <c r="CE949" s="50"/>
      <c r="CF949" s="50"/>
      <c r="CG949" s="50"/>
      <c r="CH949" s="50"/>
      <c r="CI949" s="50"/>
      <c r="CJ949" s="50"/>
      <c r="CK949" s="50"/>
      <c r="CL949" s="50"/>
      <c r="CM949" s="50"/>
    </row>
    <row r="950" spans="1:91" ht="14.25" customHeight="1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  <c r="AR950" s="50"/>
      <c r="AS950" s="50"/>
      <c r="AT950" s="50"/>
      <c r="AU950" s="50"/>
      <c r="AV950" s="50"/>
      <c r="AW950" s="50"/>
      <c r="AX950" s="50"/>
      <c r="AY950" s="50"/>
      <c r="AZ950" s="50"/>
      <c r="BA950" s="50"/>
      <c r="BB950" s="50"/>
      <c r="BC950" s="50"/>
      <c r="BD950" s="50"/>
      <c r="BE950" s="50"/>
      <c r="BF950" s="50"/>
      <c r="BG950" s="50"/>
      <c r="BH950" s="50"/>
      <c r="BI950" s="50"/>
      <c r="BJ950" s="50"/>
      <c r="BK950" s="50"/>
      <c r="BL950" s="50"/>
      <c r="BM950" s="50"/>
      <c r="BN950" s="50"/>
      <c r="BO950" s="50"/>
      <c r="BP950" s="50"/>
      <c r="BQ950" s="50"/>
      <c r="BR950" s="50"/>
      <c r="BS950" s="50"/>
      <c r="BT950" s="50"/>
      <c r="BU950" s="50"/>
      <c r="BV950" s="50"/>
      <c r="BW950" s="50"/>
      <c r="BX950" s="50"/>
      <c r="BY950" s="50"/>
      <c r="BZ950" s="50"/>
      <c r="CA950" s="50"/>
      <c r="CB950" s="50"/>
      <c r="CC950" s="50"/>
      <c r="CD950" s="50"/>
      <c r="CE950" s="50"/>
      <c r="CF950" s="50"/>
      <c r="CG950" s="50"/>
      <c r="CH950" s="50"/>
      <c r="CI950" s="50"/>
      <c r="CJ950" s="50"/>
      <c r="CK950" s="50"/>
      <c r="CL950" s="50"/>
      <c r="CM950" s="50"/>
    </row>
    <row r="951" spans="1:91" ht="14.25" customHeight="1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  <c r="AR951" s="50"/>
      <c r="AS951" s="50"/>
      <c r="AT951" s="50"/>
      <c r="AU951" s="50"/>
      <c r="AV951" s="50"/>
      <c r="AW951" s="50"/>
      <c r="AX951" s="50"/>
      <c r="AY951" s="50"/>
      <c r="AZ951" s="50"/>
      <c r="BA951" s="50"/>
      <c r="BB951" s="50"/>
      <c r="BC951" s="50"/>
      <c r="BD951" s="50"/>
      <c r="BE951" s="50"/>
      <c r="BF951" s="50"/>
      <c r="BG951" s="50"/>
      <c r="BH951" s="50"/>
      <c r="BI951" s="50"/>
      <c r="BJ951" s="50"/>
      <c r="BK951" s="50"/>
      <c r="BL951" s="50"/>
      <c r="BM951" s="50"/>
      <c r="BN951" s="50"/>
      <c r="BO951" s="50"/>
      <c r="BP951" s="50"/>
      <c r="BQ951" s="50"/>
      <c r="BR951" s="50"/>
      <c r="BS951" s="50"/>
      <c r="BT951" s="50"/>
      <c r="BU951" s="50"/>
      <c r="BV951" s="50"/>
      <c r="BW951" s="50"/>
      <c r="BX951" s="50"/>
      <c r="BY951" s="50"/>
      <c r="BZ951" s="50"/>
      <c r="CA951" s="50"/>
      <c r="CB951" s="50"/>
      <c r="CC951" s="50"/>
      <c r="CD951" s="50"/>
      <c r="CE951" s="50"/>
      <c r="CF951" s="50"/>
      <c r="CG951" s="50"/>
      <c r="CH951" s="50"/>
      <c r="CI951" s="50"/>
      <c r="CJ951" s="50"/>
      <c r="CK951" s="50"/>
      <c r="CL951" s="50"/>
      <c r="CM951" s="50"/>
    </row>
    <row r="952" spans="1:91" ht="14.25" customHeight="1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N952" s="50"/>
      <c r="AO952" s="50"/>
      <c r="AP952" s="50"/>
      <c r="AQ952" s="50"/>
      <c r="AR952" s="50"/>
      <c r="AS952" s="50"/>
      <c r="AT952" s="50"/>
      <c r="AU952" s="50"/>
      <c r="AV952" s="50"/>
      <c r="AW952" s="50"/>
      <c r="AX952" s="50"/>
      <c r="AY952" s="50"/>
      <c r="AZ952" s="50"/>
      <c r="BA952" s="50"/>
      <c r="BB952" s="50"/>
      <c r="BC952" s="50"/>
      <c r="BD952" s="50"/>
      <c r="BE952" s="50"/>
      <c r="BF952" s="50"/>
      <c r="BG952" s="50"/>
      <c r="BH952" s="50"/>
      <c r="BI952" s="50"/>
      <c r="BJ952" s="50"/>
      <c r="BK952" s="50"/>
      <c r="BL952" s="50"/>
      <c r="BM952" s="50"/>
      <c r="BN952" s="50"/>
      <c r="BO952" s="50"/>
      <c r="BP952" s="50"/>
      <c r="BQ952" s="50"/>
      <c r="BR952" s="50"/>
      <c r="BS952" s="50"/>
      <c r="BT952" s="50"/>
      <c r="BU952" s="50"/>
      <c r="BV952" s="50"/>
      <c r="BW952" s="50"/>
      <c r="BX952" s="50"/>
      <c r="BY952" s="50"/>
      <c r="BZ952" s="50"/>
      <c r="CA952" s="50"/>
      <c r="CB952" s="50"/>
      <c r="CC952" s="50"/>
      <c r="CD952" s="50"/>
      <c r="CE952" s="50"/>
      <c r="CF952" s="50"/>
      <c r="CG952" s="50"/>
      <c r="CH952" s="50"/>
      <c r="CI952" s="50"/>
      <c r="CJ952" s="50"/>
      <c r="CK952" s="50"/>
      <c r="CL952" s="50"/>
      <c r="CM952" s="50"/>
    </row>
    <row r="953" spans="1:91" ht="14.25" customHeight="1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N953" s="50"/>
      <c r="AO953" s="50"/>
      <c r="AP953" s="50"/>
      <c r="AQ953" s="50"/>
      <c r="AR953" s="50"/>
      <c r="AS953" s="50"/>
      <c r="AT953" s="50"/>
      <c r="AU953" s="50"/>
      <c r="AV953" s="50"/>
      <c r="AW953" s="50"/>
      <c r="AX953" s="50"/>
      <c r="AY953" s="50"/>
      <c r="AZ953" s="50"/>
      <c r="BA953" s="50"/>
      <c r="BB953" s="50"/>
      <c r="BC953" s="50"/>
      <c r="BD953" s="50"/>
      <c r="BE953" s="50"/>
      <c r="BF953" s="50"/>
      <c r="BG953" s="50"/>
      <c r="BH953" s="50"/>
      <c r="BI953" s="50"/>
      <c r="BJ953" s="50"/>
      <c r="BK953" s="50"/>
      <c r="BL953" s="50"/>
      <c r="BM953" s="50"/>
      <c r="BN953" s="50"/>
      <c r="BO953" s="50"/>
      <c r="BP953" s="50"/>
      <c r="BQ953" s="50"/>
      <c r="BR953" s="50"/>
      <c r="BS953" s="50"/>
      <c r="BT953" s="50"/>
      <c r="BU953" s="50"/>
      <c r="BV953" s="50"/>
      <c r="BW953" s="50"/>
      <c r="BX953" s="50"/>
      <c r="BY953" s="50"/>
      <c r="BZ953" s="50"/>
      <c r="CA953" s="50"/>
      <c r="CB953" s="50"/>
      <c r="CC953" s="50"/>
      <c r="CD953" s="50"/>
      <c r="CE953" s="50"/>
      <c r="CF953" s="50"/>
      <c r="CG953" s="50"/>
      <c r="CH953" s="50"/>
      <c r="CI953" s="50"/>
      <c r="CJ953" s="50"/>
      <c r="CK953" s="50"/>
      <c r="CL953" s="50"/>
      <c r="CM953" s="50"/>
    </row>
    <row r="954" spans="1:91" ht="14.25" customHeight="1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N954" s="50"/>
      <c r="AO954" s="50"/>
      <c r="AP954" s="50"/>
      <c r="AQ954" s="50"/>
      <c r="AR954" s="50"/>
      <c r="AS954" s="50"/>
      <c r="AT954" s="50"/>
      <c r="AU954" s="50"/>
      <c r="AV954" s="50"/>
      <c r="AW954" s="50"/>
      <c r="AX954" s="50"/>
      <c r="AY954" s="50"/>
      <c r="AZ954" s="50"/>
      <c r="BA954" s="50"/>
      <c r="BB954" s="50"/>
      <c r="BC954" s="50"/>
      <c r="BD954" s="50"/>
      <c r="BE954" s="50"/>
      <c r="BF954" s="50"/>
      <c r="BG954" s="50"/>
      <c r="BH954" s="50"/>
      <c r="BI954" s="50"/>
      <c r="BJ954" s="50"/>
      <c r="BK954" s="50"/>
      <c r="BL954" s="50"/>
      <c r="BM954" s="50"/>
      <c r="BN954" s="50"/>
      <c r="BO954" s="50"/>
      <c r="BP954" s="50"/>
      <c r="BQ954" s="50"/>
      <c r="BR954" s="50"/>
      <c r="BS954" s="50"/>
      <c r="BT954" s="50"/>
      <c r="BU954" s="50"/>
      <c r="BV954" s="50"/>
      <c r="BW954" s="50"/>
      <c r="BX954" s="50"/>
      <c r="BY954" s="50"/>
      <c r="BZ954" s="50"/>
      <c r="CA954" s="50"/>
      <c r="CB954" s="50"/>
      <c r="CC954" s="50"/>
      <c r="CD954" s="50"/>
      <c r="CE954" s="50"/>
      <c r="CF954" s="50"/>
      <c r="CG954" s="50"/>
      <c r="CH954" s="50"/>
      <c r="CI954" s="50"/>
      <c r="CJ954" s="50"/>
      <c r="CK954" s="50"/>
      <c r="CL954" s="50"/>
      <c r="CM954" s="50"/>
    </row>
    <row r="955" spans="1:91" ht="14.25" customHeight="1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N955" s="50"/>
      <c r="AO955" s="50"/>
      <c r="AP955" s="50"/>
      <c r="AQ955" s="50"/>
      <c r="AR955" s="50"/>
      <c r="AS955" s="50"/>
      <c r="AT955" s="50"/>
      <c r="AU955" s="50"/>
      <c r="AV955" s="50"/>
      <c r="AW955" s="50"/>
      <c r="AX955" s="50"/>
      <c r="AY955" s="50"/>
      <c r="AZ955" s="50"/>
      <c r="BA955" s="50"/>
      <c r="BB955" s="50"/>
      <c r="BC955" s="50"/>
      <c r="BD955" s="50"/>
      <c r="BE955" s="50"/>
      <c r="BF955" s="50"/>
      <c r="BG955" s="50"/>
      <c r="BH955" s="50"/>
      <c r="BI955" s="50"/>
      <c r="BJ955" s="50"/>
      <c r="BK955" s="50"/>
      <c r="BL955" s="50"/>
      <c r="BM955" s="50"/>
      <c r="BN955" s="50"/>
      <c r="BO955" s="50"/>
      <c r="BP955" s="50"/>
      <c r="BQ955" s="50"/>
      <c r="BR955" s="50"/>
      <c r="BS955" s="50"/>
      <c r="BT955" s="50"/>
      <c r="BU955" s="50"/>
      <c r="BV955" s="50"/>
      <c r="BW955" s="50"/>
      <c r="BX955" s="50"/>
      <c r="BY955" s="50"/>
      <c r="BZ955" s="50"/>
      <c r="CA955" s="50"/>
      <c r="CB955" s="50"/>
      <c r="CC955" s="50"/>
      <c r="CD955" s="50"/>
      <c r="CE955" s="50"/>
      <c r="CF955" s="50"/>
      <c r="CG955" s="50"/>
      <c r="CH955" s="50"/>
      <c r="CI955" s="50"/>
      <c r="CJ955" s="50"/>
      <c r="CK955" s="50"/>
      <c r="CL955" s="50"/>
      <c r="CM955" s="50"/>
    </row>
    <row r="956" spans="1:91" ht="14.25" customHeight="1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  <c r="AR956" s="50"/>
      <c r="AS956" s="50"/>
      <c r="AT956" s="50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50"/>
      <c r="BL956" s="50"/>
      <c r="BM956" s="50"/>
      <c r="BN956" s="50"/>
      <c r="BO956" s="50"/>
      <c r="BP956" s="50"/>
      <c r="BQ956" s="50"/>
      <c r="BR956" s="50"/>
      <c r="BS956" s="50"/>
      <c r="BT956" s="50"/>
      <c r="BU956" s="50"/>
      <c r="BV956" s="50"/>
      <c r="BW956" s="50"/>
      <c r="BX956" s="50"/>
      <c r="BY956" s="50"/>
      <c r="BZ956" s="50"/>
      <c r="CA956" s="50"/>
      <c r="CB956" s="50"/>
      <c r="CC956" s="50"/>
      <c r="CD956" s="50"/>
      <c r="CE956" s="50"/>
      <c r="CF956" s="50"/>
      <c r="CG956" s="50"/>
      <c r="CH956" s="50"/>
      <c r="CI956" s="50"/>
      <c r="CJ956" s="50"/>
      <c r="CK956" s="50"/>
      <c r="CL956" s="50"/>
      <c r="CM956" s="50"/>
    </row>
    <row r="957" spans="1:91" ht="14.25" customHeight="1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N957" s="50"/>
      <c r="AO957" s="50"/>
      <c r="AP957" s="50"/>
      <c r="AQ957" s="50"/>
      <c r="AR957" s="50"/>
      <c r="AS957" s="50"/>
      <c r="AT957" s="50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  <c r="BO957" s="50"/>
      <c r="BP957" s="50"/>
      <c r="BQ957" s="50"/>
      <c r="BR957" s="50"/>
      <c r="BS957" s="50"/>
      <c r="BT957" s="50"/>
      <c r="BU957" s="50"/>
      <c r="BV957" s="50"/>
      <c r="BW957" s="50"/>
      <c r="BX957" s="50"/>
      <c r="BY957" s="50"/>
      <c r="BZ957" s="50"/>
      <c r="CA957" s="50"/>
      <c r="CB957" s="50"/>
      <c r="CC957" s="50"/>
      <c r="CD957" s="50"/>
      <c r="CE957" s="50"/>
      <c r="CF957" s="50"/>
      <c r="CG957" s="50"/>
      <c r="CH957" s="50"/>
      <c r="CI957" s="50"/>
      <c r="CJ957" s="50"/>
      <c r="CK957" s="50"/>
      <c r="CL957" s="50"/>
      <c r="CM957" s="50"/>
    </row>
    <row r="958" spans="1:91" ht="14.25" customHeight="1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N958" s="50"/>
      <c r="AO958" s="50"/>
      <c r="AP958" s="50"/>
      <c r="AQ958" s="50"/>
      <c r="AR958" s="50"/>
      <c r="AS958" s="50"/>
      <c r="AT958" s="50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  <c r="BO958" s="50"/>
      <c r="BP958" s="50"/>
      <c r="BQ958" s="50"/>
      <c r="BR958" s="50"/>
      <c r="BS958" s="50"/>
      <c r="BT958" s="50"/>
      <c r="BU958" s="50"/>
      <c r="BV958" s="50"/>
      <c r="BW958" s="50"/>
      <c r="BX958" s="50"/>
      <c r="BY958" s="50"/>
      <c r="BZ958" s="50"/>
      <c r="CA958" s="50"/>
      <c r="CB958" s="50"/>
      <c r="CC958" s="50"/>
      <c r="CD958" s="50"/>
      <c r="CE958" s="50"/>
      <c r="CF958" s="50"/>
      <c r="CG958" s="50"/>
      <c r="CH958" s="50"/>
      <c r="CI958" s="50"/>
      <c r="CJ958" s="50"/>
      <c r="CK958" s="50"/>
      <c r="CL958" s="50"/>
      <c r="CM958" s="50"/>
    </row>
    <row r="959" spans="1:91" ht="14.25" customHeight="1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N959" s="50"/>
      <c r="AO959" s="50"/>
      <c r="AP959" s="50"/>
      <c r="AQ959" s="50"/>
      <c r="AR959" s="50"/>
      <c r="AS959" s="50"/>
      <c r="AT959" s="50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  <c r="BO959" s="50"/>
      <c r="BP959" s="50"/>
      <c r="BQ959" s="50"/>
      <c r="BR959" s="50"/>
      <c r="BS959" s="50"/>
      <c r="BT959" s="50"/>
      <c r="BU959" s="50"/>
      <c r="BV959" s="50"/>
      <c r="BW959" s="50"/>
      <c r="BX959" s="50"/>
      <c r="BY959" s="50"/>
      <c r="BZ959" s="50"/>
      <c r="CA959" s="50"/>
      <c r="CB959" s="50"/>
      <c r="CC959" s="50"/>
      <c r="CD959" s="50"/>
      <c r="CE959" s="50"/>
      <c r="CF959" s="50"/>
      <c r="CG959" s="50"/>
      <c r="CH959" s="50"/>
      <c r="CI959" s="50"/>
      <c r="CJ959" s="50"/>
      <c r="CK959" s="50"/>
      <c r="CL959" s="50"/>
      <c r="CM959" s="50"/>
    </row>
    <row r="960" spans="1:91" ht="14.25" customHeight="1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N960" s="50"/>
      <c r="AO960" s="50"/>
      <c r="AP960" s="50"/>
      <c r="AQ960" s="50"/>
      <c r="AR960" s="50"/>
      <c r="AS960" s="50"/>
      <c r="AT960" s="50"/>
      <c r="AU960" s="50"/>
      <c r="AV960" s="50"/>
      <c r="AW960" s="50"/>
      <c r="AX960" s="50"/>
      <c r="AY960" s="50"/>
      <c r="AZ960" s="50"/>
      <c r="BA960" s="50"/>
      <c r="BB960" s="50"/>
      <c r="BC960" s="50"/>
      <c r="BD960" s="50"/>
      <c r="BE960" s="50"/>
      <c r="BF960" s="50"/>
      <c r="BG960" s="50"/>
      <c r="BH960" s="50"/>
      <c r="BI960" s="50"/>
      <c r="BJ960" s="50"/>
      <c r="BK960" s="50"/>
      <c r="BL960" s="50"/>
      <c r="BM960" s="50"/>
      <c r="BN960" s="50"/>
      <c r="BO960" s="50"/>
      <c r="BP960" s="50"/>
      <c r="BQ960" s="50"/>
      <c r="BR960" s="50"/>
      <c r="BS960" s="50"/>
      <c r="BT960" s="50"/>
      <c r="BU960" s="50"/>
      <c r="BV960" s="50"/>
      <c r="BW960" s="50"/>
      <c r="BX960" s="50"/>
      <c r="BY960" s="50"/>
      <c r="BZ960" s="50"/>
      <c r="CA960" s="50"/>
      <c r="CB960" s="50"/>
      <c r="CC960" s="50"/>
      <c r="CD960" s="50"/>
      <c r="CE960" s="50"/>
      <c r="CF960" s="50"/>
      <c r="CG960" s="50"/>
      <c r="CH960" s="50"/>
      <c r="CI960" s="50"/>
      <c r="CJ960" s="50"/>
      <c r="CK960" s="50"/>
      <c r="CL960" s="50"/>
      <c r="CM960" s="50"/>
    </row>
    <row r="961" spans="1:91" ht="14.25" customHeight="1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N961" s="50"/>
      <c r="AO961" s="50"/>
      <c r="AP961" s="50"/>
      <c r="AQ961" s="50"/>
      <c r="AR961" s="50"/>
      <c r="AS961" s="50"/>
      <c r="AT961" s="50"/>
      <c r="AU961" s="50"/>
      <c r="AV961" s="50"/>
      <c r="AW961" s="50"/>
      <c r="AX961" s="50"/>
      <c r="AY961" s="50"/>
      <c r="AZ961" s="50"/>
      <c r="BA961" s="50"/>
      <c r="BB961" s="50"/>
      <c r="BC961" s="50"/>
      <c r="BD961" s="50"/>
      <c r="BE961" s="50"/>
      <c r="BF961" s="50"/>
      <c r="BG961" s="50"/>
      <c r="BH961" s="50"/>
      <c r="BI961" s="50"/>
      <c r="BJ961" s="50"/>
      <c r="BK961" s="50"/>
      <c r="BL961" s="50"/>
      <c r="BM961" s="50"/>
      <c r="BN961" s="50"/>
      <c r="BO961" s="50"/>
      <c r="BP961" s="50"/>
      <c r="BQ961" s="50"/>
      <c r="BR961" s="50"/>
      <c r="BS961" s="50"/>
      <c r="BT961" s="50"/>
      <c r="BU961" s="50"/>
      <c r="BV961" s="50"/>
      <c r="BW961" s="50"/>
      <c r="BX961" s="50"/>
      <c r="BY961" s="50"/>
      <c r="BZ961" s="50"/>
      <c r="CA961" s="50"/>
      <c r="CB961" s="50"/>
      <c r="CC961" s="50"/>
      <c r="CD961" s="50"/>
      <c r="CE961" s="50"/>
      <c r="CF961" s="50"/>
      <c r="CG961" s="50"/>
      <c r="CH961" s="50"/>
      <c r="CI961" s="50"/>
      <c r="CJ961" s="50"/>
      <c r="CK961" s="50"/>
      <c r="CL961" s="50"/>
      <c r="CM961" s="50"/>
    </row>
    <row r="962" spans="1:91" ht="14.25" customHeight="1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N962" s="50"/>
      <c r="AO962" s="50"/>
      <c r="AP962" s="50"/>
      <c r="AQ962" s="50"/>
      <c r="AR962" s="50"/>
      <c r="AS962" s="50"/>
      <c r="AT962" s="50"/>
      <c r="AU962" s="50"/>
      <c r="AV962" s="50"/>
      <c r="AW962" s="50"/>
      <c r="AX962" s="50"/>
      <c r="AY962" s="50"/>
      <c r="AZ962" s="50"/>
      <c r="BA962" s="50"/>
      <c r="BB962" s="50"/>
      <c r="BC962" s="50"/>
      <c r="BD962" s="50"/>
      <c r="BE962" s="50"/>
      <c r="BF962" s="50"/>
      <c r="BG962" s="50"/>
      <c r="BH962" s="50"/>
      <c r="BI962" s="50"/>
      <c r="BJ962" s="50"/>
      <c r="BK962" s="50"/>
      <c r="BL962" s="50"/>
      <c r="BM962" s="50"/>
      <c r="BN962" s="50"/>
      <c r="BO962" s="50"/>
      <c r="BP962" s="50"/>
      <c r="BQ962" s="50"/>
      <c r="BR962" s="50"/>
      <c r="BS962" s="50"/>
      <c r="BT962" s="50"/>
      <c r="BU962" s="50"/>
      <c r="BV962" s="50"/>
      <c r="BW962" s="50"/>
      <c r="BX962" s="50"/>
      <c r="BY962" s="50"/>
      <c r="BZ962" s="50"/>
      <c r="CA962" s="50"/>
      <c r="CB962" s="50"/>
      <c r="CC962" s="50"/>
      <c r="CD962" s="50"/>
      <c r="CE962" s="50"/>
      <c r="CF962" s="50"/>
      <c r="CG962" s="50"/>
      <c r="CH962" s="50"/>
      <c r="CI962" s="50"/>
      <c r="CJ962" s="50"/>
      <c r="CK962" s="50"/>
      <c r="CL962" s="50"/>
      <c r="CM962" s="50"/>
    </row>
    <row r="963" spans="1:91" ht="14.25" customHeight="1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N963" s="50"/>
      <c r="AO963" s="50"/>
      <c r="AP963" s="50"/>
      <c r="AQ963" s="50"/>
      <c r="AR963" s="50"/>
      <c r="AS963" s="50"/>
      <c r="AT963" s="50"/>
      <c r="AU963" s="50"/>
      <c r="AV963" s="50"/>
      <c r="AW963" s="50"/>
      <c r="AX963" s="50"/>
      <c r="AY963" s="50"/>
      <c r="AZ963" s="50"/>
      <c r="BA963" s="50"/>
      <c r="BB963" s="50"/>
      <c r="BC963" s="50"/>
      <c r="BD963" s="50"/>
      <c r="BE963" s="50"/>
      <c r="BF963" s="50"/>
      <c r="BG963" s="50"/>
      <c r="BH963" s="50"/>
      <c r="BI963" s="50"/>
      <c r="BJ963" s="50"/>
      <c r="BK963" s="50"/>
      <c r="BL963" s="50"/>
      <c r="BM963" s="50"/>
      <c r="BN963" s="50"/>
      <c r="BO963" s="50"/>
      <c r="BP963" s="50"/>
      <c r="BQ963" s="50"/>
      <c r="BR963" s="50"/>
      <c r="BS963" s="50"/>
      <c r="BT963" s="50"/>
      <c r="BU963" s="50"/>
      <c r="BV963" s="50"/>
      <c r="BW963" s="50"/>
      <c r="BX963" s="50"/>
      <c r="BY963" s="50"/>
      <c r="BZ963" s="50"/>
      <c r="CA963" s="50"/>
      <c r="CB963" s="50"/>
      <c r="CC963" s="50"/>
      <c r="CD963" s="50"/>
      <c r="CE963" s="50"/>
      <c r="CF963" s="50"/>
      <c r="CG963" s="50"/>
      <c r="CH963" s="50"/>
      <c r="CI963" s="50"/>
      <c r="CJ963" s="50"/>
      <c r="CK963" s="50"/>
      <c r="CL963" s="50"/>
      <c r="CM963" s="50"/>
    </row>
    <row r="964" spans="1:91" ht="14.25" customHeight="1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  <c r="AR964" s="50"/>
      <c r="AS964" s="50"/>
      <c r="AT964" s="50"/>
      <c r="AU964" s="50"/>
      <c r="AV964" s="50"/>
      <c r="AW964" s="50"/>
      <c r="AX964" s="50"/>
      <c r="AY964" s="50"/>
      <c r="AZ964" s="50"/>
      <c r="BA964" s="50"/>
      <c r="BB964" s="50"/>
      <c r="BC964" s="50"/>
      <c r="BD964" s="50"/>
      <c r="BE964" s="50"/>
      <c r="BF964" s="50"/>
      <c r="BG964" s="50"/>
      <c r="BH964" s="50"/>
      <c r="BI964" s="50"/>
      <c r="BJ964" s="50"/>
      <c r="BK964" s="50"/>
      <c r="BL964" s="50"/>
      <c r="BM964" s="50"/>
      <c r="BN964" s="50"/>
      <c r="BO964" s="50"/>
      <c r="BP964" s="50"/>
      <c r="BQ964" s="50"/>
      <c r="BR964" s="50"/>
      <c r="BS964" s="50"/>
      <c r="BT964" s="50"/>
      <c r="BU964" s="50"/>
      <c r="BV964" s="50"/>
      <c r="BW964" s="50"/>
      <c r="BX964" s="50"/>
      <c r="BY964" s="50"/>
      <c r="BZ964" s="50"/>
      <c r="CA964" s="50"/>
      <c r="CB964" s="50"/>
      <c r="CC964" s="50"/>
      <c r="CD964" s="50"/>
      <c r="CE964" s="50"/>
      <c r="CF964" s="50"/>
      <c r="CG964" s="50"/>
      <c r="CH964" s="50"/>
      <c r="CI964" s="50"/>
      <c r="CJ964" s="50"/>
      <c r="CK964" s="50"/>
      <c r="CL964" s="50"/>
      <c r="CM964" s="50"/>
    </row>
    <row r="965" spans="1:91" ht="14.25" customHeight="1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N965" s="50"/>
      <c r="AO965" s="50"/>
      <c r="AP965" s="50"/>
      <c r="AQ965" s="50"/>
      <c r="AR965" s="50"/>
      <c r="AS965" s="50"/>
      <c r="AT965" s="50"/>
      <c r="AU965" s="50"/>
      <c r="AV965" s="50"/>
      <c r="AW965" s="50"/>
      <c r="AX965" s="50"/>
      <c r="AY965" s="50"/>
      <c r="AZ965" s="50"/>
      <c r="BA965" s="50"/>
      <c r="BB965" s="50"/>
      <c r="BC965" s="50"/>
      <c r="BD965" s="50"/>
      <c r="BE965" s="50"/>
      <c r="BF965" s="50"/>
      <c r="BG965" s="50"/>
      <c r="BH965" s="50"/>
      <c r="BI965" s="50"/>
      <c r="BJ965" s="50"/>
      <c r="BK965" s="50"/>
      <c r="BL965" s="50"/>
      <c r="BM965" s="50"/>
      <c r="BN965" s="50"/>
      <c r="BO965" s="50"/>
      <c r="BP965" s="50"/>
      <c r="BQ965" s="50"/>
      <c r="BR965" s="50"/>
      <c r="BS965" s="50"/>
      <c r="BT965" s="50"/>
      <c r="BU965" s="50"/>
      <c r="BV965" s="50"/>
      <c r="BW965" s="50"/>
      <c r="BX965" s="50"/>
      <c r="BY965" s="50"/>
      <c r="BZ965" s="50"/>
      <c r="CA965" s="50"/>
      <c r="CB965" s="50"/>
      <c r="CC965" s="50"/>
      <c r="CD965" s="50"/>
      <c r="CE965" s="50"/>
      <c r="CF965" s="50"/>
      <c r="CG965" s="50"/>
      <c r="CH965" s="50"/>
      <c r="CI965" s="50"/>
      <c r="CJ965" s="50"/>
      <c r="CK965" s="50"/>
      <c r="CL965" s="50"/>
      <c r="CM965" s="50"/>
    </row>
    <row r="966" spans="1:91" ht="14.25" customHeight="1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N966" s="50"/>
      <c r="AO966" s="50"/>
      <c r="AP966" s="50"/>
      <c r="AQ966" s="50"/>
      <c r="AR966" s="50"/>
      <c r="AS966" s="50"/>
      <c r="AT966" s="50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  <c r="BO966" s="50"/>
      <c r="BP966" s="50"/>
      <c r="BQ966" s="50"/>
      <c r="BR966" s="50"/>
      <c r="BS966" s="50"/>
      <c r="BT966" s="50"/>
      <c r="BU966" s="50"/>
      <c r="BV966" s="50"/>
      <c r="BW966" s="50"/>
      <c r="BX966" s="50"/>
      <c r="BY966" s="50"/>
      <c r="BZ966" s="50"/>
      <c r="CA966" s="50"/>
      <c r="CB966" s="50"/>
      <c r="CC966" s="50"/>
      <c r="CD966" s="50"/>
      <c r="CE966" s="50"/>
      <c r="CF966" s="50"/>
      <c r="CG966" s="50"/>
      <c r="CH966" s="50"/>
      <c r="CI966" s="50"/>
      <c r="CJ966" s="50"/>
      <c r="CK966" s="50"/>
      <c r="CL966" s="50"/>
      <c r="CM966" s="50"/>
    </row>
    <row r="967" spans="1:91" ht="14.25" customHeight="1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N967" s="50"/>
      <c r="AO967" s="50"/>
      <c r="AP967" s="50"/>
      <c r="AQ967" s="50"/>
      <c r="AR967" s="50"/>
      <c r="AS967" s="50"/>
      <c r="AT967" s="50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50"/>
      <c r="BL967" s="50"/>
      <c r="BM967" s="50"/>
      <c r="BN967" s="50"/>
      <c r="BO967" s="50"/>
      <c r="BP967" s="50"/>
      <c r="BQ967" s="50"/>
      <c r="BR967" s="50"/>
      <c r="BS967" s="50"/>
      <c r="BT967" s="50"/>
      <c r="BU967" s="50"/>
      <c r="BV967" s="50"/>
      <c r="BW967" s="50"/>
      <c r="BX967" s="50"/>
      <c r="BY967" s="50"/>
      <c r="BZ967" s="50"/>
      <c r="CA967" s="50"/>
      <c r="CB967" s="50"/>
      <c r="CC967" s="50"/>
      <c r="CD967" s="50"/>
      <c r="CE967" s="50"/>
      <c r="CF967" s="50"/>
      <c r="CG967" s="50"/>
      <c r="CH967" s="50"/>
      <c r="CI967" s="50"/>
      <c r="CJ967" s="50"/>
      <c r="CK967" s="50"/>
      <c r="CL967" s="50"/>
      <c r="CM967" s="50"/>
    </row>
    <row r="968" spans="1:91" ht="14.25" customHeight="1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  <c r="AR968" s="50"/>
      <c r="AS968" s="50"/>
      <c r="AT968" s="50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50"/>
      <c r="BL968" s="50"/>
      <c r="BM968" s="50"/>
      <c r="BN968" s="50"/>
      <c r="BO968" s="50"/>
      <c r="BP968" s="50"/>
      <c r="BQ968" s="50"/>
      <c r="BR968" s="50"/>
      <c r="BS968" s="50"/>
      <c r="BT968" s="50"/>
      <c r="BU968" s="50"/>
      <c r="BV968" s="50"/>
      <c r="BW968" s="50"/>
      <c r="BX968" s="50"/>
      <c r="BY968" s="50"/>
      <c r="BZ968" s="50"/>
      <c r="CA968" s="50"/>
      <c r="CB968" s="50"/>
      <c r="CC968" s="50"/>
      <c r="CD968" s="50"/>
      <c r="CE968" s="50"/>
      <c r="CF968" s="50"/>
      <c r="CG968" s="50"/>
      <c r="CH968" s="50"/>
      <c r="CI968" s="50"/>
      <c r="CJ968" s="50"/>
      <c r="CK968" s="50"/>
      <c r="CL968" s="50"/>
      <c r="CM968" s="50"/>
    </row>
    <row r="969" spans="1:91" ht="14.25" customHeight="1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N969" s="50"/>
      <c r="AO969" s="50"/>
      <c r="AP969" s="50"/>
      <c r="AQ969" s="50"/>
      <c r="AR969" s="50"/>
      <c r="AS969" s="50"/>
      <c r="AT969" s="50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  <c r="BO969" s="50"/>
      <c r="BP969" s="50"/>
      <c r="BQ969" s="50"/>
      <c r="BR969" s="50"/>
      <c r="BS969" s="50"/>
      <c r="BT969" s="50"/>
      <c r="BU969" s="50"/>
      <c r="BV969" s="50"/>
      <c r="BW969" s="50"/>
      <c r="BX969" s="50"/>
      <c r="BY969" s="50"/>
      <c r="BZ969" s="50"/>
      <c r="CA969" s="50"/>
      <c r="CB969" s="50"/>
      <c r="CC969" s="50"/>
      <c r="CD969" s="50"/>
      <c r="CE969" s="50"/>
      <c r="CF969" s="50"/>
      <c r="CG969" s="50"/>
      <c r="CH969" s="50"/>
      <c r="CI969" s="50"/>
      <c r="CJ969" s="50"/>
      <c r="CK969" s="50"/>
      <c r="CL969" s="50"/>
      <c r="CM969" s="50"/>
    </row>
    <row r="970" spans="1:91" ht="14.25" customHeight="1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  <c r="AS970" s="50"/>
      <c r="AT970" s="50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  <c r="BO970" s="50"/>
      <c r="BP970" s="50"/>
      <c r="BQ970" s="50"/>
      <c r="BR970" s="50"/>
      <c r="BS970" s="50"/>
      <c r="BT970" s="50"/>
      <c r="BU970" s="50"/>
      <c r="BV970" s="50"/>
      <c r="BW970" s="50"/>
      <c r="BX970" s="50"/>
      <c r="BY970" s="50"/>
      <c r="BZ970" s="50"/>
      <c r="CA970" s="50"/>
      <c r="CB970" s="50"/>
      <c r="CC970" s="50"/>
      <c r="CD970" s="50"/>
      <c r="CE970" s="50"/>
      <c r="CF970" s="50"/>
      <c r="CG970" s="50"/>
      <c r="CH970" s="50"/>
      <c r="CI970" s="50"/>
      <c r="CJ970" s="50"/>
      <c r="CK970" s="50"/>
      <c r="CL970" s="50"/>
      <c r="CM970" s="50"/>
    </row>
    <row r="971" spans="1:91" ht="14.25" customHeight="1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N971" s="50"/>
      <c r="AO971" s="50"/>
      <c r="AP971" s="50"/>
      <c r="AQ971" s="50"/>
      <c r="AR971" s="50"/>
      <c r="AS971" s="50"/>
      <c r="AT971" s="50"/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  <c r="BO971" s="50"/>
      <c r="BP971" s="50"/>
      <c r="BQ971" s="50"/>
      <c r="BR971" s="50"/>
      <c r="BS971" s="50"/>
      <c r="BT971" s="50"/>
      <c r="BU971" s="50"/>
      <c r="BV971" s="50"/>
      <c r="BW971" s="50"/>
      <c r="BX971" s="50"/>
      <c r="BY971" s="50"/>
      <c r="BZ971" s="50"/>
      <c r="CA971" s="50"/>
      <c r="CB971" s="50"/>
      <c r="CC971" s="50"/>
      <c r="CD971" s="50"/>
      <c r="CE971" s="50"/>
      <c r="CF971" s="50"/>
      <c r="CG971" s="50"/>
      <c r="CH971" s="50"/>
      <c r="CI971" s="50"/>
      <c r="CJ971" s="50"/>
      <c r="CK971" s="50"/>
      <c r="CL971" s="50"/>
      <c r="CM971" s="50"/>
    </row>
    <row r="972" spans="1:91" ht="14.25" customHeight="1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N972" s="50"/>
      <c r="AO972" s="50"/>
      <c r="AP972" s="50"/>
      <c r="AQ972" s="50"/>
      <c r="AR972" s="50"/>
      <c r="AS972" s="50"/>
      <c r="AT972" s="50"/>
      <c r="AU972" s="50"/>
      <c r="AV972" s="50"/>
      <c r="AW972" s="50"/>
      <c r="AX972" s="50"/>
      <c r="AY972" s="50"/>
      <c r="AZ972" s="50"/>
      <c r="BA972" s="50"/>
      <c r="BB972" s="50"/>
      <c r="BC972" s="50"/>
      <c r="BD972" s="50"/>
      <c r="BE972" s="50"/>
      <c r="BF972" s="50"/>
      <c r="BG972" s="50"/>
      <c r="BH972" s="50"/>
      <c r="BI972" s="50"/>
      <c r="BJ972" s="50"/>
      <c r="BK972" s="50"/>
      <c r="BL972" s="50"/>
      <c r="BM972" s="50"/>
      <c r="BN972" s="50"/>
      <c r="BO972" s="50"/>
      <c r="BP972" s="50"/>
      <c r="BQ972" s="50"/>
      <c r="BR972" s="50"/>
      <c r="BS972" s="50"/>
      <c r="BT972" s="50"/>
      <c r="BU972" s="50"/>
      <c r="BV972" s="50"/>
      <c r="BW972" s="50"/>
      <c r="BX972" s="50"/>
      <c r="BY972" s="50"/>
      <c r="BZ972" s="50"/>
      <c r="CA972" s="50"/>
      <c r="CB972" s="50"/>
      <c r="CC972" s="50"/>
      <c r="CD972" s="50"/>
      <c r="CE972" s="50"/>
      <c r="CF972" s="50"/>
      <c r="CG972" s="50"/>
      <c r="CH972" s="50"/>
      <c r="CI972" s="50"/>
      <c r="CJ972" s="50"/>
      <c r="CK972" s="50"/>
      <c r="CL972" s="50"/>
      <c r="CM972" s="50"/>
    </row>
    <row r="973" spans="1:91" ht="14.25" customHeight="1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N973" s="50"/>
      <c r="AO973" s="50"/>
      <c r="AP973" s="50"/>
      <c r="AQ973" s="50"/>
      <c r="AR973" s="50"/>
      <c r="AS973" s="50"/>
      <c r="AT973" s="50"/>
      <c r="AU973" s="50"/>
      <c r="AV973" s="50"/>
      <c r="AW973" s="50"/>
      <c r="AX973" s="50"/>
      <c r="AY973" s="50"/>
      <c r="AZ973" s="50"/>
      <c r="BA973" s="50"/>
      <c r="BB973" s="50"/>
      <c r="BC973" s="50"/>
      <c r="BD973" s="50"/>
      <c r="BE973" s="50"/>
      <c r="BF973" s="50"/>
      <c r="BG973" s="50"/>
      <c r="BH973" s="50"/>
      <c r="BI973" s="50"/>
      <c r="BJ973" s="50"/>
      <c r="BK973" s="50"/>
      <c r="BL973" s="50"/>
      <c r="BM973" s="50"/>
      <c r="BN973" s="50"/>
      <c r="BO973" s="50"/>
      <c r="BP973" s="50"/>
      <c r="BQ973" s="50"/>
      <c r="BR973" s="50"/>
      <c r="BS973" s="50"/>
      <c r="BT973" s="50"/>
      <c r="BU973" s="50"/>
      <c r="BV973" s="50"/>
      <c r="BW973" s="50"/>
      <c r="BX973" s="50"/>
      <c r="BY973" s="50"/>
      <c r="BZ973" s="50"/>
      <c r="CA973" s="50"/>
      <c r="CB973" s="50"/>
      <c r="CC973" s="50"/>
      <c r="CD973" s="50"/>
      <c r="CE973" s="50"/>
      <c r="CF973" s="50"/>
      <c r="CG973" s="50"/>
      <c r="CH973" s="50"/>
      <c r="CI973" s="50"/>
      <c r="CJ973" s="50"/>
      <c r="CK973" s="50"/>
      <c r="CL973" s="50"/>
      <c r="CM973" s="50"/>
    </row>
    <row r="974" spans="1:91" ht="14.25" customHeight="1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N974" s="50"/>
      <c r="AO974" s="50"/>
      <c r="AP974" s="50"/>
      <c r="AQ974" s="50"/>
      <c r="AR974" s="50"/>
      <c r="AS974" s="50"/>
      <c r="AT974" s="50"/>
      <c r="AU974" s="50"/>
      <c r="AV974" s="50"/>
      <c r="AW974" s="50"/>
      <c r="AX974" s="50"/>
      <c r="AY974" s="50"/>
      <c r="AZ974" s="50"/>
      <c r="BA974" s="50"/>
      <c r="BB974" s="50"/>
      <c r="BC974" s="50"/>
      <c r="BD974" s="50"/>
      <c r="BE974" s="50"/>
      <c r="BF974" s="50"/>
      <c r="BG974" s="50"/>
      <c r="BH974" s="50"/>
      <c r="BI974" s="50"/>
      <c r="BJ974" s="50"/>
      <c r="BK974" s="50"/>
      <c r="BL974" s="50"/>
      <c r="BM974" s="50"/>
      <c r="BN974" s="50"/>
      <c r="BO974" s="50"/>
      <c r="BP974" s="50"/>
      <c r="BQ974" s="50"/>
      <c r="BR974" s="50"/>
      <c r="BS974" s="50"/>
      <c r="BT974" s="50"/>
      <c r="BU974" s="50"/>
      <c r="BV974" s="50"/>
      <c r="BW974" s="50"/>
      <c r="BX974" s="50"/>
      <c r="BY974" s="50"/>
      <c r="BZ974" s="50"/>
      <c r="CA974" s="50"/>
      <c r="CB974" s="50"/>
      <c r="CC974" s="50"/>
      <c r="CD974" s="50"/>
      <c r="CE974" s="50"/>
      <c r="CF974" s="50"/>
      <c r="CG974" s="50"/>
      <c r="CH974" s="50"/>
      <c r="CI974" s="50"/>
      <c r="CJ974" s="50"/>
      <c r="CK974" s="50"/>
      <c r="CL974" s="50"/>
      <c r="CM974" s="50"/>
    </row>
    <row r="975" spans="1:91" ht="14.25" customHeight="1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N975" s="50"/>
      <c r="AO975" s="50"/>
      <c r="AP975" s="50"/>
      <c r="AQ975" s="50"/>
      <c r="AR975" s="50"/>
      <c r="AS975" s="50"/>
      <c r="AT975" s="50"/>
      <c r="AU975" s="50"/>
      <c r="AV975" s="50"/>
      <c r="AW975" s="50"/>
      <c r="AX975" s="50"/>
      <c r="AY975" s="50"/>
      <c r="AZ975" s="50"/>
      <c r="BA975" s="50"/>
      <c r="BB975" s="50"/>
      <c r="BC975" s="50"/>
      <c r="BD975" s="50"/>
      <c r="BE975" s="50"/>
      <c r="BF975" s="50"/>
      <c r="BG975" s="50"/>
      <c r="BH975" s="50"/>
      <c r="BI975" s="50"/>
      <c r="BJ975" s="50"/>
      <c r="BK975" s="50"/>
      <c r="BL975" s="50"/>
      <c r="BM975" s="50"/>
      <c r="BN975" s="50"/>
      <c r="BO975" s="50"/>
      <c r="BP975" s="50"/>
      <c r="BQ975" s="50"/>
      <c r="BR975" s="50"/>
      <c r="BS975" s="50"/>
      <c r="BT975" s="50"/>
      <c r="BU975" s="50"/>
      <c r="BV975" s="50"/>
      <c r="BW975" s="50"/>
      <c r="BX975" s="50"/>
      <c r="BY975" s="50"/>
      <c r="BZ975" s="50"/>
      <c r="CA975" s="50"/>
      <c r="CB975" s="50"/>
      <c r="CC975" s="50"/>
      <c r="CD975" s="50"/>
      <c r="CE975" s="50"/>
      <c r="CF975" s="50"/>
      <c r="CG975" s="50"/>
      <c r="CH975" s="50"/>
      <c r="CI975" s="50"/>
      <c r="CJ975" s="50"/>
      <c r="CK975" s="50"/>
      <c r="CL975" s="50"/>
      <c r="CM975" s="50"/>
    </row>
    <row r="976" spans="1:91" ht="14.25" customHeight="1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N976" s="50"/>
      <c r="AO976" s="50"/>
      <c r="AP976" s="50"/>
      <c r="AQ976" s="50"/>
      <c r="AR976" s="50"/>
      <c r="AS976" s="50"/>
      <c r="AT976" s="50"/>
      <c r="AU976" s="50"/>
      <c r="AV976" s="50"/>
      <c r="AW976" s="50"/>
      <c r="AX976" s="50"/>
      <c r="AY976" s="50"/>
      <c r="AZ976" s="50"/>
      <c r="BA976" s="50"/>
      <c r="BB976" s="50"/>
      <c r="BC976" s="50"/>
      <c r="BD976" s="50"/>
      <c r="BE976" s="50"/>
      <c r="BF976" s="50"/>
      <c r="BG976" s="50"/>
      <c r="BH976" s="50"/>
      <c r="BI976" s="50"/>
      <c r="BJ976" s="50"/>
      <c r="BK976" s="50"/>
      <c r="BL976" s="50"/>
      <c r="BM976" s="50"/>
      <c r="BN976" s="50"/>
      <c r="BO976" s="50"/>
      <c r="BP976" s="50"/>
      <c r="BQ976" s="50"/>
      <c r="BR976" s="50"/>
      <c r="BS976" s="50"/>
      <c r="BT976" s="50"/>
      <c r="BU976" s="50"/>
      <c r="BV976" s="50"/>
      <c r="BW976" s="50"/>
      <c r="BX976" s="50"/>
      <c r="BY976" s="50"/>
      <c r="BZ976" s="50"/>
      <c r="CA976" s="50"/>
      <c r="CB976" s="50"/>
      <c r="CC976" s="50"/>
      <c r="CD976" s="50"/>
      <c r="CE976" s="50"/>
      <c r="CF976" s="50"/>
      <c r="CG976" s="50"/>
      <c r="CH976" s="50"/>
      <c r="CI976" s="50"/>
      <c r="CJ976" s="50"/>
      <c r="CK976" s="50"/>
      <c r="CL976" s="50"/>
      <c r="CM976" s="50"/>
    </row>
    <row r="977" spans="1:91" ht="14.25" customHeight="1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N977" s="50"/>
      <c r="AO977" s="50"/>
      <c r="AP977" s="50"/>
      <c r="AQ977" s="50"/>
      <c r="AR977" s="50"/>
      <c r="AS977" s="50"/>
      <c r="AT977" s="50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  <c r="BO977" s="50"/>
      <c r="BP977" s="50"/>
      <c r="BQ977" s="50"/>
      <c r="BR977" s="50"/>
      <c r="BS977" s="50"/>
      <c r="BT977" s="50"/>
      <c r="BU977" s="50"/>
      <c r="BV977" s="50"/>
      <c r="BW977" s="50"/>
      <c r="BX977" s="50"/>
      <c r="BY977" s="50"/>
      <c r="BZ977" s="50"/>
      <c r="CA977" s="50"/>
      <c r="CB977" s="50"/>
      <c r="CC977" s="50"/>
      <c r="CD977" s="50"/>
      <c r="CE977" s="50"/>
      <c r="CF977" s="50"/>
      <c r="CG977" s="50"/>
      <c r="CH977" s="50"/>
      <c r="CI977" s="50"/>
      <c r="CJ977" s="50"/>
      <c r="CK977" s="50"/>
      <c r="CL977" s="50"/>
      <c r="CM977" s="50"/>
    </row>
    <row r="978" spans="1:91" ht="14.25" customHeight="1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  <c r="AM978" s="50"/>
      <c r="AN978" s="50"/>
      <c r="AO978" s="50"/>
      <c r="AP978" s="50"/>
      <c r="AQ978" s="50"/>
      <c r="AR978" s="50"/>
      <c r="AS978" s="50"/>
      <c r="AT978" s="50"/>
      <c r="AU978" s="50"/>
      <c r="AV978" s="50"/>
      <c r="AW978" s="50"/>
      <c r="AX978" s="50"/>
      <c r="AY978" s="50"/>
      <c r="AZ978" s="50"/>
      <c r="BA978" s="50"/>
      <c r="BB978" s="50"/>
      <c r="BC978" s="50"/>
      <c r="BD978" s="50"/>
      <c r="BE978" s="50"/>
      <c r="BF978" s="50"/>
      <c r="BG978" s="50"/>
      <c r="BH978" s="50"/>
      <c r="BI978" s="50"/>
      <c r="BJ978" s="50"/>
      <c r="BK978" s="50"/>
      <c r="BL978" s="50"/>
      <c r="BM978" s="50"/>
      <c r="BN978" s="50"/>
      <c r="BO978" s="50"/>
      <c r="BP978" s="50"/>
      <c r="BQ978" s="50"/>
      <c r="BR978" s="50"/>
      <c r="BS978" s="50"/>
      <c r="BT978" s="50"/>
      <c r="BU978" s="50"/>
      <c r="BV978" s="50"/>
      <c r="BW978" s="50"/>
      <c r="BX978" s="50"/>
      <c r="BY978" s="50"/>
      <c r="BZ978" s="50"/>
      <c r="CA978" s="50"/>
      <c r="CB978" s="50"/>
      <c r="CC978" s="50"/>
      <c r="CD978" s="50"/>
      <c r="CE978" s="50"/>
      <c r="CF978" s="50"/>
      <c r="CG978" s="50"/>
      <c r="CH978" s="50"/>
      <c r="CI978" s="50"/>
      <c r="CJ978" s="50"/>
      <c r="CK978" s="50"/>
      <c r="CL978" s="50"/>
      <c r="CM978" s="50"/>
    </row>
    <row r="979" spans="1:91" ht="14.25" customHeight="1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N979" s="50"/>
      <c r="AO979" s="50"/>
      <c r="AP979" s="50"/>
      <c r="AQ979" s="50"/>
      <c r="AR979" s="50"/>
      <c r="AS979" s="50"/>
      <c r="AT979" s="50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  <c r="BG979" s="50"/>
      <c r="BH979" s="50"/>
      <c r="BI979" s="50"/>
      <c r="BJ979" s="50"/>
      <c r="BK979" s="50"/>
      <c r="BL979" s="50"/>
      <c r="BM979" s="50"/>
      <c r="BN979" s="50"/>
      <c r="BO979" s="50"/>
      <c r="BP979" s="50"/>
      <c r="BQ979" s="50"/>
      <c r="BR979" s="50"/>
      <c r="BS979" s="50"/>
      <c r="BT979" s="50"/>
      <c r="BU979" s="50"/>
      <c r="BV979" s="50"/>
      <c r="BW979" s="50"/>
      <c r="BX979" s="50"/>
      <c r="BY979" s="50"/>
      <c r="BZ979" s="50"/>
      <c r="CA979" s="50"/>
      <c r="CB979" s="50"/>
      <c r="CC979" s="50"/>
      <c r="CD979" s="50"/>
      <c r="CE979" s="50"/>
      <c r="CF979" s="50"/>
      <c r="CG979" s="50"/>
      <c r="CH979" s="50"/>
      <c r="CI979" s="50"/>
      <c r="CJ979" s="50"/>
      <c r="CK979" s="50"/>
      <c r="CL979" s="50"/>
      <c r="CM979" s="50"/>
    </row>
    <row r="980" spans="1:91" ht="14.25" customHeight="1" x14ac:dyDescent="0.3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  <c r="AM980" s="50"/>
      <c r="AN980" s="50"/>
      <c r="AO980" s="50"/>
      <c r="AP980" s="50"/>
      <c r="AQ980" s="50"/>
      <c r="AR980" s="50"/>
      <c r="AS980" s="50"/>
      <c r="AT980" s="50"/>
      <c r="AU980" s="50"/>
      <c r="AV980" s="50"/>
      <c r="AW980" s="50"/>
      <c r="AX980" s="50"/>
      <c r="AY980" s="50"/>
      <c r="AZ980" s="50"/>
      <c r="BA980" s="50"/>
      <c r="BB980" s="50"/>
      <c r="BC980" s="50"/>
      <c r="BD980" s="50"/>
      <c r="BE980" s="50"/>
      <c r="BF980" s="50"/>
      <c r="BG980" s="50"/>
      <c r="BH980" s="50"/>
      <c r="BI980" s="50"/>
      <c r="BJ980" s="50"/>
      <c r="BK980" s="50"/>
      <c r="BL980" s="50"/>
      <c r="BM980" s="50"/>
      <c r="BN980" s="50"/>
      <c r="BO980" s="50"/>
      <c r="BP980" s="50"/>
      <c r="BQ980" s="50"/>
      <c r="BR980" s="50"/>
      <c r="BS980" s="50"/>
      <c r="BT980" s="50"/>
      <c r="BU980" s="50"/>
      <c r="BV980" s="50"/>
      <c r="BW980" s="50"/>
      <c r="BX980" s="50"/>
      <c r="BY980" s="50"/>
      <c r="BZ980" s="50"/>
      <c r="CA980" s="50"/>
      <c r="CB980" s="50"/>
      <c r="CC980" s="50"/>
      <c r="CD980" s="50"/>
      <c r="CE980" s="50"/>
      <c r="CF980" s="50"/>
      <c r="CG980" s="50"/>
      <c r="CH980" s="50"/>
      <c r="CI980" s="50"/>
      <c r="CJ980" s="50"/>
      <c r="CK980" s="50"/>
      <c r="CL980" s="50"/>
      <c r="CM980" s="50"/>
    </row>
    <row r="981" spans="1:91" ht="14.25" customHeight="1" x14ac:dyDescent="0.3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  <c r="AM981" s="50"/>
      <c r="AN981" s="50"/>
      <c r="AO981" s="50"/>
      <c r="AP981" s="50"/>
      <c r="AQ981" s="50"/>
      <c r="AR981" s="50"/>
      <c r="AS981" s="50"/>
      <c r="AT981" s="50"/>
      <c r="AU981" s="50"/>
      <c r="AV981" s="50"/>
      <c r="AW981" s="50"/>
      <c r="AX981" s="50"/>
      <c r="AY981" s="50"/>
      <c r="AZ981" s="50"/>
      <c r="BA981" s="50"/>
      <c r="BB981" s="50"/>
      <c r="BC981" s="50"/>
      <c r="BD981" s="50"/>
      <c r="BE981" s="50"/>
      <c r="BF981" s="50"/>
      <c r="BG981" s="50"/>
      <c r="BH981" s="50"/>
      <c r="BI981" s="50"/>
      <c r="BJ981" s="50"/>
      <c r="BK981" s="50"/>
      <c r="BL981" s="50"/>
      <c r="BM981" s="50"/>
      <c r="BN981" s="50"/>
      <c r="BO981" s="50"/>
      <c r="BP981" s="50"/>
      <c r="BQ981" s="50"/>
      <c r="BR981" s="50"/>
      <c r="BS981" s="50"/>
      <c r="BT981" s="50"/>
      <c r="BU981" s="50"/>
      <c r="BV981" s="50"/>
      <c r="BW981" s="50"/>
      <c r="BX981" s="50"/>
      <c r="BY981" s="50"/>
      <c r="BZ981" s="50"/>
      <c r="CA981" s="50"/>
      <c r="CB981" s="50"/>
      <c r="CC981" s="50"/>
      <c r="CD981" s="50"/>
      <c r="CE981" s="50"/>
      <c r="CF981" s="50"/>
      <c r="CG981" s="50"/>
      <c r="CH981" s="50"/>
      <c r="CI981" s="50"/>
      <c r="CJ981" s="50"/>
      <c r="CK981" s="50"/>
      <c r="CL981" s="50"/>
      <c r="CM981" s="50"/>
    </row>
    <row r="982" spans="1:91" ht="14.25" customHeight="1" x14ac:dyDescent="0.3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  <c r="AM982" s="50"/>
      <c r="AN982" s="50"/>
      <c r="AO982" s="50"/>
      <c r="AP982" s="50"/>
      <c r="AQ982" s="50"/>
      <c r="AR982" s="50"/>
      <c r="AS982" s="50"/>
      <c r="AT982" s="50"/>
      <c r="AU982" s="50"/>
      <c r="AV982" s="50"/>
      <c r="AW982" s="50"/>
      <c r="AX982" s="50"/>
      <c r="AY982" s="50"/>
      <c r="AZ982" s="50"/>
      <c r="BA982" s="50"/>
      <c r="BB982" s="50"/>
      <c r="BC982" s="50"/>
      <c r="BD982" s="50"/>
      <c r="BE982" s="50"/>
      <c r="BF982" s="50"/>
      <c r="BG982" s="50"/>
      <c r="BH982" s="50"/>
      <c r="BI982" s="50"/>
      <c r="BJ982" s="50"/>
      <c r="BK982" s="50"/>
      <c r="BL982" s="50"/>
      <c r="BM982" s="50"/>
      <c r="BN982" s="50"/>
      <c r="BO982" s="50"/>
      <c r="BP982" s="50"/>
      <c r="BQ982" s="50"/>
      <c r="BR982" s="50"/>
      <c r="BS982" s="50"/>
      <c r="BT982" s="50"/>
      <c r="BU982" s="50"/>
      <c r="BV982" s="50"/>
      <c r="BW982" s="50"/>
      <c r="BX982" s="50"/>
      <c r="BY982" s="50"/>
      <c r="BZ982" s="50"/>
      <c r="CA982" s="50"/>
      <c r="CB982" s="50"/>
      <c r="CC982" s="50"/>
      <c r="CD982" s="50"/>
      <c r="CE982" s="50"/>
      <c r="CF982" s="50"/>
      <c r="CG982" s="50"/>
      <c r="CH982" s="50"/>
      <c r="CI982" s="50"/>
      <c r="CJ982" s="50"/>
      <c r="CK982" s="50"/>
      <c r="CL982" s="50"/>
      <c r="CM982" s="50"/>
    </row>
    <row r="983" spans="1:91" ht="14.25" customHeight="1" x14ac:dyDescent="0.3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  <c r="AM983" s="50"/>
      <c r="AN983" s="50"/>
      <c r="AO983" s="50"/>
      <c r="AP983" s="50"/>
      <c r="AQ983" s="50"/>
      <c r="AR983" s="50"/>
      <c r="AS983" s="50"/>
      <c r="AT983" s="50"/>
      <c r="AU983" s="50"/>
      <c r="AV983" s="50"/>
      <c r="AW983" s="50"/>
      <c r="AX983" s="50"/>
      <c r="AY983" s="50"/>
      <c r="AZ983" s="50"/>
      <c r="BA983" s="50"/>
      <c r="BB983" s="50"/>
      <c r="BC983" s="50"/>
      <c r="BD983" s="50"/>
      <c r="BE983" s="50"/>
      <c r="BF983" s="50"/>
      <c r="BG983" s="50"/>
      <c r="BH983" s="50"/>
      <c r="BI983" s="50"/>
      <c r="BJ983" s="50"/>
      <c r="BK983" s="50"/>
      <c r="BL983" s="50"/>
      <c r="BM983" s="50"/>
      <c r="BN983" s="50"/>
      <c r="BO983" s="50"/>
      <c r="BP983" s="50"/>
      <c r="BQ983" s="50"/>
      <c r="BR983" s="50"/>
      <c r="BS983" s="50"/>
      <c r="BT983" s="50"/>
      <c r="BU983" s="50"/>
      <c r="BV983" s="50"/>
      <c r="BW983" s="50"/>
      <c r="BX983" s="50"/>
      <c r="BY983" s="50"/>
      <c r="BZ983" s="50"/>
      <c r="CA983" s="50"/>
      <c r="CB983" s="50"/>
      <c r="CC983" s="50"/>
      <c r="CD983" s="50"/>
      <c r="CE983" s="50"/>
      <c r="CF983" s="50"/>
      <c r="CG983" s="50"/>
      <c r="CH983" s="50"/>
      <c r="CI983" s="50"/>
      <c r="CJ983" s="50"/>
      <c r="CK983" s="50"/>
      <c r="CL983" s="50"/>
      <c r="CM983" s="50"/>
    </row>
    <row r="984" spans="1:91" ht="14.25" customHeight="1" x14ac:dyDescent="0.3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  <c r="AM984" s="50"/>
      <c r="AN984" s="50"/>
      <c r="AO984" s="50"/>
      <c r="AP984" s="50"/>
      <c r="AQ984" s="50"/>
      <c r="AR984" s="50"/>
      <c r="AS984" s="50"/>
      <c r="AT984" s="50"/>
      <c r="AU984" s="50"/>
      <c r="AV984" s="50"/>
      <c r="AW984" s="50"/>
      <c r="AX984" s="50"/>
      <c r="AY984" s="50"/>
      <c r="AZ984" s="50"/>
      <c r="BA984" s="50"/>
      <c r="BB984" s="50"/>
      <c r="BC984" s="50"/>
      <c r="BD984" s="50"/>
      <c r="BE984" s="50"/>
      <c r="BF984" s="50"/>
      <c r="BG984" s="50"/>
      <c r="BH984" s="50"/>
      <c r="BI984" s="50"/>
      <c r="BJ984" s="50"/>
      <c r="BK984" s="50"/>
      <c r="BL984" s="50"/>
      <c r="BM984" s="50"/>
      <c r="BN984" s="50"/>
      <c r="BO984" s="50"/>
      <c r="BP984" s="50"/>
      <c r="BQ984" s="50"/>
      <c r="BR984" s="50"/>
      <c r="BS984" s="50"/>
      <c r="BT984" s="50"/>
      <c r="BU984" s="50"/>
      <c r="BV984" s="50"/>
      <c r="BW984" s="50"/>
      <c r="BX984" s="50"/>
      <c r="BY984" s="50"/>
      <c r="BZ984" s="50"/>
      <c r="CA984" s="50"/>
      <c r="CB984" s="50"/>
      <c r="CC984" s="50"/>
      <c r="CD984" s="50"/>
      <c r="CE984" s="50"/>
      <c r="CF984" s="50"/>
      <c r="CG984" s="50"/>
      <c r="CH984" s="50"/>
      <c r="CI984" s="50"/>
      <c r="CJ984" s="50"/>
      <c r="CK984" s="50"/>
      <c r="CL984" s="50"/>
      <c r="CM984" s="50"/>
    </row>
    <row r="985" spans="1:91" ht="14.25" customHeight="1" x14ac:dyDescent="0.3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  <c r="AM985" s="50"/>
      <c r="AN985" s="50"/>
      <c r="AO985" s="50"/>
      <c r="AP985" s="50"/>
      <c r="AQ985" s="50"/>
      <c r="AR985" s="50"/>
      <c r="AS985" s="50"/>
      <c r="AT985" s="50"/>
      <c r="AU985" s="50"/>
      <c r="AV985" s="50"/>
      <c r="AW985" s="50"/>
      <c r="AX985" s="50"/>
      <c r="AY985" s="50"/>
      <c r="AZ985" s="50"/>
      <c r="BA985" s="50"/>
      <c r="BB985" s="50"/>
      <c r="BC985" s="50"/>
      <c r="BD985" s="50"/>
      <c r="BE985" s="50"/>
      <c r="BF985" s="50"/>
      <c r="BG985" s="50"/>
      <c r="BH985" s="50"/>
      <c r="BI985" s="50"/>
      <c r="BJ985" s="50"/>
      <c r="BK985" s="50"/>
      <c r="BL985" s="50"/>
      <c r="BM985" s="50"/>
      <c r="BN985" s="50"/>
      <c r="BO985" s="50"/>
      <c r="BP985" s="50"/>
      <c r="BQ985" s="50"/>
      <c r="BR985" s="50"/>
      <c r="BS985" s="50"/>
      <c r="BT985" s="50"/>
      <c r="BU985" s="50"/>
      <c r="BV985" s="50"/>
      <c r="BW985" s="50"/>
      <c r="BX985" s="50"/>
      <c r="BY985" s="50"/>
      <c r="BZ985" s="50"/>
      <c r="CA985" s="50"/>
      <c r="CB985" s="50"/>
      <c r="CC985" s="50"/>
      <c r="CD985" s="50"/>
      <c r="CE985" s="50"/>
      <c r="CF985" s="50"/>
      <c r="CG985" s="50"/>
      <c r="CH985" s="50"/>
      <c r="CI985" s="50"/>
      <c r="CJ985" s="50"/>
      <c r="CK985" s="50"/>
      <c r="CL985" s="50"/>
      <c r="CM985" s="50"/>
    </row>
    <row r="986" spans="1:91" ht="14.25" customHeight="1" x14ac:dyDescent="0.3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  <c r="AM986" s="50"/>
      <c r="AN986" s="50"/>
      <c r="AO986" s="50"/>
      <c r="AP986" s="50"/>
      <c r="AQ986" s="50"/>
      <c r="AR986" s="50"/>
      <c r="AS986" s="50"/>
      <c r="AT986" s="50"/>
      <c r="AU986" s="50"/>
      <c r="AV986" s="50"/>
      <c r="AW986" s="50"/>
      <c r="AX986" s="50"/>
      <c r="AY986" s="50"/>
      <c r="AZ986" s="50"/>
      <c r="BA986" s="50"/>
      <c r="BB986" s="50"/>
      <c r="BC986" s="50"/>
      <c r="BD986" s="50"/>
      <c r="BE986" s="50"/>
      <c r="BF986" s="50"/>
      <c r="BG986" s="50"/>
      <c r="BH986" s="50"/>
      <c r="BI986" s="50"/>
      <c r="BJ986" s="50"/>
      <c r="BK986" s="50"/>
      <c r="BL986" s="50"/>
      <c r="BM986" s="50"/>
      <c r="BN986" s="50"/>
      <c r="BO986" s="50"/>
      <c r="BP986" s="50"/>
      <c r="BQ986" s="50"/>
      <c r="BR986" s="50"/>
      <c r="BS986" s="50"/>
      <c r="BT986" s="50"/>
      <c r="BU986" s="50"/>
      <c r="BV986" s="50"/>
      <c r="BW986" s="50"/>
      <c r="BX986" s="50"/>
      <c r="BY986" s="50"/>
      <c r="BZ986" s="50"/>
      <c r="CA986" s="50"/>
      <c r="CB986" s="50"/>
      <c r="CC986" s="50"/>
      <c r="CD986" s="50"/>
      <c r="CE986" s="50"/>
      <c r="CF986" s="50"/>
      <c r="CG986" s="50"/>
      <c r="CH986" s="50"/>
      <c r="CI986" s="50"/>
      <c r="CJ986" s="50"/>
      <c r="CK986" s="50"/>
      <c r="CL986" s="50"/>
      <c r="CM986" s="50"/>
    </row>
    <row r="987" spans="1:91" ht="14.25" customHeight="1" x14ac:dyDescent="0.3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  <c r="AM987" s="50"/>
      <c r="AN987" s="50"/>
      <c r="AO987" s="50"/>
      <c r="AP987" s="50"/>
      <c r="AQ987" s="50"/>
      <c r="AR987" s="50"/>
      <c r="AS987" s="50"/>
      <c r="AT987" s="50"/>
      <c r="AU987" s="50"/>
      <c r="AV987" s="50"/>
      <c r="AW987" s="50"/>
      <c r="AX987" s="50"/>
      <c r="AY987" s="50"/>
      <c r="AZ987" s="50"/>
      <c r="BA987" s="50"/>
      <c r="BB987" s="50"/>
      <c r="BC987" s="50"/>
      <c r="BD987" s="50"/>
      <c r="BE987" s="50"/>
      <c r="BF987" s="50"/>
      <c r="BG987" s="50"/>
      <c r="BH987" s="50"/>
      <c r="BI987" s="50"/>
      <c r="BJ987" s="50"/>
      <c r="BK987" s="50"/>
      <c r="BL987" s="50"/>
      <c r="BM987" s="50"/>
      <c r="BN987" s="50"/>
      <c r="BO987" s="50"/>
      <c r="BP987" s="50"/>
      <c r="BQ987" s="50"/>
      <c r="BR987" s="50"/>
      <c r="BS987" s="50"/>
      <c r="BT987" s="50"/>
      <c r="BU987" s="50"/>
      <c r="BV987" s="50"/>
      <c r="BW987" s="50"/>
      <c r="BX987" s="50"/>
      <c r="BY987" s="50"/>
      <c r="BZ987" s="50"/>
      <c r="CA987" s="50"/>
      <c r="CB987" s="50"/>
      <c r="CC987" s="50"/>
      <c r="CD987" s="50"/>
      <c r="CE987" s="50"/>
      <c r="CF987" s="50"/>
      <c r="CG987" s="50"/>
      <c r="CH987" s="50"/>
      <c r="CI987" s="50"/>
      <c r="CJ987" s="50"/>
      <c r="CK987" s="50"/>
      <c r="CL987" s="50"/>
      <c r="CM987" s="50"/>
    </row>
    <row r="988" spans="1:91" ht="14.25" customHeight="1" x14ac:dyDescent="0.3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  <c r="AM988" s="50"/>
      <c r="AN988" s="50"/>
      <c r="AO988" s="50"/>
      <c r="AP988" s="50"/>
      <c r="AQ988" s="50"/>
      <c r="AR988" s="50"/>
      <c r="AS988" s="50"/>
      <c r="AT988" s="50"/>
      <c r="AU988" s="50"/>
      <c r="AV988" s="50"/>
      <c r="AW988" s="50"/>
      <c r="AX988" s="50"/>
      <c r="AY988" s="50"/>
      <c r="AZ988" s="50"/>
      <c r="BA988" s="50"/>
      <c r="BB988" s="50"/>
      <c r="BC988" s="50"/>
      <c r="BD988" s="50"/>
      <c r="BE988" s="50"/>
      <c r="BF988" s="50"/>
      <c r="BG988" s="50"/>
      <c r="BH988" s="50"/>
      <c r="BI988" s="50"/>
      <c r="BJ988" s="50"/>
      <c r="BK988" s="50"/>
      <c r="BL988" s="50"/>
      <c r="BM988" s="50"/>
      <c r="BN988" s="50"/>
      <c r="BO988" s="50"/>
      <c r="BP988" s="50"/>
      <c r="BQ988" s="50"/>
      <c r="BR988" s="50"/>
      <c r="BS988" s="50"/>
      <c r="BT988" s="50"/>
      <c r="BU988" s="50"/>
      <c r="BV988" s="50"/>
      <c r="BW988" s="50"/>
      <c r="BX988" s="50"/>
      <c r="BY988" s="50"/>
      <c r="BZ988" s="50"/>
      <c r="CA988" s="50"/>
      <c r="CB988" s="50"/>
      <c r="CC988" s="50"/>
      <c r="CD988" s="50"/>
      <c r="CE988" s="50"/>
      <c r="CF988" s="50"/>
      <c r="CG988" s="50"/>
      <c r="CH988" s="50"/>
      <c r="CI988" s="50"/>
      <c r="CJ988" s="50"/>
      <c r="CK988" s="50"/>
      <c r="CL988" s="50"/>
      <c r="CM988" s="50"/>
    </row>
    <row r="989" spans="1:91" ht="14.25" customHeight="1" x14ac:dyDescent="0.3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  <c r="AM989" s="50"/>
      <c r="AN989" s="50"/>
      <c r="AO989" s="50"/>
      <c r="AP989" s="50"/>
      <c r="AQ989" s="50"/>
      <c r="AR989" s="50"/>
      <c r="AS989" s="50"/>
      <c r="AT989" s="50"/>
      <c r="AU989" s="50"/>
      <c r="AV989" s="50"/>
      <c r="AW989" s="50"/>
      <c r="AX989" s="50"/>
      <c r="AY989" s="50"/>
      <c r="AZ989" s="50"/>
      <c r="BA989" s="50"/>
      <c r="BB989" s="50"/>
      <c r="BC989" s="50"/>
      <c r="BD989" s="50"/>
      <c r="BE989" s="50"/>
      <c r="BF989" s="50"/>
      <c r="BG989" s="50"/>
      <c r="BH989" s="50"/>
      <c r="BI989" s="50"/>
      <c r="BJ989" s="50"/>
      <c r="BK989" s="50"/>
      <c r="BL989" s="50"/>
      <c r="BM989" s="50"/>
      <c r="BN989" s="50"/>
      <c r="BO989" s="50"/>
      <c r="BP989" s="50"/>
      <c r="BQ989" s="50"/>
      <c r="BR989" s="50"/>
      <c r="BS989" s="50"/>
      <c r="BT989" s="50"/>
      <c r="BU989" s="50"/>
      <c r="BV989" s="50"/>
      <c r="BW989" s="50"/>
      <c r="BX989" s="50"/>
      <c r="BY989" s="50"/>
      <c r="BZ989" s="50"/>
      <c r="CA989" s="50"/>
      <c r="CB989" s="50"/>
      <c r="CC989" s="50"/>
      <c r="CD989" s="50"/>
      <c r="CE989" s="50"/>
      <c r="CF989" s="50"/>
      <c r="CG989" s="50"/>
      <c r="CH989" s="50"/>
      <c r="CI989" s="50"/>
      <c r="CJ989" s="50"/>
      <c r="CK989" s="50"/>
      <c r="CL989" s="50"/>
      <c r="CM989" s="50"/>
    </row>
    <row r="990" spans="1:91" ht="14.25" customHeight="1" x14ac:dyDescent="0.3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  <c r="AM990" s="50"/>
      <c r="AN990" s="50"/>
      <c r="AO990" s="50"/>
      <c r="AP990" s="50"/>
      <c r="AQ990" s="50"/>
      <c r="AR990" s="50"/>
      <c r="AS990" s="50"/>
      <c r="AT990" s="50"/>
      <c r="AU990" s="50"/>
      <c r="AV990" s="50"/>
      <c r="AW990" s="50"/>
      <c r="AX990" s="50"/>
      <c r="AY990" s="50"/>
      <c r="AZ990" s="50"/>
      <c r="BA990" s="50"/>
      <c r="BB990" s="50"/>
      <c r="BC990" s="50"/>
      <c r="BD990" s="50"/>
      <c r="BE990" s="50"/>
      <c r="BF990" s="50"/>
      <c r="BG990" s="50"/>
      <c r="BH990" s="50"/>
      <c r="BI990" s="50"/>
      <c r="BJ990" s="50"/>
      <c r="BK990" s="50"/>
      <c r="BL990" s="50"/>
      <c r="BM990" s="50"/>
      <c r="BN990" s="50"/>
      <c r="BO990" s="50"/>
      <c r="BP990" s="50"/>
      <c r="BQ990" s="50"/>
      <c r="BR990" s="50"/>
      <c r="BS990" s="50"/>
      <c r="BT990" s="50"/>
      <c r="BU990" s="50"/>
      <c r="BV990" s="50"/>
      <c r="BW990" s="50"/>
      <c r="BX990" s="50"/>
      <c r="BY990" s="50"/>
      <c r="BZ990" s="50"/>
      <c r="CA990" s="50"/>
      <c r="CB990" s="50"/>
      <c r="CC990" s="50"/>
      <c r="CD990" s="50"/>
      <c r="CE990" s="50"/>
      <c r="CF990" s="50"/>
      <c r="CG990" s="50"/>
      <c r="CH990" s="50"/>
      <c r="CI990" s="50"/>
      <c r="CJ990" s="50"/>
      <c r="CK990" s="50"/>
      <c r="CL990" s="50"/>
      <c r="CM990" s="50"/>
    </row>
    <row r="991" spans="1:91" ht="14.25" customHeight="1" x14ac:dyDescent="0.3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  <c r="AM991" s="50"/>
      <c r="AN991" s="50"/>
      <c r="AO991" s="50"/>
      <c r="AP991" s="50"/>
      <c r="AQ991" s="50"/>
      <c r="AR991" s="50"/>
      <c r="AS991" s="50"/>
      <c r="AT991" s="50"/>
      <c r="AU991" s="50"/>
      <c r="AV991" s="50"/>
      <c r="AW991" s="50"/>
      <c r="AX991" s="50"/>
      <c r="AY991" s="50"/>
      <c r="AZ991" s="50"/>
      <c r="BA991" s="50"/>
      <c r="BB991" s="50"/>
      <c r="BC991" s="50"/>
      <c r="BD991" s="50"/>
      <c r="BE991" s="50"/>
      <c r="BF991" s="50"/>
      <c r="BG991" s="50"/>
      <c r="BH991" s="50"/>
      <c r="BI991" s="50"/>
      <c r="BJ991" s="50"/>
      <c r="BK991" s="50"/>
      <c r="BL991" s="50"/>
      <c r="BM991" s="50"/>
      <c r="BN991" s="50"/>
      <c r="BO991" s="50"/>
      <c r="BP991" s="50"/>
      <c r="BQ991" s="50"/>
      <c r="BR991" s="50"/>
      <c r="BS991" s="50"/>
      <c r="BT991" s="50"/>
      <c r="BU991" s="50"/>
      <c r="BV991" s="50"/>
      <c r="BW991" s="50"/>
      <c r="BX991" s="50"/>
      <c r="BY991" s="50"/>
      <c r="BZ991" s="50"/>
      <c r="CA991" s="50"/>
      <c r="CB991" s="50"/>
      <c r="CC991" s="50"/>
      <c r="CD991" s="50"/>
      <c r="CE991" s="50"/>
      <c r="CF991" s="50"/>
      <c r="CG991" s="50"/>
      <c r="CH991" s="50"/>
      <c r="CI991" s="50"/>
      <c r="CJ991" s="50"/>
      <c r="CK991" s="50"/>
      <c r="CL991" s="50"/>
      <c r="CM991" s="50"/>
    </row>
    <row r="992" spans="1:91" ht="14.25" customHeight="1" x14ac:dyDescent="0.3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  <c r="AM992" s="50"/>
      <c r="AN992" s="50"/>
      <c r="AO992" s="50"/>
      <c r="AP992" s="50"/>
      <c r="AQ992" s="50"/>
      <c r="AR992" s="50"/>
      <c r="AS992" s="50"/>
      <c r="AT992" s="50"/>
      <c r="AU992" s="50"/>
      <c r="AV992" s="50"/>
      <c r="AW992" s="50"/>
      <c r="AX992" s="50"/>
      <c r="AY992" s="50"/>
      <c r="AZ992" s="50"/>
      <c r="BA992" s="50"/>
      <c r="BB992" s="50"/>
      <c r="BC992" s="50"/>
      <c r="BD992" s="50"/>
      <c r="BE992" s="50"/>
      <c r="BF992" s="50"/>
      <c r="BG992" s="50"/>
      <c r="BH992" s="50"/>
      <c r="BI992" s="50"/>
      <c r="BJ992" s="50"/>
      <c r="BK992" s="50"/>
      <c r="BL992" s="50"/>
      <c r="BM992" s="50"/>
      <c r="BN992" s="50"/>
      <c r="BO992" s="50"/>
      <c r="BP992" s="50"/>
      <c r="BQ992" s="50"/>
      <c r="BR992" s="50"/>
      <c r="BS992" s="50"/>
      <c r="BT992" s="50"/>
      <c r="BU992" s="50"/>
      <c r="BV992" s="50"/>
      <c r="BW992" s="50"/>
      <c r="BX992" s="50"/>
      <c r="BY992" s="50"/>
      <c r="BZ992" s="50"/>
      <c r="CA992" s="50"/>
      <c r="CB992" s="50"/>
      <c r="CC992" s="50"/>
      <c r="CD992" s="50"/>
      <c r="CE992" s="50"/>
      <c r="CF992" s="50"/>
      <c r="CG992" s="50"/>
      <c r="CH992" s="50"/>
      <c r="CI992" s="50"/>
      <c r="CJ992" s="50"/>
      <c r="CK992" s="50"/>
      <c r="CL992" s="50"/>
      <c r="CM992" s="50"/>
    </row>
    <row r="993" spans="1:91" ht="14.25" customHeight="1" x14ac:dyDescent="0.3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  <c r="AM993" s="50"/>
      <c r="AN993" s="50"/>
      <c r="AO993" s="50"/>
      <c r="AP993" s="50"/>
      <c r="AQ993" s="50"/>
      <c r="AR993" s="50"/>
      <c r="AS993" s="50"/>
      <c r="AT993" s="50"/>
      <c r="AU993" s="50"/>
      <c r="AV993" s="50"/>
      <c r="AW993" s="50"/>
      <c r="AX993" s="50"/>
      <c r="AY993" s="50"/>
      <c r="AZ993" s="50"/>
      <c r="BA993" s="50"/>
      <c r="BB993" s="50"/>
      <c r="BC993" s="50"/>
      <c r="BD993" s="50"/>
      <c r="BE993" s="50"/>
      <c r="BF993" s="50"/>
      <c r="BG993" s="50"/>
      <c r="BH993" s="50"/>
      <c r="BI993" s="50"/>
      <c r="BJ993" s="50"/>
      <c r="BK993" s="50"/>
      <c r="BL993" s="50"/>
      <c r="BM993" s="50"/>
      <c r="BN993" s="50"/>
      <c r="BO993" s="50"/>
      <c r="BP993" s="50"/>
      <c r="BQ993" s="50"/>
      <c r="BR993" s="50"/>
      <c r="BS993" s="50"/>
      <c r="BT993" s="50"/>
      <c r="BU993" s="50"/>
      <c r="BV993" s="50"/>
      <c r="BW993" s="50"/>
      <c r="BX993" s="50"/>
      <c r="BY993" s="50"/>
      <c r="BZ993" s="50"/>
      <c r="CA993" s="50"/>
      <c r="CB993" s="50"/>
      <c r="CC993" s="50"/>
      <c r="CD993" s="50"/>
      <c r="CE993" s="50"/>
      <c r="CF993" s="50"/>
      <c r="CG993" s="50"/>
      <c r="CH993" s="50"/>
      <c r="CI993" s="50"/>
      <c r="CJ993" s="50"/>
      <c r="CK993" s="50"/>
      <c r="CL993" s="50"/>
      <c r="CM993" s="50"/>
    </row>
    <row r="994" spans="1:91" ht="14.25" customHeight="1" x14ac:dyDescent="0.3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  <c r="AM994" s="50"/>
      <c r="AN994" s="50"/>
      <c r="AO994" s="50"/>
      <c r="AP994" s="50"/>
      <c r="AQ994" s="50"/>
      <c r="AR994" s="50"/>
      <c r="AS994" s="50"/>
      <c r="AT994" s="50"/>
      <c r="AU994" s="50"/>
      <c r="AV994" s="50"/>
      <c r="AW994" s="50"/>
      <c r="AX994" s="50"/>
      <c r="AY994" s="50"/>
      <c r="AZ994" s="50"/>
      <c r="BA994" s="50"/>
      <c r="BB994" s="50"/>
      <c r="BC994" s="50"/>
      <c r="BD994" s="50"/>
      <c r="BE994" s="50"/>
      <c r="BF994" s="50"/>
      <c r="BG994" s="50"/>
      <c r="BH994" s="50"/>
      <c r="BI994" s="50"/>
      <c r="BJ994" s="50"/>
      <c r="BK994" s="50"/>
      <c r="BL994" s="50"/>
      <c r="BM994" s="50"/>
      <c r="BN994" s="50"/>
      <c r="BO994" s="50"/>
      <c r="BP994" s="50"/>
      <c r="BQ994" s="50"/>
      <c r="BR994" s="50"/>
      <c r="BS994" s="50"/>
      <c r="BT994" s="50"/>
      <c r="BU994" s="50"/>
      <c r="BV994" s="50"/>
      <c r="BW994" s="50"/>
      <c r="BX994" s="50"/>
      <c r="BY994" s="50"/>
      <c r="BZ994" s="50"/>
      <c r="CA994" s="50"/>
      <c r="CB994" s="50"/>
      <c r="CC994" s="50"/>
      <c r="CD994" s="50"/>
      <c r="CE994" s="50"/>
      <c r="CF994" s="50"/>
      <c r="CG994" s="50"/>
      <c r="CH994" s="50"/>
      <c r="CI994" s="50"/>
      <c r="CJ994" s="50"/>
      <c r="CK994" s="50"/>
      <c r="CL994" s="50"/>
      <c r="CM994" s="50"/>
    </row>
    <row r="995" spans="1:91" ht="14.25" customHeight="1" x14ac:dyDescent="0.3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  <c r="AM995" s="50"/>
      <c r="AN995" s="50"/>
      <c r="AO995" s="50"/>
      <c r="AP995" s="50"/>
      <c r="AQ995" s="50"/>
      <c r="AR995" s="50"/>
      <c r="AS995" s="50"/>
      <c r="AT995" s="50"/>
      <c r="AU995" s="50"/>
      <c r="AV995" s="50"/>
      <c r="AW995" s="50"/>
      <c r="AX995" s="50"/>
      <c r="AY995" s="50"/>
      <c r="AZ995" s="50"/>
      <c r="BA995" s="50"/>
      <c r="BB995" s="50"/>
      <c r="BC995" s="50"/>
      <c r="BD995" s="50"/>
      <c r="BE995" s="50"/>
      <c r="BF995" s="50"/>
      <c r="BG995" s="50"/>
      <c r="BH995" s="50"/>
      <c r="BI995" s="50"/>
      <c r="BJ995" s="50"/>
      <c r="BK995" s="50"/>
      <c r="BL995" s="50"/>
      <c r="BM995" s="50"/>
      <c r="BN995" s="50"/>
      <c r="BO995" s="50"/>
      <c r="BP995" s="50"/>
      <c r="BQ995" s="50"/>
      <c r="BR995" s="50"/>
      <c r="BS995" s="50"/>
      <c r="BT995" s="50"/>
      <c r="BU995" s="50"/>
      <c r="BV995" s="50"/>
      <c r="BW995" s="50"/>
      <c r="BX995" s="50"/>
      <c r="BY995" s="50"/>
      <c r="BZ995" s="50"/>
      <c r="CA995" s="50"/>
      <c r="CB995" s="50"/>
      <c r="CC995" s="50"/>
      <c r="CD995" s="50"/>
      <c r="CE995" s="50"/>
      <c r="CF995" s="50"/>
      <c r="CG995" s="50"/>
      <c r="CH995" s="50"/>
      <c r="CI995" s="50"/>
      <c r="CJ995" s="50"/>
      <c r="CK995" s="50"/>
      <c r="CL995" s="50"/>
      <c r="CM995" s="50"/>
    </row>
    <row r="996" spans="1:91" ht="14.25" customHeight="1" x14ac:dyDescent="0.3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  <c r="AM996" s="50"/>
      <c r="AN996" s="50"/>
      <c r="AO996" s="50"/>
      <c r="AP996" s="50"/>
      <c r="AQ996" s="50"/>
      <c r="AR996" s="50"/>
      <c r="AS996" s="50"/>
      <c r="AT996" s="50"/>
      <c r="AU996" s="50"/>
      <c r="AV996" s="50"/>
      <c r="AW996" s="50"/>
      <c r="AX996" s="50"/>
      <c r="AY996" s="50"/>
      <c r="AZ996" s="50"/>
      <c r="BA996" s="50"/>
      <c r="BB996" s="50"/>
      <c r="BC996" s="50"/>
      <c r="BD996" s="50"/>
      <c r="BE996" s="50"/>
      <c r="BF996" s="50"/>
      <c r="BG996" s="50"/>
      <c r="BH996" s="50"/>
      <c r="BI996" s="50"/>
      <c r="BJ996" s="50"/>
      <c r="BK996" s="50"/>
      <c r="BL996" s="50"/>
      <c r="BM996" s="50"/>
      <c r="BN996" s="50"/>
      <c r="BO996" s="50"/>
      <c r="BP996" s="50"/>
      <c r="BQ996" s="50"/>
      <c r="BR996" s="50"/>
      <c r="BS996" s="50"/>
      <c r="BT996" s="50"/>
      <c r="BU996" s="50"/>
      <c r="BV996" s="50"/>
      <c r="BW996" s="50"/>
      <c r="BX996" s="50"/>
      <c r="BY996" s="50"/>
      <c r="BZ996" s="50"/>
      <c r="CA996" s="50"/>
      <c r="CB996" s="50"/>
      <c r="CC996" s="50"/>
      <c r="CD996" s="50"/>
      <c r="CE996" s="50"/>
      <c r="CF996" s="50"/>
      <c r="CG996" s="50"/>
      <c r="CH996" s="50"/>
      <c r="CI996" s="50"/>
      <c r="CJ996" s="50"/>
      <c r="CK996" s="50"/>
      <c r="CL996" s="50"/>
      <c r="CM996" s="50"/>
    </row>
    <row r="997" spans="1:91" ht="14.25" customHeight="1" x14ac:dyDescent="0.3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  <c r="AM997" s="50"/>
      <c r="AN997" s="50"/>
      <c r="AO997" s="50"/>
      <c r="AP997" s="50"/>
      <c r="AQ997" s="50"/>
      <c r="AR997" s="50"/>
      <c r="AS997" s="50"/>
      <c r="AT997" s="50"/>
      <c r="AU997" s="50"/>
      <c r="AV997" s="50"/>
      <c r="AW997" s="50"/>
      <c r="AX997" s="50"/>
      <c r="AY997" s="50"/>
      <c r="AZ997" s="50"/>
      <c r="BA997" s="50"/>
      <c r="BB997" s="50"/>
      <c r="BC997" s="50"/>
      <c r="BD997" s="50"/>
      <c r="BE997" s="50"/>
      <c r="BF997" s="50"/>
      <c r="BG997" s="50"/>
      <c r="BH997" s="50"/>
      <c r="BI997" s="50"/>
      <c r="BJ997" s="50"/>
      <c r="BK997" s="50"/>
      <c r="BL997" s="50"/>
      <c r="BM997" s="50"/>
      <c r="BN997" s="50"/>
      <c r="BO997" s="50"/>
      <c r="BP997" s="50"/>
      <c r="BQ997" s="50"/>
      <c r="BR997" s="50"/>
      <c r="BS997" s="50"/>
      <c r="BT997" s="50"/>
      <c r="BU997" s="50"/>
      <c r="BV997" s="50"/>
      <c r="BW997" s="50"/>
      <c r="BX997" s="50"/>
      <c r="BY997" s="50"/>
      <c r="BZ997" s="50"/>
      <c r="CA997" s="50"/>
      <c r="CB997" s="50"/>
      <c r="CC997" s="50"/>
      <c r="CD997" s="50"/>
      <c r="CE997" s="50"/>
      <c r="CF997" s="50"/>
      <c r="CG997" s="50"/>
      <c r="CH997" s="50"/>
      <c r="CI997" s="50"/>
      <c r="CJ997" s="50"/>
      <c r="CK997" s="50"/>
      <c r="CL997" s="50"/>
      <c r="CM997" s="50"/>
    </row>
    <row r="998" spans="1:91" ht="14.25" customHeight="1" x14ac:dyDescent="0.3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  <c r="AM998" s="50"/>
      <c r="AN998" s="50"/>
      <c r="AO998" s="50"/>
      <c r="AP998" s="50"/>
      <c r="AQ998" s="50"/>
      <c r="AR998" s="50"/>
      <c r="AS998" s="50"/>
      <c r="AT998" s="50"/>
      <c r="AU998" s="50"/>
      <c r="AV998" s="50"/>
      <c r="AW998" s="50"/>
      <c r="AX998" s="50"/>
      <c r="AY998" s="50"/>
      <c r="AZ998" s="50"/>
      <c r="BA998" s="50"/>
      <c r="BB998" s="50"/>
      <c r="BC998" s="50"/>
      <c r="BD998" s="50"/>
      <c r="BE998" s="50"/>
      <c r="BF998" s="50"/>
      <c r="BG998" s="50"/>
      <c r="BH998" s="50"/>
      <c r="BI998" s="50"/>
      <c r="BJ998" s="50"/>
      <c r="BK998" s="50"/>
      <c r="BL998" s="50"/>
      <c r="BM998" s="50"/>
      <c r="BN998" s="50"/>
      <c r="BO998" s="50"/>
      <c r="BP998" s="50"/>
      <c r="BQ998" s="50"/>
      <c r="BR998" s="50"/>
      <c r="BS998" s="50"/>
      <c r="BT998" s="50"/>
      <c r="BU998" s="50"/>
      <c r="BV998" s="50"/>
      <c r="BW998" s="50"/>
      <c r="BX998" s="50"/>
      <c r="BY998" s="50"/>
      <c r="BZ998" s="50"/>
      <c r="CA998" s="50"/>
      <c r="CB998" s="50"/>
      <c r="CC998" s="50"/>
      <c r="CD998" s="50"/>
      <c r="CE998" s="50"/>
      <c r="CF998" s="50"/>
      <c r="CG998" s="50"/>
      <c r="CH998" s="50"/>
      <c r="CI998" s="50"/>
      <c r="CJ998" s="50"/>
      <c r="CK998" s="50"/>
      <c r="CL998" s="50"/>
      <c r="CM998" s="50"/>
    </row>
    <row r="999" spans="1:91" ht="14.25" customHeight="1" x14ac:dyDescent="0.3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  <c r="AM999" s="50"/>
      <c r="AN999" s="50"/>
      <c r="AO999" s="50"/>
      <c r="AP999" s="50"/>
      <c r="AQ999" s="50"/>
      <c r="AR999" s="50"/>
      <c r="AS999" s="50"/>
      <c r="AT999" s="50"/>
      <c r="AU999" s="50"/>
      <c r="AV999" s="50"/>
      <c r="AW999" s="50"/>
      <c r="AX999" s="50"/>
      <c r="AY999" s="50"/>
      <c r="AZ999" s="50"/>
      <c r="BA999" s="50"/>
      <c r="BB999" s="50"/>
      <c r="BC999" s="50"/>
      <c r="BD999" s="50"/>
      <c r="BE999" s="50"/>
      <c r="BF999" s="50"/>
      <c r="BG999" s="50"/>
      <c r="BH999" s="50"/>
      <c r="BI999" s="50"/>
      <c r="BJ999" s="50"/>
      <c r="BK999" s="50"/>
      <c r="BL999" s="50"/>
      <c r="BM999" s="50"/>
      <c r="BN999" s="50"/>
      <c r="BO999" s="50"/>
      <c r="BP999" s="50"/>
      <c r="BQ999" s="50"/>
      <c r="BR999" s="50"/>
      <c r="BS999" s="50"/>
      <c r="BT999" s="50"/>
      <c r="BU999" s="50"/>
      <c r="BV999" s="50"/>
      <c r="BW999" s="50"/>
      <c r="BX999" s="50"/>
      <c r="BY999" s="50"/>
      <c r="BZ999" s="50"/>
      <c r="CA999" s="50"/>
      <c r="CB999" s="50"/>
      <c r="CC999" s="50"/>
      <c r="CD999" s="50"/>
      <c r="CE999" s="50"/>
      <c r="CF999" s="50"/>
      <c r="CG999" s="50"/>
      <c r="CH999" s="50"/>
      <c r="CI999" s="50"/>
      <c r="CJ999" s="50"/>
      <c r="CK999" s="50"/>
      <c r="CL999" s="50"/>
      <c r="CM999" s="50"/>
    </row>
    <row r="1000" spans="1:91" ht="14.25" customHeight="1" x14ac:dyDescent="0.3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  <c r="AM1000" s="50"/>
      <c r="AN1000" s="50"/>
      <c r="AO1000" s="50"/>
      <c r="AP1000" s="50"/>
      <c r="AQ1000" s="50"/>
      <c r="AR1000" s="50"/>
      <c r="AS1000" s="50"/>
      <c r="AT1000" s="50"/>
      <c r="AU1000" s="50"/>
      <c r="AV1000" s="50"/>
      <c r="AW1000" s="50"/>
      <c r="AX1000" s="50"/>
      <c r="AY1000" s="50"/>
      <c r="AZ1000" s="50"/>
      <c r="BA1000" s="50"/>
      <c r="BB1000" s="50"/>
      <c r="BC1000" s="50"/>
      <c r="BD1000" s="50"/>
      <c r="BE1000" s="50"/>
      <c r="BF1000" s="50"/>
      <c r="BG1000" s="50"/>
      <c r="BH1000" s="50"/>
      <c r="BI1000" s="50"/>
      <c r="BJ1000" s="50"/>
      <c r="BK1000" s="50"/>
      <c r="BL1000" s="50"/>
      <c r="BM1000" s="50"/>
      <c r="BN1000" s="50"/>
      <c r="BO1000" s="50"/>
      <c r="BP1000" s="50"/>
      <c r="BQ1000" s="50"/>
      <c r="BR1000" s="50"/>
      <c r="BS1000" s="50"/>
      <c r="BT1000" s="50"/>
      <c r="BU1000" s="50"/>
      <c r="BV1000" s="50"/>
      <c r="BW1000" s="50"/>
      <c r="BX1000" s="50"/>
      <c r="BY1000" s="50"/>
      <c r="BZ1000" s="50"/>
      <c r="CA1000" s="50"/>
      <c r="CB1000" s="50"/>
      <c r="CC1000" s="50"/>
      <c r="CD1000" s="50"/>
      <c r="CE1000" s="50"/>
      <c r="CF1000" s="50"/>
      <c r="CG1000" s="50"/>
      <c r="CH1000" s="50"/>
      <c r="CI1000" s="50"/>
      <c r="CJ1000" s="50"/>
      <c r="CK1000" s="50"/>
      <c r="CL1000" s="50"/>
      <c r="CM1000" s="50"/>
    </row>
  </sheetData>
  <conditionalFormatting sqref="L6:M17 AJ23:AK34">
    <cfRule type="cellIs" dxfId="151" priority="1" operator="greaterThan">
      <formula>100</formula>
    </cfRule>
  </conditionalFormatting>
  <conditionalFormatting sqref="F6:G17">
    <cfRule type="cellIs" dxfId="150" priority="2" operator="greaterThan">
      <formula>100</formula>
    </cfRule>
  </conditionalFormatting>
  <conditionalFormatting sqref="R6:S17">
    <cfRule type="cellIs" dxfId="149" priority="3" operator="greaterThan">
      <formula>100</formula>
    </cfRule>
  </conditionalFormatting>
  <conditionalFormatting sqref="X6:Y17">
    <cfRule type="cellIs" dxfId="148" priority="4" operator="greaterThan">
      <formula>100</formula>
    </cfRule>
  </conditionalFormatting>
  <conditionalFormatting sqref="AD6:AE17">
    <cfRule type="cellIs" dxfId="147" priority="5" operator="greaterThan">
      <formula>100</formula>
    </cfRule>
  </conditionalFormatting>
  <conditionalFormatting sqref="AJ6:AK17">
    <cfRule type="cellIs" dxfId="146" priority="6" operator="greaterThan">
      <formula>100</formula>
    </cfRule>
  </conditionalFormatting>
  <conditionalFormatting sqref="BB6:BC17">
    <cfRule type="cellIs" dxfId="145" priority="7" operator="greaterThan">
      <formula>100</formula>
    </cfRule>
  </conditionalFormatting>
  <conditionalFormatting sqref="BH6:BI17">
    <cfRule type="cellIs" dxfId="144" priority="8" operator="greaterThan">
      <formula>100</formula>
    </cfRule>
  </conditionalFormatting>
  <conditionalFormatting sqref="BN6:BO17">
    <cfRule type="cellIs" dxfId="143" priority="9" operator="greaterThan">
      <formula>100</formula>
    </cfRule>
  </conditionalFormatting>
  <conditionalFormatting sqref="BY6:BZ17">
    <cfRule type="cellIs" dxfId="142" priority="10" operator="greaterThan">
      <formula>100</formula>
    </cfRule>
  </conditionalFormatting>
  <conditionalFormatting sqref="CE6:CF17">
    <cfRule type="cellIs" dxfId="141" priority="11" operator="greaterThan">
      <formula>100</formula>
    </cfRule>
  </conditionalFormatting>
  <conditionalFormatting sqref="F23:G34">
    <cfRule type="cellIs" dxfId="140" priority="12" operator="greaterThan">
      <formula>100</formula>
    </cfRule>
  </conditionalFormatting>
  <conditionalFormatting sqref="R23:S34">
    <cfRule type="cellIs" dxfId="139" priority="13" operator="greaterThan">
      <formula>100</formula>
    </cfRule>
  </conditionalFormatting>
  <conditionalFormatting sqref="X23:Y34">
    <cfRule type="cellIs" dxfId="138" priority="14" operator="greaterThan">
      <formula>100</formula>
    </cfRule>
  </conditionalFormatting>
  <conditionalFormatting sqref="AD23:AE34 AJ23:AK34">
    <cfRule type="cellIs" dxfId="137" priority="15" operator="greaterThan">
      <formula>100</formula>
    </cfRule>
  </conditionalFormatting>
  <conditionalFormatting sqref="F40:G51">
    <cfRule type="cellIs" dxfId="136" priority="16" operator="greaterThan">
      <formula>100</formula>
    </cfRule>
  </conditionalFormatting>
  <conditionalFormatting sqref="F57:G68">
    <cfRule type="cellIs" dxfId="135" priority="17" operator="greaterThan">
      <formula>100</formula>
    </cfRule>
  </conditionalFormatting>
  <conditionalFormatting sqref="L57:M67">
    <cfRule type="cellIs" dxfId="134" priority="18" operator="greaterThan">
      <formula>100</formula>
    </cfRule>
  </conditionalFormatting>
  <conditionalFormatting sqref="R57:S68">
    <cfRule type="cellIs" dxfId="133" priority="19" operator="greaterThan">
      <formula>100</formula>
    </cfRule>
  </conditionalFormatting>
  <conditionalFormatting sqref="X57:Y68">
    <cfRule type="cellIs" dxfId="132" priority="20" operator="greaterThan">
      <formula>100</formula>
    </cfRule>
  </conditionalFormatting>
  <conditionalFormatting sqref="AD57:AE68">
    <cfRule type="cellIs" dxfId="131" priority="21" operator="greaterThan">
      <formula>100</formula>
    </cfRule>
  </conditionalFormatting>
  <conditionalFormatting sqref="AJ57:AK68">
    <cfRule type="cellIs" dxfId="130" priority="22" operator="greaterThan">
      <formula>100</formula>
    </cfRule>
  </conditionalFormatting>
  <conditionalFormatting sqref="AP57:AQ68">
    <cfRule type="cellIs" dxfId="129" priority="23" operator="greaterThan">
      <formula>100</formula>
    </cfRule>
  </conditionalFormatting>
  <conditionalFormatting sqref="F74:G85">
    <cfRule type="cellIs" dxfId="128" priority="24" operator="greaterThan">
      <formula>100</formula>
    </cfRule>
  </conditionalFormatting>
  <conditionalFormatting sqref="X74:Y84">
    <cfRule type="cellIs" dxfId="127" priority="25" operator="greaterThan">
      <formula>100</formula>
    </cfRule>
  </conditionalFormatting>
  <conditionalFormatting sqref="AD74:AE85">
    <cfRule type="cellIs" dxfId="126" priority="26" operator="greaterThan">
      <formula>100</formula>
    </cfRule>
  </conditionalFormatting>
  <conditionalFormatting sqref="AJ74:AK85">
    <cfRule type="cellIs" dxfId="125" priority="27" operator="greaterThan">
      <formula>100</formula>
    </cfRule>
  </conditionalFormatting>
  <conditionalFormatting sqref="AP74:AQ85">
    <cfRule type="cellIs" dxfId="124" priority="28" operator="greaterThan">
      <formula>100</formula>
    </cfRule>
  </conditionalFormatting>
  <conditionalFormatting sqref="AV74:AW85">
    <cfRule type="cellIs" dxfId="123" priority="29" operator="greaterThan">
      <formula>100</formula>
    </cfRule>
  </conditionalFormatting>
  <conditionalFormatting sqref="F91:G102">
    <cfRule type="cellIs" dxfId="122" priority="30" operator="greaterThan">
      <formula>100</formula>
    </cfRule>
  </conditionalFormatting>
  <conditionalFormatting sqref="L91:M102">
    <cfRule type="cellIs" dxfId="121" priority="31" operator="greaterThan">
      <formula>100</formula>
    </cfRule>
  </conditionalFormatting>
  <conditionalFormatting sqref="R91:S102">
    <cfRule type="cellIs" dxfId="120" priority="32" operator="greaterThan">
      <formula>100</formula>
    </cfRule>
  </conditionalFormatting>
  <conditionalFormatting sqref="F107:G118">
    <cfRule type="cellIs" dxfId="119" priority="33" operator="greaterThan">
      <formula>100</formula>
    </cfRule>
  </conditionalFormatting>
  <conditionalFormatting sqref="L107:M118">
    <cfRule type="cellIs" dxfId="118" priority="34" operator="greaterThan">
      <formula>100</formula>
    </cfRule>
  </conditionalFormatting>
  <conditionalFormatting sqref="R107:S118">
    <cfRule type="cellIs" dxfId="117" priority="35" operator="greaterThan">
      <formula>100</formula>
    </cfRule>
  </conditionalFormatting>
  <conditionalFormatting sqref="X107:Y118">
    <cfRule type="cellIs" dxfId="116" priority="36" operator="greaterThan">
      <formula>100</formula>
    </cfRule>
  </conditionalFormatting>
  <conditionalFormatting sqref="AD107:AE118">
    <cfRule type="cellIs" dxfId="115" priority="37" operator="greaterThan">
      <formula>100</formula>
    </cfRule>
  </conditionalFormatting>
  <conditionalFormatting sqref="AJ107:AK118">
    <cfRule type="cellIs" dxfId="114" priority="38" operator="greaterThan">
      <formula>100</formula>
    </cfRule>
  </conditionalFormatting>
  <conditionalFormatting sqref="R74:S85">
    <cfRule type="cellIs" dxfId="113" priority="39" operator="greaterThan">
      <formula>100</formula>
    </cfRule>
  </conditionalFormatting>
  <conditionalFormatting sqref="L68:M68">
    <cfRule type="cellIs" dxfId="112" priority="40" operator="greaterThan">
      <formula>100</formula>
    </cfRule>
  </conditionalFormatting>
  <conditionalFormatting sqref="L74:M84">
    <cfRule type="cellIs" dxfId="111" priority="41" operator="greaterThan">
      <formula>100</formula>
    </cfRule>
  </conditionalFormatting>
  <conditionalFormatting sqref="L85:M85">
    <cfRule type="cellIs" dxfId="110" priority="42" operator="greaterThan">
      <formula>100</formula>
    </cfRule>
  </conditionalFormatting>
  <conditionalFormatting sqref="X85:Y85">
    <cfRule type="cellIs" dxfId="109" priority="43" operator="greaterThan">
      <formula>100</formula>
    </cfRule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5"/>
  <sheetViews>
    <sheetView workbookViewId="0">
      <pane xSplit="1" topLeftCell="B1" activePane="topRight" state="frozen"/>
      <selection pane="topRight" activeCell="C2" sqref="C2"/>
    </sheetView>
  </sheetViews>
  <sheetFormatPr defaultColWidth="12.6328125" defaultRowHeight="15.75" customHeight="1" x14ac:dyDescent="0.25"/>
  <cols>
    <col min="1" max="1" width="13.453125" customWidth="1"/>
    <col min="2" max="2" width="30.6328125" customWidth="1"/>
    <col min="3" max="3" width="23.453125" customWidth="1"/>
    <col min="4" max="4" width="31.6328125" customWidth="1"/>
    <col min="5" max="5" width="21.6328125" customWidth="1"/>
    <col min="6" max="7" width="29.36328125" customWidth="1"/>
    <col min="8" max="8" width="28.453125" customWidth="1"/>
    <col min="9" max="9" width="31.6328125" customWidth="1"/>
    <col min="10" max="10" width="39.7265625" customWidth="1"/>
    <col min="11" max="11" width="20.08984375" customWidth="1"/>
    <col min="12" max="12" width="18.90625" customWidth="1"/>
    <col min="13" max="13" width="29" customWidth="1"/>
    <col min="14" max="14" width="25.26953125" customWidth="1"/>
    <col min="15" max="15" width="24.08984375" customWidth="1"/>
    <col min="16" max="16" width="25.26953125" customWidth="1"/>
    <col min="17" max="17" width="34.36328125" customWidth="1"/>
    <col min="18" max="18" width="19.08984375" customWidth="1"/>
    <col min="19" max="19" width="49.6328125" customWidth="1"/>
    <col min="20" max="20" width="31.6328125" customWidth="1"/>
    <col min="21" max="21" width="30.453125" customWidth="1"/>
    <col min="22" max="22" width="37.36328125" customWidth="1"/>
    <col min="23" max="23" width="21.90625" customWidth="1"/>
    <col min="24" max="24" width="20.90625" customWidth="1"/>
    <col min="25" max="25" width="22.453125" customWidth="1"/>
    <col min="26" max="26" width="27.26953125" customWidth="1"/>
    <col min="27" max="27" width="56.90625" customWidth="1"/>
    <col min="28" max="28" width="59.90625" customWidth="1"/>
    <col min="29" max="29" width="13.7265625" customWidth="1"/>
    <col min="30" max="30" width="61.453125" customWidth="1"/>
    <col min="31" max="31" width="20.08984375" customWidth="1"/>
  </cols>
  <sheetData>
    <row r="1" spans="1:31" ht="15.75" customHeight="1" x14ac:dyDescent="0.35">
      <c r="A1" s="1" t="s">
        <v>102</v>
      </c>
      <c r="B1" s="2" t="s">
        <v>16</v>
      </c>
      <c r="C1" s="2" t="s">
        <v>17</v>
      </c>
      <c r="D1" s="3" t="s">
        <v>18</v>
      </c>
      <c r="E1" s="2" t="s">
        <v>19</v>
      </c>
      <c r="F1" s="2" t="s">
        <v>20</v>
      </c>
      <c r="G1" s="4" t="s">
        <v>21</v>
      </c>
      <c r="H1" s="4" t="s">
        <v>22</v>
      </c>
      <c r="I1" s="3" t="s">
        <v>23</v>
      </c>
      <c r="J1" s="5" t="s">
        <v>166</v>
      </c>
      <c r="K1" s="2" t="s">
        <v>24</v>
      </c>
      <c r="L1" s="2" t="s">
        <v>25</v>
      </c>
      <c r="M1" s="5" t="s">
        <v>26</v>
      </c>
      <c r="N1" s="2" t="s">
        <v>27</v>
      </c>
      <c r="O1" s="2" t="s">
        <v>28</v>
      </c>
      <c r="P1" s="2" t="s">
        <v>29</v>
      </c>
      <c r="Q1" s="5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5" t="s">
        <v>35</v>
      </c>
      <c r="W1" s="2" t="s">
        <v>36</v>
      </c>
      <c r="X1" s="5" t="s">
        <v>167</v>
      </c>
      <c r="Y1" s="2" t="s">
        <v>37</v>
      </c>
      <c r="Z1" s="2" t="s">
        <v>38</v>
      </c>
      <c r="AA1" s="6" t="s">
        <v>39</v>
      </c>
      <c r="AB1" s="6" t="s">
        <v>40</v>
      </c>
      <c r="AC1" s="5" t="s">
        <v>41</v>
      </c>
      <c r="AD1" s="7" t="s">
        <v>42</v>
      </c>
      <c r="AE1" s="8" t="s">
        <v>43</v>
      </c>
    </row>
    <row r="2" spans="1:31" ht="15.75" customHeight="1" x14ac:dyDescent="0.35">
      <c r="A2" s="108">
        <v>45658</v>
      </c>
      <c r="B2" s="109" t="e">
        <f t="array" ref="B2:AE13">TRANSPOSE(#REF!)</f>
        <v>#REF!</v>
      </c>
      <c r="C2" s="109" t="e">
        <v>#REF!</v>
      </c>
      <c r="D2" s="109" t="e">
        <v>#REF!</v>
      </c>
      <c r="E2" s="109" t="e">
        <v>#REF!</v>
      </c>
      <c r="F2" s="109" t="e">
        <v>#REF!</v>
      </c>
      <c r="G2" s="109" t="e">
        <v>#REF!</v>
      </c>
      <c r="H2" s="109" t="e">
        <v>#REF!</v>
      </c>
      <c r="I2" s="109" t="e">
        <v>#REF!</v>
      </c>
      <c r="J2" s="109" t="e">
        <v>#REF!</v>
      </c>
      <c r="K2" s="109" t="e">
        <v>#REF!</v>
      </c>
      <c r="L2" s="109" t="e">
        <v>#REF!</v>
      </c>
      <c r="M2" s="109" t="e">
        <v>#REF!</v>
      </c>
      <c r="N2" s="109" t="e">
        <v>#REF!</v>
      </c>
      <c r="O2" s="109" t="e">
        <v>#REF!</v>
      </c>
      <c r="P2" s="109" t="e">
        <v>#REF!</v>
      </c>
      <c r="Q2" s="109" t="e">
        <v>#REF!</v>
      </c>
      <c r="R2" s="109" t="e">
        <v>#REF!</v>
      </c>
      <c r="S2" s="109" t="e">
        <v>#REF!</v>
      </c>
      <c r="T2" s="109" t="e">
        <v>#REF!</v>
      </c>
      <c r="U2" s="109" t="e">
        <v>#REF!</v>
      </c>
      <c r="V2" s="109" t="e">
        <v>#REF!</v>
      </c>
      <c r="W2" s="109" t="e">
        <v>#REF!</v>
      </c>
      <c r="X2" s="109" t="e">
        <v>#REF!</v>
      </c>
      <c r="Y2" s="109" t="e">
        <v>#REF!</v>
      </c>
      <c r="Z2" s="109" t="e">
        <v>#REF!</v>
      </c>
      <c r="AA2" s="109" t="e">
        <v>#REF!</v>
      </c>
      <c r="AB2" s="109" t="e">
        <v>#REF!</v>
      </c>
      <c r="AC2" s="109" t="e">
        <v>#REF!</v>
      </c>
      <c r="AD2" s="109" t="e">
        <v>#REF!</v>
      </c>
      <c r="AE2" s="109" t="e">
        <v>#REF!</v>
      </c>
    </row>
    <row r="3" spans="1:31" ht="15.75" customHeight="1" x14ac:dyDescent="0.35">
      <c r="A3" s="108">
        <v>45689</v>
      </c>
      <c r="B3" s="109" t="e">
        <v>#REF!</v>
      </c>
      <c r="C3" s="109" t="e">
        <v>#REF!</v>
      </c>
      <c r="D3" s="109" t="e">
        <v>#REF!</v>
      </c>
      <c r="E3" s="109" t="e">
        <v>#REF!</v>
      </c>
      <c r="F3" s="109" t="e">
        <v>#REF!</v>
      </c>
      <c r="G3" s="109" t="e">
        <v>#REF!</v>
      </c>
      <c r="H3" s="109" t="e">
        <v>#REF!</v>
      </c>
      <c r="I3" s="109" t="e">
        <v>#REF!</v>
      </c>
      <c r="J3" s="109" t="e">
        <v>#REF!</v>
      </c>
      <c r="K3" s="109" t="e">
        <v>#REF!</v>
      </c>
      <c r="L3" s="109" t="e">
        <v>#REF!</v>
      </c>
      <c r="M3" s="109" t="e">
        <v>#REF!</v>
      </c>
      <c r="N3" s="109" t="e">
        <v>#REF!</v>
      </c>
      <c r="O3" s="109" t="e">
        <v>#REF!</v>
      </c>
      <c r="P3" s="109" t="e">
        <v>#REF!</v>
      </c>
      <c r="Q3" s="109" t="e">
        <v>#REF!</v>
      </c>
      <c r="R3" s="109" t="e">
        <v>#REF!</v>
      </c>
      <c r="S3" s="109" t="e">
        <v>#REF!</v>
      </c>
      <c r="T3" s="109" t="e">
        <v>#REF!</v>
      </c>
      <c r="U3" s="109" t="e">
        <v>#REF!</v>
      </c>
      <c r="V3" s="109" t="e">
        <v>#REF!</v>
      </c>
      <c r="W3" s="109" t="e">
        <v>#REF!</v>
      </c>
      <c r="X3" s="109" t="e">
        <v>#REF!</v>
      </c>
      <c r="Y3" s="109" t="e">
        <v>#REF!</v>
      </c>
      <c r="Z3" s="109" t="e">
        <v>#REF!</v>
      </c>
      <c r="AA3" s="109" t="e">
        <v>#REF!</v>
      </c>
      <c r="AB3" s="109" t="e">
        <v>#REF!</v>
      </c>
      <c r="AC3" s="109" t="e">
        <v>#REF!</v>
      </c>
      <c r="AD3" s="109" t="e">
        <v>#REF!</v>
      </c>
      <c r="AE3" s="109" t="e">
        <v>#REF!</v>
      </c>
    </row>
    <row r="4" spans="1:31" ht="15.75" customHeight="1" x14ac:dyDescent="0.35">
      <c r="A4" s="108">
        <v>45717</v>
      </c>
      <c r="B4" s="109" t="e">
        <v>#REF!</v>
      </c>
      <c r="C4" s="109" t="e">
        <v>#REF!</v>
      </c>
      <c r="D4" s="109" t="e">
        <v>#REF!</v>
      </c>
      <c r="E4" s="109" t="e">
        <v>#REF!</v>
      </c>
      <c r="F4" s="109" t="e">
        <v>#REF!</v>
      </c>
      <c r="G4" s="109" t="e">
        <v>#REF!</v>
      </c>
      <c r="H4" s="109" t="e">
        <v>#REF!</v>
      </c>
      <c r="I4" s="109" t="e">
        <v>#REF!</v>
      </c>
      <c r="J4" s="109" t="e">
        <v>#REF!</v>
      </c>
      <c r="K4" s="109" t="e">
        <v>#REF!</v>
      </c>
      <c r="L4" s="109" t="e">
        <v>#REF!</v>
      </c>
      <c r="M4" s="109" t="e">
        <v>#REF!</v>
      </c>
      <c r="N4" s="109" t="e">
        <v>#REF!</v>
      </c>
      <c r="O4" s="109" t="e">
        <v>#REF!</v>
      </c>
      <c r="P4" s="109" t="e">
        <v>#REF!</v>
      </c>
      <c r="Q4" s="109" t="e">
        <v>#REF!</v>
      </c>
      <c r="R4" s="109" t="e">
        <v>#REF!</v>
      </c>
      <c r="S4" s="109" t="e">
        <v>#REF!</v>
      </c>
      <c r="T4" s="109" t="e">
        <v>#REF!</v>
      </c>
      <c r="U4" s="109" t="e">
        <v>#REF!</v>
      </c>
      <c r="V4" s="109" t="e">
        <v>#REF!</v>
      </c>
      <c r="W4" s="109" t="e">
        <v>#REF!</v>
      </c>
      <c r="X4" s="109" t="e">
        <v>#REF!</v>
      </c>
      <c r="Y4" s="109" t="e">
        <v>#REF!</v>
      </c>
      <c r="Z4" s="109" t="e">
        <v>#REF!</v>
      </c>
      <c r="AA4" s="109" t="e">
        <v>#REF!</v>
      </c>
      <c r="AB4" s="109" t="e">
        <v>#REF!</v>
      </c>
      <c r="AC4" s="109" t="e">
        <v>#REF!</v>
      </c>
      <c r="AD4" s="109" t="e">
        <v>#REF!</v>
      </c>
      <c r="AE4" s="109" t="e">
        <v>#REF!</v>
      </c>
    </row>
    <row r="5" spans="1:31" ht="15.75" customHeight="1" x14ac:dyDescent="0.35">
      <c r="A5" s="108">
        <v>45748</v>
      </c>
      <c r="B5" s="109" t="e">
        <v>#REF!</v>
      </c>
      <c r="C5" s="109" t="e">
        <v>#REF!</v>
      </c>
      <c r="D5" s="109" t="e">
        <v>#REF!</v>
      </c>
      <c r="E5" s="109" t="e">
        <v>#REF!</v>
      </c>
      <c r="F5" s="109" t="e">
        <v>#REF!</v>
      </c>
      <c r="G5" s="109" t="e">
        <v>#REF!</v>
      </c>
      <c r="H5" s="109" t="e">
        <v>#REF!</v>
      </c>
      <c r="I5" s="109" t="e">
        <v>#REF!</v>
      </c>
      <c r="J5" s="109" t="e">
        <v>#REF!</v>
      </c>
      <c r="K5" s="109" t="e">
        <v>#REF!</v>
      </c>
      <c r="L5" s="109" t="e">
        <v>#REF!</v>
      </c>
      <c r="M5" s="109" t="e">
        <v>#REF!</v>
      </c>
      <c r="N5" s="109" t="e">
        <v>#REF!</v>
      </c>
      <c r="O5" s="109" t="e">
        <v>#REF!</v>
      </c>
      <c r="P5" s="109" t="e">
        <v>#REF!</v>
      </c>
      <c r="Q5" s="109" t="e">
        <v>#REF!</v>
      </c>
      <c r="R5" s="109" t="e">
        <v>#REF!</v>
      </c>
      <c r="S5" s="109" t="e">
        <v>#REF!</v>
      </c>
      <c r="T5" s="109" t="e">
        <v>#REF!</v>
      </c>
      <c r="U5" s="109" t="e">
        <v>#REF!</v>
      </c>
      <c r="V5" s="109" t="e">
        <v>#REF!</v>
      </c>
      <c r="W5" s="109" t="e">
        <v>#REF!</v>
      </c>
      <c r="X5" s="109" t="e">
        <v>#REF!</v>
      </c>
      <c r="Y5" s="109" t="e">
        <v>#REF!</v>
      </c>
      <c r="Z5" s="109" t="e">
        <v>#REF!</v>
      </c>
      <c r="AA5" s="109" t="e">
        <v>#REF!</v>
      </c>
      <c r="AB5" s="109" t="e">
        <v>#REF!</v>
      </c>
      <c r="AC5" s="109" t="e">
        <v>#REF!</v>
      </c>
      <c r="AD5" s="109" t="e">
        <v>#REF!</v>
      </c>
      <c r="AE5" s="109" t="e">
        <v>#REF!</v>
      </c>
    </row>
    <row r="6" spans="1:31" ht="15.75" customHeight="1" x14ac:dyDescent="0.35">
      <c r="A6" s="108">
        <v>45778</v>
      </c>
      <c r="B6" s="109" t="e">
        <v>#REF!</v>
      </c>
      <c r="C6" s="109" t="e">
        <v>#REF!</v>
      </c>
      <c r="D6" s="109" t="e">
        <v>#REF!</v>
      </c>
      <c r="E6" s="109" t="e">
        <v>#REF!</v>
      </c>
      <c r="F6" s="109" t="e">
        <v>#REF!</v>
      </c>
      <c r="G6" s="109" t="e">
        <v>#REF!</v>
      </c>
      <c r="H6" s="109" t="e">
        <v>#REF!</v>
      </c>
      <c r="I6" s="109" t="e">
        <v>#REF!</v>
      </c>
      <c r="J6" s="109" t="e">
        <v>#REF!</v>
      </c>
      <c r="K6" s="109" t="e">
        <v>#REF!</v>
      </c>
      <c r="L6" s="109" t="e">
        <v>#REF!</v>
      </c>
      <c r="M6" s="109" t="e">
        <v>#REF!</v>
      </c>
      <c r="N6" s="109" t="e">
        <v>#REF!</v>
      </c>
      <c r="O6" s="109" t="e">
        <v>#REF!</v>
      </c>
      <c r="P6" s="109" t="e">
        <v>#REF!</v>
      </c>
      <c r="Q6" s="109" t="e">
        <v>#REF!</v>
      </c>
      <c r="R6" s="109" t="e">
        <v>#REF!</v>
      </c>
      <c r="S6" s="109" t="e">
        <v>#REF!</v>
      </c>
      <c r="T6" s="109" t="e">
        <v>#REF!</v>
      </c>
      <c r="U6" s="109" t="e">
        <v>#REF!</v>
      </c>
      <c r="V6" s="109" t="e">
        <v>#REF!</v>
      </c>
      <c r="W6" s="109" t="e">
        <v>#REF!</v>
      </c>
      <c r="X6" s="109" t="e">
        <v>#REF!</v>
      </c>
      <c r="Y6" s="109" t="e">
        <v>#REF!</v>
      </c>
      <c r="Z6" s="109" t="e">
        <v>#REF!</v>
      </c>
      <c r="AA6" s="109" t="e">
        <v>#REF!</v>
      </c>
      <c r="AB6" s="109" t="e">
        <v>#REF!</v>
      </c>
      <c r="AC6" s="109" t="e">
        <v>#REF!</v>
      </c>
      <c r="AD6" s="109" t="e">
        <v>#REF!</v>
      </c>
      <c r="AE6" s="109" t="e">
        <v>#REF!</v>
      </c>
    </row>
    <row r="7" spans="1:31" ht="15.75" customHeight="1" x14ac:dyDescent="0.35">
      <c r="A7" s="108">
        <v>45809</v>
      </c>
      <c r="B7" s="109" t="e">
        <v>#REF!</v>
      </c>
      <c r="C7" s="109" t="e">
        <v>#REF!</v>
      </c>
      <c r="D7" s="109" t="e">
        <v>#REF!</v>
      </c>
      <c r="E7" s="109" t="e">
        <v>#REF!</v>
      </c>
      <c r="F7" s="109" t="e">
        <v>#REF!</v>
      </c>
      <c r="G7" s="109" t="e">
        <v>#REF!</v>
      </c>
      <c r="H7" s="109" t="e">
        <v>#REF!</v>
      </c>
      <c r="I7" s="109" t="e">
        <v>#REF!</v>
      </c>
      <c r="J7" s="109" t="e">
        <v>#REF!</v>
      </c>
      <c r="K7" s="109" t="e">
        <v>#REF!</v>
      </c>
      <c r="L7" s="109" t="e">
        <v>#REF!</v>
      </c>
      <c r="M7" s="109" t="e">
        <v>#REF!</v>
      </c>
      <c r="N7" s="109" t="e">
        <v>#REF!</v>
      </c>
      <c r="O7" s="109" t="e">
        <v>#REF!</v>
      </c>
      <c r="P7" s="109" t="e">
        <v>#REF!</v>
      </c>
      <c r="Q7" s="109" t="e">
        <v>#REF!</v>
      </c>
      <c r="R7" s="109" t="e">
        <v>#REF!</v>
      </c>
      <c r="S7" s="109" t="e">
        <v>#REF!</v>
      </c>
      <c r="T7" s="109" t="e">
        <v>#REF!</v>
      </c>
      <c r="U7" s="109" t="e">
        <v>#REF!</v>
      </c>
      <c r="V7" s="109" t="e">
        <v>#REF!</v>
      </c>
      <c r="W7" s="109" t="e">
        <v>#REF!</v>
      </c>
      <c r="X7" s="109" t="e">
        <v>#REF!</v>
      </c>
      <c r="Y7" s="109" t="e">
        <v>#REF!</v>
      </c>
      <c r="Z7" s="109" t="e">
        <v>#REF!</v>
      </c>
      <c r="AA7" s="109" t="e">
        <v>#REF!</v>
      </c>
      <c r="AB7" s="109" t="e">
        <v>#REF!</v>
      </c>
      <c r="AC7" s="109" t="e">
        <v>#REF!</v>
      </c>
      <c r="AD7" s="109" t="e">
        <v>#REF!</v>
      </c>
      <c r="AE7" s="109" t="e">
        <v>#REF!</v>
      </c>
    </row>
    <row r="8" spans="1:31" ht="15.75" customHeight="1" x14ac:dyDescent="0.35">
      <c r="A8" s="108">
        <v>45839</v>
      </c>
      <c r="B8" s="109" t="e">
        <v>#REF!</v>
      </c>
      <c r="C8" s="109" t="e">
        <v>#REF!</v>
      </c>
      <c r="D8" s="109" t="e">
        <v>#REF!</v>
      </c>
      <c r="E8" s="109" t="e">
        <v>#REF!</v>
      </c>
      <c r="F8" s="109" t="e">
        <v>#REF!</v>
      </c>
      <c r="G8" s="109" t="e">
        <v>#REF!</v>
      </c>
      <c r="H8" s="109" t="e">
        <v>#REF!</v>
      </c>
      <c r="I8" s="109" t="e">
        <v>#REF!</v>
      </c>
      <c r="J8" s="109" t="e">
        <v>#REF!</v>
      </c>
      <c r="K8" s="109" t="e">
        <v>#REF!</v>
      </c>
      <c r="L8" s="109" t="e">
        <v>#REF!</v>
      </c>
      <c r="M8" s="109" t="e">
        <v>#REF!</v>
      </c>
      <c r="N8" s="109" t="e">
        <v>#REF!</v>
      </c>
      <c r="O8" s="109" t="e">
        <v>#REF!</v>
      </c>
      <c r="P8" s="109" t="e">
        <v>#REF!</v>
      </c>
      <c r="Q8" s="109" t="e">
        <v>#REF!</v>
      </c>
      <c r="R8" s="109" t="e">
        <v>#REF!</v>
      </c>
      <c r="S8" s="109" t="e">
        <v>#REF!</v>
      </c>
      <c r="T8" s="109" t="e">
        <v>#REF!</v>
      </c>
      <c r="U8" s="109" t="e">
        <v>#REF!</v>
      </c>
      <c r="V8" s="109" t="e">
        <v>#REF!</v>
      </c>
      <c r="W8" s="109" t="e">
        <v>#REF!</v>
      </c>
      <c r="X8" s="109" t="e">
        <v>#REF!</v>
      </c>
      <c r="Y8" s="109" t="e">
        <v>#REF!</v>
      </c>
      <c r="Z8" s="109" t="e">
        <v>#REF!</v>
      </c>
      <c r="AA8" s="109" t="e">
        <v>#REF!</v>
      </c>
      <c r="AB8" s="109" t="e">
        <v>#REF!</v>
      </c>
      <c r="AC8" s="109" t="e">
        <v>#REF!</v>
      </c>
      <c r="AD8" s="109" t="e">
        <v>#REF!</v>
      </c>
      <c r="AE8" s="109" t="e">
        <v>#REF!</v>
      </c>
    </row>
    <row r="9" spans="1:31" ht="15.75" customHeight="1" x14ac:dyDescent="0.35">
      <c r="A9" s="108">
        <v>45870</v>
      </c>
      <c r="B9" s="109" t="e">
        <v>#REF!</v>
      </c>
      <c r="C9" s="109" t="e">
        <v>#REF!</v>
      </c>
      <c r="D9" s="109" t="e">
        <v>#REF!</v>
      </c>
      <c r="E9" s="109" t="e">
        <v>#REF!</v>
      </c>
      <c r="F9" s="109" t="e">
        <v>#REF!</v>
      </c>
      <c r="G9" s="109" t="e">
        <v>#REF!</v>
      </c>
      <c r="H9" s="109" t="e">
        <v>#REF!</v>
      </c>
      <c r="I9" s="109" t="e">
        <v>#REF!</v>
      </c>
      <c r="J9" s="109" t="e">
        <v>#REF!</v>
      </c>
      <c r="K9" s="109" t="e">
        <v>#REF!</v>
      </c>
      <c r="L9" s="109" t="e">
        <v>#REF!</v>
      </c>
      <c r="M9" s="109" t="e">
        <v>#REF!</v>
      </c>
      <c r="N9" s="109" t="e">
        <v>#REF!</v>
      </c>
      <c r="O9" s="109" t="e">
        <v>#REF!</v>
      </c>
      <c r="P9" s="109" t="e">
        <v>#REF!</v>
      </c>
      <c r="Q9" s="109" t="e">
        <v>#REF!</v>
      </c>
      <c r="R9" s="109" t="e">
        <v>#REF!</v>
      </c>
      <c r="S9" s="109" t="e">
        <v>#REF!</v>
      </c>
      <c r="T9" s="109" t="e">
        <v>#REF!</v>
      </c>
      <c r="U9" s="109" t="e">
        <v>#REF!</v>
      </c>
      <c r="V9" s="109" t="e">
        <v>#REF!</v>
      </c>
      <c r="W9" s="109" t="e">
        <v>#REF!</v>
      </c>
      <c r="X9" s="109" t="e">
        <v>#REF!</v>
      </c>
      <c r="Y9" s="109" t="e">
        <v>#REF!</v>
      </c>
      <c r="Z9" s="109" t="e">
        <v>#REF!</v>
      </c>
      <c r="AA9" s="109" t="e">
        <v>#REF!</v>
      </c>
      <c r="AB9" s="109" t="e">
        <v>#REF!</v>
      </c>
      <c r="AC9" s="109" t="e">
        <v>#REF!</v>
      </c>
      <c r="AD9" s="109" t="e">
        <v>#REF!</v>
      </c>
      <c r="AE9" s="109" t="e">
        <v>#REF!</v>
      </c>
    </row>
    <row r="10" spans="1:31" ht="15.75" customHeight="1" x14ac:dyDescent="0.35">
      <c r="A10" s="108">
        <v>45901</v>
      </c>
      <c r="B10" s="109" t="e">
        <v>#REF!</v>
      </c>
      <c r="C10" s="109" t="e">
        <v>#REF!</v>
      </c>
      <c r="D10" s="109" t="e">
        <v>#REF!</v>
      </c>
      <c r="E10" s="109" t="e">
        <v>#REF!</v>
      </c>
      <c r="F10" s="109" t="e">
        <v>#REF!</v>
      </c>
      <c r="G10" s="109" t="e">
        <v>#REF!</v>
      </c>
      <c r="H10" s="109" t="e">
        <v>#REF!</v>
      </c>
      <c r="I10" s="109" t="e">
        <v>#REF!</v>
      </c>
      <c r="J10" s="109" t="e">
        <v>#REF!</v>
      </c>
      <c r="K10" s="109" t="e">
        <v>#REF!</v>
      </c>
      <c r="L10" s="109" t="e">
        <v>#REF!</v>
      </c>
      <c r="M10" s="109" t="e">
        <v>#REF!</v>
      </c>
      <c r="N10" s="109" t="e">
        <v>#REF!</v>
      </c>
      <c r="O10" s="109" t="e">
        <v>#REF!</v>
      </c>
      <c r="P10" s="109" t="e">
        <v>#REF!</v>
      </c>
      <c r="Q10" s="109" t="e">
        <v>#REF!</v>
      </c>
      <c r="R10" s="109" t="e">
        <v>#REF!</v>
      </c>
      <c r="S10" s="109" t="e">
        <v>#REF!</v>
      </c>
      <c r="T10" s="109" t="e">
        <v>#REF!</v>
      </c>
      <c r="U10" s="109" t="e">
        <v>#REF!</v>
      </c>
      <c r="V10" s="109" t="e">
        <v>#REF!</v>
      </c>
      <c r="W10" s="109" t="e">
        <v>#REF!</v>
      </c>
      <c r="X10" s="109" t="e">
        <v>#REF!</v>
      </c>
      <c r="Y10" s="109" t="e">
        <v>#REF!</v>
      </c>
      <c r="Z10" s="109" t="e">
        <v>#REF!</v>
      </c>
      <c r="AA10" s="109" t="e">
        <v>#REF!</v>
      </c>
      <c r="AB10" s="109" t="e">
        <v>#REF!</v>
      </c>
      <c r="AC10" s="109" t="e">
        <v>#REF!</v>
      </c>
      <c r="AD10" s="109" t="e">
        <v>#REF!</v>
      </c>
      <c r="AE10" s="109" t="e">
        <v>#REF!</v>
      </c>
    </row>
    <row r="11" spans="1:31" ht="15.75" customHeight="1" x14ac:dyDescent="0.35">
      <c r="A11" s="108">
        <v>45931</v>
      </c>
      <c r="B11" s="109" t="e">
        <v>#REF!</v>
      </c>
      <c r="C11" s="109" t="e">
        <v>#REF!</v>
      </c>
      <c r="D11" s="109" t="e">
        <v>#REF!</v>
      </c>
      <c r="E11" s="109" t="e">
        <v>#REF!</v>
      </c>
      <c r="F11" s="109" t="e">
        <v>#REF!</v>
      </c>
      <c r="G11" s="109" t="e">
        <v>#REF!</v>
      </c>
      <c r="H11" s="109" t="e">
        <v>#REF!</v>
      </c>
      <c r="I11" s="109" t="e">
        <v>#REF!</v>
      </c>
      <c r="J11" s="109" t="e">
        <v>#REF!</v>
      </c>
      <c r="K11" s="109" t="e">
        <v>#REF!</v>
      </c>
      <c r="L11" s="109" t="e">
        <v>#REF!</v>
      </c>
      <c r="M11" s="109" t="e">
        <v>#REF!</v>
      </c>
      <c r="N11" s="109" t="e">
        <v>#REF!</v>
      </c>
      <c r="O11" s="109" t="e">
        <v>#REF!</v>
      </c>
      <c r="P11" s="109" t="e">
        <v>#REF!</v>
      </c>
      <c r="Q11" s="109" t="e">
        <v>#REF!</v>
      </c>
      <c r="R11" s="109" t="e">
        <v>#REF!</v>
      </c>
      <c r="S11" s="109" t="e">
        <v>#REF!</v>
      </c>
      <c r="T11" s="109" t="e">
        <v>#REF!</v>
      </c>
      <c r="U11" s="109" t="e">
        <v>#REF!</v>
      </c>
      <c r="V11" s="109" t="e">
        <v>#REF!</v>
      </c>
      <c r="W11" s="109" t="e">
        <v>#REF!</v>
      </c>
      <c r="X11" s="109" t="e">
        <v>#REF!</v>
      </c>
      <c r="Y11" s="109" t="e">
        <v>#REF!</v>
      </c>
      <c r="Z11" s="109" t="e">
        <v>#REF!</v>
      </c>
      <c r="AA11" s="109" t="e">
        <v>#REF!</v>
      </c>
      <c r="AB11" s="109" t="e">
        <v>#REF!</v>
      </c>
      <c r="AC11" s="109" t="e">
        <v>#REF!</v>
      </c>
      <c r="AD11" s="109" t="e">
        <v>#REF!</v>
      </c>
      <c r="AE11" s="109" t="e">
        <v>#REF!</v>
      </c>
    </row>
    <row r="12" spans="1:31" ht="15.75" customHeight="1" x14ac:dyDescent="0.35">
      <c r="A12" s="108">
        <v>45962</v>
      </c>
      <c r="B12" s="109" t="e">
        <v>#REF!</v>
      </c>
      <c r="C12" s="109" t="e">
        <v>#REF!</v>
      </c>
      <c r="D12" s="109" t="e">
        <v>#REF!</v>
      </c>
      <c r="E12" s="109" t="e">
        <v>#REF!</v>
      </c>
      <c r="F12" s="109" t="e">
        <v>#REF!</v>
      </c>
      <c r="G12" s="109" t="e">
        <v>#REF!</v>
      </c>
      <c r="H12" s="109" t="e">
        <v>#REF!</v>
      </c>
      <c r="I12" s="109" t="e">
        <v>#REF!</v>
      </c>
      <c r="J12" s="109" t="e">
        <v>#REF!</v>
      </c>
      <c r="K12" s="109" t="e">
        <v>#REF!</v>
      </c>
      <c r="L12" s="109" t="e">
        <v>#REF!</v>
      </c>
      <c r="M12" s="109" t="e">
        <v>#REF!</v>
      </c>
      <c r="N12" s="109" t="e">
        <v>#REF!</v>
      </c>
      <c r="O12" s="109" t="e">
        <v>#REF!</v>
      </c>
      <c r="P12" s="109" t="e">
        <v>#REF!</v>
      </c>
      <c r="Q12" s="109" t="e">
        <v>#REF!</v>
      </c>
      <c r="R12" s="109" t="e">
        <v>#REF!</v>
      </c>
      <c r="S12" s="109" t="e">
        <v>#REF!</v>
      </c>
      <c r="T12" s="109" t="e">
        <v>#REF!</v>
      </c>
      <c r="U12" s="109" t="e">
        <v>#REF!</v>
      </c>
      <c r="V12" s="109" t="e">
        <v>#REF!</v>
      </c>
      <c r="W12" s="109" t="e">
        <v>#REF!</v>
      </c>
      <c r="X12" s="109" t="e">
        <v>#REF!</v>
      </c>
      <c r="Y12" s="109" t="e">
        <v>#REF!</v>
      </c>
      <c r="Z12" s="109" t="e">
        <v>#REF!</v>
      </c>
      <c r="AA12" s="109" t="e">
        <v>#REF!</v>
      </c>
      <c r="AB12" s="109" t="e">
        <v>#REF!</v>
      </c>
      <c r="AC12" s="109" t="e">
        <v>#REF!</v>
      </c>
      <c r="AD12" s="109" t="e">
        <v>#REF!</v>
      </c>
      <c r="AE12" s="109" t="e">
        <v>#REF!</v>
      </c>
    </row>
    <row r="13" spans="1:31" ht="15.75" customHeight="1" x14ac:dyDescent="0.35">
      <c r="A13" s="108">
        <v>45992</v>
      </c>
      <c r="B13" s="109" t="e">
        <v>#REF!</v>
      </c>
      <c r="C13" s="109" t="e">
        <v>#REF!</v>
      </c>
      <c r="D13" s="109" t="e">
        <v>#REF!</v>
      </c>
      <c r="E13" s="109" t="e">
        <v>#REF!</v>
      </c>
      <c r="F13" s="109" t="e">
        <v>#REF!</v>
      </c>
      <c r="G13" s="109" t="e">
        <v>#REF!</v>
      </c>
      <c r="H13" s="109" t="e">
        <v>#REF!</v>
      </c>
      <c r="I13" s="109" t="e">
        <v>#REF!</v>
      </c>
      <c r="J13" s="109" t="e">
        <v>#REF!</v>
      </c>
      <c r="K13" s="109" t="e">
        <v>#REF!</v>
      </c>
      <c r="L13" s="109" t="e">
        <v>#REF!</v>
      </c>
      <c r="M13" s="109" t="e">
        <v>#REF!</v>
      </c>
      <c r="N13" s="109" t="e">
        <v>#REF!</v>
      </c>
      <c r="O13" s="109" t="e">
        <v>#REF!</v>
      </c>
      <c r="P13" s="109" t="e">
        <v>#REF!</v>
      </c>
      <c r="Q13" s="109" t="e">
        <v>#REF!</v>
      </c>
      <c r="R13" s="109" t="e">
        <v>#REF!</v>
      </c>
      <c r="S13" s="109" t="e">
        <v>#REF!</v>
      </c>
      <c r="T13" s="109" t="e">
        <v>#REF!</v>
      </c>
      <c r="U13" s="109" t="e">
        <v>#REF!</v>
      </c>
      <c r="V13" s="109" t="e">
        <v>#REF!</v>
      </c>
      <c r="W13" s="109" t="e">
        <v>#REF!</v>
      </c>
      <c r="X13" s="109" t="e">
        <v>#REF!</v>
      </c>
      <c r="Y13" s="109" t="e">
        <v>#REF!</v>
      </c>
      <c r="Z13" s="109" t="e">
        <v>#REF!</v>
      </c>
      <c r="AA13" s="109" t="e">
        <v>#REF!</v>
      </c>
      <c r="AB13" s="109" t="e">
        <v>#REF!</v>
      </c>
      <c r="AC13" s="109" t="e">
        <v>#REF!</v>
      </c>
      <c r="AD13" s="109" t="e">
        <v>#REF!</v>
      </c>
      <c r="AE13" s="109" t="e">
        <v>#REF!</v>
      </c>
    </row>
    <row r="15" spans="1:31" ht="15.75" customHeight="1" x14ac:dyDescent="0.25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3"/>
  <sheetViews>
    <sheetView workbookViewId="0">
      <pane xSplit="1" topLeftCell="B1" activePane="topRight" state="frozen"/>
      <selection pane="topRight" activeCell="C2" sqref="C2"/>
    </sheetView>
  </sheetViews>
  <sheetFormatPr defaultColWidth="12.6328125" defaultRowHeight="15.75" customHeight="1" x14ac:dyDescent="0.25"/>
  <cols>
    <col min="1" max="1" width="13.453125" customWidth="1"/>
    <col min="2" max="2" width="30.6328125" customWidth="1"/>
    <col min="3" max="3" width="23.453125" customWidth="1"/>
    <col min="4" max="4" width="31.6328125" customWidth="1"/>
    <col min="5" max="5" width="21.6328125" customWidth="1"/>
    <col min="6" max="7" width="29.36328125" customWidth="1"/>
    <col min="8" max="8" width="28.453125" customWidth="1"/>
    <col min="9" max="9" width="31.6328125" customWidth="1"/>
    <col min="10" max="10" width="39.7265625" customWidth="1"/>
    <col min="11" max="11" width="20.08984375" customWidth="1"/>
    <col min="12" max="12" width="18.90625" customWidth="1"/>
    <col min="13" max="13" width="29" customWidth="1"/>
    <col min="14" max="14" width="25.26953125" customWidth="1"/>
    <col min="15" max="15" width="24.08984375" customWidth="1"/>
    <col min="16" max="16" width="25.26953125" customWidth="1"/>
    <col min="17" max="17" width="34.36328125" customWidth="1"/>
    <col min="18" max="18" width="19.08984375" customWidth="1"/>
    <col min="19" max="19" width="49.6328125" customWidth="1"/>
    <col min="20" max="20" width="31.6328125" customWidth="1"/>
    <col min="21" max="21" width="30.453125" customWidth="1"/>
    <col min="22" max="22" width="37.36328125" customWidth="1"/>
    <col min="23" max="23" width="21.90625" customWidth="1"/>
    <col min="24" max="24" width="20.90625" customWidth="1"/>
    <col min="25" max="25" width="22.453125" customWidth="1"/>
    <col min="26" max="26" width="27.26953125" customWidth="1"/>
    <col min="27" max="27" width="56.90625" customWidth="1"/>
    <col min="28" max="28" width="59.90625" customWidth="1"/>
    <col min="29" max="29" width="13.7265625" customWidth="1"/>
    <col min="30" max="30" width="61.453125" customWidth="1"/>
    <col min="31" max="31" width="20.08984375" customWidth="1"/>
  </cols>
  <sheetData>
    <row r="1" spans="1:31" ht="15.75" customHeight="1" x14ac:dyDescent="0.35">
      <c r="A1" s="1" t="s">
        <v>102</v>
      </c>
      <c r="B1" s="2" t="s">
        <v>16</v>
      </c>
      <c r="C1" s="2" t="s">
        <v>17</v>
      </c>
      <c r="D1" s="3" t="s">
        <v>18</v>
      </c>
      <c r="E1" s="2" t="s">
        <v>19</v>
      </c>
      <c r="F1" s="2" t="s">
        <v>20</v>
      </c>
      <c r="G1" s="4" t="s">
        <v>21</v>
      </c>
      <c r="H1" s="4" t="s">
        <v>22</v>
      </c>
      <c r="I1" s="3" t="s">
        <v>23</v>
      </c>
      <c r="J1" s="5" t="s">
        <v>168</v>
      </c>
      <c r="K1" s="2" t="s">
        <v>24</v>
      </c>
      <c r="L1" s="2" t="s">
        <v>25</v>
      </c>
      <c r="M1" s="5" t="s">
        <v>26</v>
      </c>
      <c r="N1" s="2" t="s">
        <v>27</v>
      </c>
      <c r="O1" s="2" t="s">
        <v>28</v>
      </c>
      <c r="P1" s="2" t="s">
        <v>29</v>
      </c>
      <c r="Q1" s="5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5" t="s">
        <v>35</v>
      </c>
      <c r="W1" s="2" t="s">
        <v>36</v>
      </c>
      <c r="X1" s="5" t="s">
        <v>169</v>
      </c>
      <c r="Y1" s="2" t="s">
        <v>37</v>
      </c>
      <c r="Z1" s="2" t="s">
        <v>38</v>
      </c>
      <c r="AA1" s="6" t="s">
        <v>39</v>
      </c>
      <c r="AB1" s="6" t="s">
        <v>40</v>
      </c>
      <c r="AC1" s="5" t="s">
        <v>41</v>
      </c>
      <c r="AD1" s="7" t="s">
        <v>42</v>
      </c>
      <c r="AE1" s="8" t="s">
        <v>43</v>
      </c>
    </row>
    <row r="2" spans="1:31" ht="15.75" customHeight="1" x14ac:dyDescent="0.35">
      <c r="A2" s="108">
        <v>45658</v>
      </c>
      <c r="B2" s="109" t="e">
        <f t="array" ref="B2:AE13">TRANSPOSE(#REF!)</f>
        <v>#REF!</v>
      </c>
      <c r="C2" s="109" t="e">
        <v>#REF!</v>
      </c>
      <c r="D2" s="109" t="e">
        <v>#REF!</v>
      </c>
      <c r="E2" s="109" t="e">
        <v>#REF!</v>
      </c>
      <c r="F2" s="109" t="e">
        <v>#REF!</v>
      </c>
      <c r="G2" s="109" t="e">
        <v>#REF!</v>
      </c>
      <c r="H2" s="109" t="e">
        <v>#REF!</v>
      </c>
      <c r="I2" s="109" t="e">
        <v>#REF!</v>
      </c>
      <c r="J2" s="109" t="e">
        <v>#REF!</v>
      </c>
      <c r="K2" s="109" t="e">
        <v>#REF!</v>
      </c>
      <c r="L2" s="109" t="e">
        <v>#REF!</v>
      </c>
      <c r="M2" s="109" t="e">
        <v>#REF!</v>
      </c>
      <c r="N2" s="109" t="e">
        <v>#REF!</v>
      </c>
      <c r="O2" s="109" t="e">
        <v>#REF!</v>
      </c>
      <c r="P2" s="109" t="e">
        <v>#REF!</v>
      </c>
      <c r="Q2" s="109" t="e">
        <v>#REF!</v>
      </c>
      <c r="R2" s="109" t="e">
        <v>#REF!</v>
      </c>
      <c r="S2" s="109" t="e">
        <v>#REF!</v>
      </c>
      <c r="T2" s="109" t="e">
        <v>#REF!</v>
      </c>
      <c r="U2" s="109" t="e">
        <v>#REF!</v>
      </c>
      <c r="V2" s="109" t="e">
        <v>#REF!</v>
      </c>
      <c r="W2" s="109" t="e">
        <v>#REF!</v>
      </c>
      <c r="X2" s="109" t="e">
        <v>#REF!</v>
      </c>
      <c r="Y2" s="109" t="e">
        <v>#REF!</v>
      </c>
      <c r="Z2" s="109" t="e">
        <v>#REF!</v>
      </c>
      <c r="AA2" s="109" t="e">
        <v>#REF!</v>
      </c>
      <c r="AB2" s="109" t="e">
        <v>#REF!</v>
      </c>
      <c r="AC2" s="109" t="e">
        <v>#REF!</v>
      </c>
      <c r="AD2" s="109" t="e">
        <v>#REF!</v>
      </c>
      <c r="AE2" s="109" t="e">
        <v>#REF!</v>
      </c>
    </row>
    <row r="3" spans="1:31" ht="15.75" customHeight="1" x14ac:dyDescent="0.35">
      <c r="A3" s="108">
        <v>45689</v>
      </c>
      <c r="B3" s="109" t="e">
        <v>#REF!</v>
      </c>
      <c r="C3" s="109" t="e">
        <v>#REF!</v>
      </c>
      <c r="D3" s="109" t="e">
        <v>#REF!</v>
      </c>
      <c r="E3" s="109" t="e">
        <v>#REF!</v>
      </c>
      <c r="F3" s="109" t="e">
        <v>#REF!</v>
      </c>
      <c r="G3" s="109" t="e">
        <v>#REF!</v>
      </c>
      <c r="H3" s="109" t="e">
        <v>#REF!</v>
      </c>
      <c r="I3" s="109" t="e">
        <v>#REF!</v>
      </c>
      <c r="J3" s="109" t="e">
        <v>#REF!</v>
      </c>
      <c r="K3" s="109" t="e">
        <v>#REF!</v>
      </c>
      <c r="L3" s="109" t="e">
        <v>#REF!</v>
      </c>
      <c r="M3" s="109" t="e">
        <v>#REF!</v>
      </c>
      <c r="N3" s="109" t="e">
        <v>#REF!</v>
      </c>
      <c r="O3" s="109" t="e">
        <v>#REF!</v>
      </c>
      <c r="P3" s="109" t="e">
        <v>#REF!</v>
      </c>
      <c r="Q3" s="109" t="e">
        <v>#REF!</v>
      </c>
      <c r="R3" s="109" t="e">
        <v>#REF!</v>
      </c>
      <c r="S3" s="109" t="e">
        <v>#REF!</v>
      </c>
      <c r="T3" s="109" t="e">
        <v>#REF!</v>
      </c>
      <c r="U3" s="109" t="e">
        <v>#REF!</v>
      </c>
      <c r="V3" s="109" t="e">
        <v>#REF!</v>
      </c>
      <c r="W3" s="109" t="e">
        <v>#REF!</v>
      </c>
      <c r="X3" s="109" t="e">
        <v>#REF!</v>
      </c>
      <c r="Y3" s="109" t="e">
        <v>#REF!</v>
      </c>
      <c r="Z3" s="109" t="e">
        <v>#REF!</v>
      </c>
      <c r="AA3" s="109" t="e">
        <v>#REF!</v>
      </c>
      <c r="AB3" s="109" t="e">
        <v>#REF!</v>
      </c>
      <c r="AC3" s="109" t="e">
        <v>#REF!</v>
      </c>
      <c r="AD3" s="109" t="e">
        <v>#REF!</v>
      </c>
      <c r="AE3" s="109" t="e">
        <v>#REF!</v>
      </c>
    </row>
    <row r="4" spans="1:31" ht="15.75" customHeight="1" x14ac:dyDescent="0.35">
      <c r="A4" s="108">
        <v>45717</v>
      </c>
      <c r="B4" s="109" t="e">
        <v>#REF!</v>
      </c>
      <c r="C4" s="109" t="e">
        <v>#REF!</v>
      </c>
      <c r="D4" s="109" t="e">
        <v>#REF!</v>
      </c>
      <c r="E4" s="109" t="e">
        <v>#REF!</v>
      </c>
      <c r="F4" s="109" t="e">
        <v>#REF!</v>
      </c>
      <c r="G4" s="109" t="e">
        <v>#REF!</v>
      </c>
      <c r="H4" s="109" t="e">
        <v>#REF!</v>
      </c>
      <c r="I4" s="109" t="e">
        <v>#REF!</v>
      </c>
      <c r="J4" s="109" t="e">
        <v>#REF!</v>
      </c>
      <c r="K4" s="109" t="e">
        <v>#REF!</v>
      </c>
      <c r="L4" s="109" t="e">
        <v>#REF!</v>
      </c>
      <c r="M4" s="109" t="e">
        <v>#REF!</v>
      </c>
      <c r="N4" s="109" t="e">
        <v>#REF!</v>
      </c>
      <c r="O4" s="109" t="e">
        <v>#REF!</v>
      </c>
      <c r="P4" s="109" t="e">
        <v>#REF!</v>
      </c>
      <c r="Q4" s="109" t="e">
        <v>#REF!</v>
      </c>
      <c r="R4" s="109" t="e">
        <v>#REF!</v>
      </c>
      <c r="S4" s="109" t="e">
        <v>#REF!</v>
      </c>
      <c r="T4" s="109" t="e">
        <v>#REF!</v>
      </c>
      <c r="U4" s="109" t="e">
        <v>#REF!</v>
      </c>
      <c r="V4" s="109" t="e">
        <v>#REF!</v>
      </c>
      <c r="W4" s="109" t="e">
        <v>#REF!</v>
      </c>
      <c r="X4" s="109" t="e">
        <v>#REF!</v>
      </c>
      <c r="Y4" s="109" t="e">
        <v>#REF!</v>
      </c>
      <c r="Z4" s="109" t="e">
        <v>#REF!</v>
      </c>
      <c r="AA4" s="109" t="e">
        <v>#REF!</v>
      </c>
      <c r="AB4" s="109" t="e">
        <v>#REF!</v>
      </c>
      <c r="AC4" s="109" t="e">
        <v>#REF!</v>
      </c>
      <c r="AD4" s="109" t="e">
        <v>#REF!</v>
      </c>
      <c r="AE4" s="109" t="e">
        <v>#REF!</v>
      </c>
    </row>
    <row r="5" spans="1:31" ht="15.75" customHeight="1" x14ac:dyDescent="0.35">
      <c r="A5" s="108">
        <v>45748</v>
      </c>
      <c r="B5" s="109" t="e">
        <v>#REF!</v>
      </c>
      <c r="C5" s="109" t="e">
        <v>#REF!</v>
      </c>
      <c r="D5" s="109" t="e">
        <v>#REF!</v>
      </c>
      <c r="E5" s="109" t="e">
        <v>#REF!</v>
      </c>
      <c r="F5" s="109" t="e">
        <v>#REF!</v>
      </c>
      <c r="G5" s="109" t="e">
        <v>#REF!</v>
      </c>
      <c r="H5" s="109" t="e">
        <v>#REF!</v>
      </c>
      <c r="I5" s="109" t="e">
        <v>#REF!</v>
      </c>
      <c r="J5" s="109" t="e">
        <v>#REF!</v>
      </c>
      <c r="K5" s="109" t="e">
        <v>#REF!</v>
      </c>
      <c r="L5" s="109" t="e">
        <v>#REF!</v>
      </c>
      <c r="M5" s="109" t="e">
        <v>#REF!</v>
      </c>
      <c r="N5" s="109" t="e">
        <v>#REF!</v>
      </c>
      <c r="O5" s="109" t="e">
        <v>#REF!</v>
      </c>
      <c r="P5" s="109" t="e">
        <v>#REF!</v>
      </c>
      <c r="Q5" s="109" t="e">
        <v>#REF!</v>
      </c>
      <c r="R5" s="109" t="e">
        <v>#REF!</v>
      </c>
      <c r="S5" s="109" t="e">
        <v>#REF!</v>
      </c>
      <c r="T5" s="109" t="e">
        <v>#REF!</v>
      </c>
      <c r="U5" s="109" t="e">
        <v>#REF!</v>
      </c>
      <c r="V5" s="109" t="e">
        <v>#REF!</v>
      </c>
      <c r="W5" s="109" t="e">
        <v>#REF!</v>
      </c>
      <c r="X5" s="109" t="e">
        <v>#REF!</v>
      </c>
      <c r="Y5" s="109" t="e">
        <v>#REF!</v>
      </c>
      <c r="Z5" s="109" t="e">
        <v>#REF!</v>
      </c>
      <c r="AA5" s="109" t="e">
        <v>#REF!</v>
      </c>
      <c r="AB5" s="109" t="e">
        <v>#REF!</v>
      </c>
      <c r="AC5" s="109" t="e">
        <v>#REF!</v>
      </c>
      <c r="AD5" s="109" t="e">
        <v>#REF!</v>
      </c>
      <c r="AE5" s="109" t="e">
        <v>#REF!</v>
      </c>
    </row>
    <row r="6" spans="1:31" ht="15.75" customHeight="1" x14ac:dyDescent="0.35">
      <c r="A6" s="108">
        <v>45778</v>
      </c>
      <c r="B6" s="109" t="e">
        <v>#REF!</v>
      </c>
      <c r="C6" s="109" t="e">
        <v>#REF!</v>
      </c>
      <c r="D6" s="109" t="e">
        <v>#REF!</v>
      </c>
      <c r="E6" s="109" t="e">
        <v>#REF!</v>
      </c>
      <c r="F6" s="109" t="e">
        <v>#REF!</v>
      </c>
      <c r="G6" s="109" t="e">
        <v>#REF!</v>
      </c>
      <c r="H6" s="109" t="e">
        <v>#REF!</v>
      </c>
      <c r="I6" s="109" t="e">
        <v>#REF!</v>
      </c>
      <c r="J6" s="109" t="e">
        <v>#REF!</v>
      </c>
      <c r="K6" s="109" t="e">
        <v>#REF!</v>
      </c>
      <c r="L6" s="109" t="e">
        <v>#REF!</v>
      </c>
      <c r="M6" s="109" t="e">
        <v>#REF!</v>
      </c>
      <c r="N6" s="109" t="e">
        <v>#REF!</v>
      </c>
      <c r="O6" s="109" t="e">
        <v>#REF!</v>
      </c>
      <c r="P6" s="109" t="e">
        <v>#REF!</v>
      </c>
      <c r="Q6" s="109" t="e">
        <v>#REF!</v>
      </c>
      <c r="R6" s="109" t="e">
        <v>#REF!</v>
      </c>
      <c r="S6" s="109" t="e">
        <v>#REF!</v>
      </c>
      <c r="T6" s="109" t="e">
        <v>#REF!</v>
      </c>
      <c r="U6" s="109" t="e">
        <v>#REF!</v>
      </c>
      <c r="V6" s="109" t="e">
        <v>#REF!</v>
      </c>
      <c r="W6" s="109" t="e">
        <v>#REF!</v>
      </c>
      <c r="X6" s="109" t="e">
        <v>#REF!</v>
      </c>
      <c r="Y6" s="109" t="e">
        <v>#REF!</v>
      </c>
      <c r="Z6" s="109" t="e">
        <v>#REF!</v>
      </c>
      <c r="AA6" s="109" t="e">
        <v>#REF!</v>
      </c>
      <c r="AB6" s="109" t="e">
        <v>#REF!</v>
      </c>
      <c r="AC6" s="109" t="e">
        <v>#REF!</v>
      </c>
      <c r="AD6" s="109" t="e">
        <v>#REF!</v>
      </c>
      <c r="AE6" s="109" t="e">
        <v>#REF!</v>
      </c>
    </row>
    <row r="7" spans="1:31" ht="15.75" customHeight="1" x14ac:dyDescent="0.35">
      <c r="A7" s="108">
        <v>45809</v>
      </c>
      <c r="B7" s="109" t="e">
        <v>#REF!</v>
      </c>
      <c r="C7" s="109" t="e">
        <v>#REF!</v>
      </c>
      <c r="D7" s="109" t="e">
        <v>#REF!</v>
      </c>
      <c r="E7" s="109" t="e">
        <v>#REF!</v>
      </c>
      <c r="F7" s="109" t="e">
        <v>#REF!</v>
      </c>
      <c r="G7" s="109" t="e">
        <v>#REF!</v>
      </c>
      <c r="H7" s="109" t="e">
        <v>#REF!</v>
      </c>
      <c r="I7" s="109" t="e">
        <v>#REF!</v>
      </c>
      <c r="J7" s="109" t="e">
        <v>#REF!</v>
      </c>
      <c r="K7" s="109" t="e">
        <v>#REF!</v>
      </c>
      <c r="L7" s="109" t="e">
        <v>#REF!</v>
      </c>
      <c r="M7" s="109" t="e">
        <v>#REF!</v>
      </c>
      <c r="N7" s="109" t="e">
        <v>#REF!</v>
      </c>
      <c r="O7" s="109" t="e">
        <v>#REF!</v>
      </c>
      <c r="P7" s="109" t="e">
        <v>#REF!</v>
      </c>
      <c r="Q7" s="109" t="e">
        <v>#REF!</v>
      </c>
      <c r="R7" s="109" t="e">
        <v>#REF!</v>
      </c>
      <c r="S7" s="109" t="e">
        <v>#REF!</v>
      </c>
      <c r="T7" s="109" t="e">
        <v>#REF!</v>
      </c>
      <c r="U7" s="109" t="e">
        <v>#REF!</v>
      </c>
      <c r="V7" s="109" t="e">
        <v>#REF!</v>
      </c>
      <c r="W7" s="109" t="e">
        <v>#REF!</v>
      </c>
      <c r="X7" s="109" t="e">
        <v>#REF!</v>
      </c>
      <c r="Y7" s="109" t="e">
        <v>#REF!</v>
      </c>
      <c r="Z7" s="109" t="e">
        <v>#REF!</v>
      </c>
      <c r="AA7" s="109" t="e">
        <v>#REF!</v>
      </c>
      <c r="AB7" s="109" t="e">
        <v>#REF!</v>
      </c>
      <c r="AC7" s="109" t="e">
        <v>#REF!</v>
      </c>
      <c r="AD7" s="109" t="e">
        <v>#REF!</v>
      </c>
      <c r="AE7" s="109" t="e">
        <v>#REF!</v>
      </c>
    </row>
    <row r="8" spans="1:31" ht="15.75" customHeight="1" x14ac:dyDescent="0.35">
      <c r="A8" s="108">
        <v>45839</v>
      </c>
      <c r="B8" s="109" t="e">
        <v>#REF!</v>
      </c>
      <c r="C8" s="109" t="e">
        <v>#REF!</v>
      </c>
      <c r="D8" s="109" t="e">
        <v>#REF!</v>
      </c>
      <c r="E8" s="109" t="e">
        <v>#REF!</v>
      </c>
      <c r="F8" s="109" t="e">
        <v>#REF!</v>
      </c>
      <c r="G8" s="109" t="e">
        <v>#REF!</v>
      </c>
      <c r="H8" s="109" t="e">
        <v>#REF!</v>
      </c>
      <c r="I8" s="109" t="e">
        <v>#REF!</v>
      </c>
      <c r="J8" s="109" t="e">
        <v>#REF!</v>
      </c>
      <c r="K8" s="109" t="e">
        <v>#REF!</v>
      </c>
      <c r="L8" s="109" t="e">
        <v>#REF!</v>
      </c>
      <c r="M8" s="109" t="e">
        <v>#REF!</v>
      </c>
      <c r="N8" s="109" t="e">
        <v>#REF!</v>
      </c>
      <c r="O8" s="109" t="e">
        <v>#REF!</v>
      </c>
      <c r="P8" s="109" t="e">
        <v>#REF!</v>
      </c>
      <c r="Q8" s="109" t="e">
        <v>#REF!</v>
      </c>
      <c r="R8" s="109" t="e">
        <v>#REF!</v>
      </c>
      <c r="S8" s="109" t="e">
        <v>#REF!</v>
      </c>
      <c r="T8" s="109" t="e">
        <v>#REF!</v>
      </c>
      <c r="U8" s="109" t="e">
        <v>#REF!</v>
      </c>
      <c r="V8" s="109" t="e">
        <v>#REF!</v>
      </c>
      <c r="W8" s="109" t="e">
        <v>#REF!</v>
      </c>
      <c r="X8" s="109" t="e">
        <v>#REF!</v>
      </c>
      <c r="Y8" s="109" t="e">
        <v>#REF!</v>
      </c>
      <c r="Z8" s="109" t="e">
        <v>#REF!</v>
      </c>
      <c r="AA8" s="109" t="e">
        <v>#REF!</v>
      </c>
      <c r="AB8" s="109" t="e">
        <v>#REF!</v>
      </c>
      <c r="AC8" s="109" t="e">
        <v>#REF!</v>
      </c>
      <c r="AD8" s="109" t="e">
        <v>#REF!</v>
      </c>
      <c r="AE8" s="109" t="e">
        <v>#REF!</v>
      </c>
    </row>
    <row r="9" spans="1:31" ht="15.75" customHeight="1" x14ac:dyDescent="0.35">
      <c r="A9" s="108">
        <v>45870</v>
      </c>
      <c r="B9" s="109" t="e">
        <v>#REF!</v>
      </c>
      <c r="C9" s="109" t="e">
        <v>#REF!</v>
      </c>
      <c r="D9" s="109" t="e">
        <v>#REF!</v>
      </c>
      <c r="E9" s="109" t="e">
        <v>#REF!</v>
      </c>
      <c r="F9" s="109" t="e">
        <v>#REF!</v>
      </c>
      <c r="G9" s="109" t="e">
        <v>#REF!</v>
      </c>
      <c r="H9" s="109" t="e">
        <v>#REF!</v>
      </c>
      <c r="I9" s="109" t="e">
        <v>#REF!</v>
      </c>
      <c r="J9" s="109" t="e">
        <v>#REF!</v>
      </c>
      <c r="K9" s="109" t="e">
        <v>#REF!</v>
      </c>
      <c r="L9" s="109" t="e">
        <v>#REF!</v>
      </c>
      <c r="M9" s="109" t="e">
        <v>#REF!</v>
      </c>
      <c r="N9" s="109" t="e">
        <v>#REF!</v>
      </c>
      <c r="O9" s="109" t="e">
        <v>#REF!</v>
      </c>
      <c r="P9" s="109" t="e">
        <v>#REF!</v>
      </c>
      <c r="Q9" s="109" t="e">
        <v>#REF!</v>
      </c>
      <c r="R9" s="109" t="e">
        <v>#REF!</v>
      </c>
      <c r="S9" s="109" t="e">
        <v>#REF!</v>
      </c>
      <c r="T9" s="109" t="e">
        <v>#REF!</v>
      </c>
      <c r="U9" s="109" t="e">
        <v>#REF!</v>
      </c>
      <c r="V9" s="109" t="e">
        <v>#REF!</v>
      </c>
      <c r="W9" s="109" t="e">
        <v>#REF!</v>
      </c>
      <c r="X9" s="109" t="e">
        <v>#REF!</v>
      </c>
      <c r="Y9" s="109" t="e">
        <v>#REF!</v>
      </c>
      <c r="Z9" s="109" t="e">
        <v>#REF!</v>
      </c>
      <c r="AA9" s="109" t="e">
        <v>#REF!</v>
      </c>
      <c r="AB9" s="109" t="e">
        <v>#REF!</v>
      </c>
      <c r="AC9" s="109" t="e">
        <v>#REF!</v>
      </c>
      <c r="AD9" s="109" t="e">
        <v>#REF!</v>
      </c>
      <c r="AE9" s="109" t="e">
        <v>#REF!</v>
      </c>
    </row>
    <row r="10" spans="1:31" ht="15.75" customHeight="1" x14ac:dyDescent="0.35">
      <c r="A10" s="108">
        <v>45901</v>
      </c>
      <c r="B10" s="109" t="e">
        <v>#REF!</v>
      </c>
      <c r="C10" s="109" t="e">
        <v>#REF!</v>
      </c>
      <c r="D10" s="109" t="e">
        <v>#REF!</v>
      </c>
      <c r="E10" s="109" t="e">
        <v>#REF!</v>
      </c>
      <c r="F10" s="109" t="e">
        <v>#REF!</v>
      </c>
      <c r="G10" s="109" t="e">
        <v>#REF!</v>
      </c>
      <c r="H10" s="109" t="e">
        <v>#REF!</v>
      </c>
      <c r="I10" s="109" t="e">
        <v>#REF!</v>
      </c>
      <c r="J10" s="109" t="e">
        <v>#REF!</v>
      </c>
      <c r="K10" s="109" t="e">
        <v>#REF!</v>
      </c>
      <c r="L10" s="109" t="e">
        <v>#REF!</v>
      </c>
      <c r="M10" s="109" t="e">
        <v>#REF!</v>
      </c>
      <c r="N10" s="109" t="e">
        <v>#REF!</v>
      </c>
      <c r="O10" s="109" t="e">
        <v>#REF!</v>
      </c>
      <c r="P10" s="109" t="e">
        <v>#REF!</v>
      </c>
      <c r="Q10" s="109" t="e">
        <v>#REF!</v>
      </c>
      <c r="R10" s="109" t="e">
        <v>#REF!</v>
      </c>
      <c r="S10" s="109" t="e">
        <v>#REF!</v>
      </c>
      <c r="T10" s="109" t="e">
        <v>#REF!</v>
      </c>
      <c r="U10" s="109" t="e">
        <v>#REF!</v>
      </c>
      <c r="V10" s="109" t="e">
        <v>#REF!</v>
      </c>
      <c r="W10" s="109" t="e">
        <v>#REF!</v>
      </c>
      <c r="X10" s="109" t="e">
        <v>#REF!</v>
      </c>
      <c r="Y10" s="109" t="e">
        <v>#REF!</v>
      </c>
      <c r="Z10" s="109" t="e">
        <v>#REF!</v>
      </c>
      <c r="AA10" s="109" t="e">
        <v>#REF!</v>
      </c>
      <c r="AB10" s="109" t="e">
        <v>#REF!</v>
      </c>
      <c r="AC10" s="109" t="e">
        <v>#REF!</v>
      </c>
      <c r="AD10" s="109" t="e">
        <v>#REF!</v>
      </c>
      <c r="AE10" s="109" t="e">
        <v>#REF!</v>
      </c>
    </row>
    <row r="11" spans="1:31" ht="15.75" customHeight="1" x14ac:dyDescent="0.35">
      <c r="A11" s="108">
        <v>45931</v>
      </c>
      <c r="B11" s="109" t="e">
        <v>#REF!</v>
      </c>
      <c r="C11" s="109" t="e">
        <v>#REF!</v>
      </c>
      <c r="D11" s="109" t="e">
        <v>#REF!</v>
      </c>
      <c r="E11" s="109" t="e">
        <v>#REF!</v>
      </c>
      <c r="F11" s="109" t="e">
        <v>#REF!</v>
      </c>
      <c r="G11" s="109" t="e">
        <v>#REF!</v>
      </c>
      <c r="H11" s="109" t="e">
        <v>#REF!</v>
      </c>
      <c r="I11" s="109" t="e">
        <v>#REF!</v>
      </c>
      <c r="J11" s="109" t="e">
        <v>#REF!</v>
      </c>
      <c r="K11" s="109" t="e">
        <v>#REF!</v>
      </c>
      <c r="L11" s="109" t="e">
        <v>#REF!</v>
      </c>
      <c r="M11" s="109" t="e">
        <v>#REF!</v>
      </c>
      <c r="N11" s="109" t="e">
        <v>#REF!</v>
      </c>
      <c r="O11" s="109" t="e">
        <v>#REF!</v>
      </c>
      <c r="P11" s="109" t="e">
        <v>#REF!</v>
      </c>
      <c r="Q11" s="109" t="e">
        <v>#REF!</v>
      </c>
      <c r="R11" s="109" t="e">
        <v>#REF!</v>
      </c>
      <c r="S11" s="109" t="e">
        <v>#REF!</v>
      </c>
      <c r="T11" s="109" t="e">
        <v>#REF!</v>
      </c>
      <c r="U11" s="109" t="e">
        <v>#REF!</v>
      </c>
      <c r="V11" s="109" t="e">
        <v>#REF!</v>
      </c>
      <c r="W11" s="109" t="e">
        <v>#REF!</v>
      </c>
      <c r="X11" s="109" t="e">
        <v>#REF!</v>
      </c>
      <c r="Y11" s="109" t="e">
        <v>#REF!</v>
      </c>
      <c r="Z11" s="109" t="e">
        <v>#REF!</v>
      </c>
      <c r="AA11" s="109" t="e">
        <v>#REF!</v>
      </c>
      <c r="AB11" s="109" t="e">
        <v>#REF!</v>
      </c>
      <c r="AC11" s="109" t="e">
        <v>#REF!</v>
      </c>
      <c r="AD11" s="109" t="e">
        <v>#REF!</v>
      </c>
      <c r="AE11" s="109" t="e">
        <v>#REF!</v>
      </c>
    </row>
    <row r="12" spans="1:31" ht="15.75" customHeight="1" x14ac:dyDescent="0.35">
      <c r="A12" s="108">
        <v>45962</v>
      </c>
      <c r="B12" s="109" t="e">
        <v>#REF!</v>
      </c>
      <c r="C12" s="109" t="e">
        <v>#REF!</v>
      </c>
      <c r="D12" s="109" t="e">
        <v>#REF!</v>
      </c>
      <c r="E12" s="109" t="e">
        <v>#REF!</v>
      </c>
      <c r="F12" s="109" t="e">
        <v>#REF!</v>
      </c>
      <c r="G12" s="109" t="e">
        <v>#REF!</v>
      </c>
      <c r="H12" s="109" t="e">
        <v>#REF!</v>
      </c>
      <c r="I12" s="109" t="e">
        <v>#REF!</v>
      </c>
      <c r="J12" s="109" t="e">
        <v>#REF!</v>
      </c>
      <c r="K12" s="109" t="e">
        <v>#REF!</v>
      </c>
      <c r="L12" s="109" t="e">
        <v>#REF!</v>
      </c>
      <c r="M12" s="109" t="e">
        <v>#REF!</v>
      </c>
      <c r="N12" s="109" t="e">
        <v>#REF!</v>
      </c>
      <c r="O12" s="109" t="e">
        <v>#REF!</v>
      </c>
      <c r="P12" s="109" t="e">
        <v>#REF!</v>
      </c>
      <c r="Q12" s="109" t="e">
        <v>#REF!</v>
      </c>
      <c r="R12" s="109" t="e">
        <v>#REF!</v>
      </c>
      <c r="S12" s="109" t="e">
        <v>#REF!</v>
      </c>
      <c r="T12" s="109" t="e">
        <v>#REF!</v>
      </c>
      <c r="U12" s="109" t="e">
        <v>#REF!</v>
      </c>
      <c r="V12" s="109" t="e">
        <v>#REF!</v>
      </c>
      <c r="W12" s="109" t="e">
        <v>#REF!</v>
      </c>
      <c r="X12" s="109" t="e">
        <v>#REF!</v>
      </c>
      <c r="Y12" s="109" t="e">
        <v>#REF!</v>
      </c>
      <c r="Z12" s="109" t="e">
        <v>#REF!</v>
      </c>
      <c r="AA12" s="109" t="e">
        <v>#REF!</v>
      </c>
      <c r="AB12" s="109" t="e">
        <v>#REF!</v>
      </c>
      <c r="AC12" s="109" t="e">
        <v>#REF!</v>
      </c>
      <c r="AD12" s="109" t="e">
        <v>#REF!</v>
      </c>
      <c r="AE12" s="109" t="e">
        <v>#REF!</v>
      </c>
    </row>
    <row r="13" spans="1:31" ht="15.75" customHeight="1" x14ac:dyDescent="0.35">
      <c r="A13" s="108">
        <v>45992</v>
      </c>
      <c r="B13" s="109" t="e">
        <v>#REF!</v>
      </c>
      <c r="C13" s="109" t="e">
        <v>#REF!</v>
      </c>
      <c r="D13" s="109" t="e">
        <v>#REF!</v>
      </c>
      <c r="E13" s="109" t="e">
        <v>#REF!</v>
      </c>
      <c r="F13" s="109" t="e">
        <v>#REF!</v>
      </c>
      <c r="G13" s="109" t="e">
        <v>#REF!</v>
      </c>
      <c r="H13" s="109" t="e">
        <v>#REF!</v>
      </c>
      <c r="I13" s="109" t="e">
        <v>#REF!</v>
      </c>
      <c r="J13" s="109" t="e">
        <v>#REF!</v>
      </c>
      <c r="K13" s="109" t="e">
        <v>#REF!</v>
      </c>
      <c r="L13" s="109" t="e">
        <v>#REF!</v>
      </c>
      <c r="M13" s="109" t="e">
        <v>#REF!</v>
      </c>
      <c r="N13" s="109" t="e">
        <v>#REF!</v>
      </c>
      <c r="O13" s="109" t="e">
        <v>#REF!</v>
      </c>
      <c r="P13" s="109" t="e">
        <v>#REF!</v>
      </c>
      <c r="Q13" s="109" t="e">
        <v>#REF!</v>
      </c>
      <c r="R13" s="109" t="e">
        <v>#REF!</v>
      </c>
      <c r="S13" s="109" t="e">
        <v>#REF!</v>
      </c>
      <c r="T13" s="109" t="e">
        <v>#REF!</v>
      </c>
      <c r="U13" s="109" t="e">
        <v>#REF!</v>
      </c>
      <c r="V13" s="109" t="e">
        <v>#REF!</v>
      </c>
      <c r="W13" s="109" t="e">
        <v>#REF!</v>
      </c>
      <c r="X13" s="109" t="e">
        <v>#REF!</v>
      </c>
      <c r="Y13" s="109" t="e">
        <v>#REF!</v>
      </c>
      <c r="Z13" s="109" t="e">
        <v>#REF!</v>
      </c>
      <c r="AA13" s="109" t="e">
        <v>#REF!</v>
      </c>
      <c r="AB13" s="109" t="e">
        <v>#REF!</v>
      </c>
      <c r="AC13" s="109" t="e">
        <v>#REF!</v>
      </c>
      <c r="AD13" s="109" t="e">
        <v>#REF!</v>
      </c>
      <c r="AE13" s="109" t="e"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H80"/>
  <sheetViews>
    <sheetView showGridLines="0" workbookViewId="0"/>
  </sheetViews>
  <sheetFormatPr defaultColWidth="12.6328125" defaultRowHeight="15.75" customHeight="1" x14ac:dyDescent="0.25"/>
  <sheetData>
    <row r="80" spans="8:8" ht="15.75" customHeight="1" x14ac:dyDescent="0.3">
      <c r="H80" s="1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CM134"/>
  <sheetViews>
    <sheetView workbookViewId="0"/>
  </sheetViews>
  <sheetFormatPr defaultColWidth="12.6328125" defaultRowHeight="15.75" customHeight="1" x14ac:dyDescent="0.25"/>
  <sheetData>
    <row r="1" spans="1:91" ht="15.75" customHeight="1" x14ac:dyDescent="0.25">
      <c r="A1" s="1" t="s">
        <v>90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</row>
    <row r="2" spans="1:91" ht="15.75" customHeight="1" x14ac:dyDescent="0.25">
      <c r="A2" s="1" t="s">
        <v>91</v>
      </c>
      <c r="H2" s="1" t="s">
        <v>92</v>
      </c>
    </row>
    <row r="3" spans="1:91" ht="15.75" customHeight="1" x14ac:dyDescent="0.25">
      <c r="A3" s="1" t="s">
        <v>93</v>
      </c>
      <c r="H3" s="1" t="s">
        <v>94</v>
      </c>
      <c r="N3" s="1" t="s">
        <v>95</v>
      </c>
      <c r="T3" s="1" t="s">
        <v>96</v>
      </c>
      <c r="Z3" s="1" t="s">
        <v>97</v>
      </c>
      <c r="AF3" s="1" t="s">
        <v>98</v>
      </c>
      <c r="AL3" s="1" t="s">
        <v>89</v>
      </c>
      <c r="AR3" s="1" t="s">
        <v>87</v>
      </c>
      <c r="AX3" s="1" t="s">
        <v>99</v>
      </c>
      <c r="BD3" s="1" t="s">
        <v>100</v>
      </c>
      <c r="BJ3" s="1" t="s">
        <v>152</v>
      </c>
      <c r="BQ3" s="1" t="s">
        <v>101</v>
      </c>
      <c r="BU3" s="1" t="s">
        <v>153</v>
      </c>
      <c r="CA3" s="1" t="s">
        <v>154</v>
      </c>
    </row>
    <row r="4" spans="1:91" ht="15.75" customHeight="1" x14ac:dyDescent="0.25">
      <c r="A4" s="1" t="s">
        <v>102</v>
      </c>
      <c r="B4" s="1" t="s">
        <v>2</v>
      </c>
      <c r="D4" s="1" t="s">
        <v>3</v>
      </c>
      <c r="F4" s="1" t="s">
        <v>103</v>
      </c>
      <c r="H4" s="1" t="s">
        <v>2</v>
      </c>
      <c r="J4" s="1" t="s">
        <v>3</v>
      </c>
      <c r="L4" s="1" t="s">
        <v>103</v>
      </c>
      <c r="N4" s="1" t="s">
        <v>2</v>
      </c>
      <c r="P4" s="1" t="s">
        <v>3</v>
      </c>
      <c r="R4" s="1" t="s">
        <v>103</v>
      </c>
      <c r="T4" s="1" t="s">
        <v>2</v>
      </c>
      <c r="V4" s="1" t="s">
        <v>3</v>
      </c>
      <c r="X4" s="1" t="s">
        <v>103</v>
      </c>
      <c r="Z4" s="1" t="s">
        <v>2</v>
      </c>
      <c r="AB4" s="1" t="s">
        <v>3</v>
      </c>
      <c r="AD4" s="1" t="s">
        <v>103</v>
      </c>
      <c r="AF4" s="1" t="s">
        <v>2</v>
      </c>
      <c r="AH4" s="1" t="s">
        <v>3</v>
      </c>
      <c r="AJ4" s="1" t="s">
        <v>103</v>
      </c>
      <c r="AL4" s="1" t="s">
        <v>2</v>
      </c>
      <c r="AN4" s="1" t="s">
        <v>3</v>
      </c>
      <c r="AP4" s="1" t="s">
        <v>103</v>
      </c>
      <c r="AR4" s="1" t="s">
        <v>2</v>
      </c>
      <c r="AT4" s="1" t="s">
        <v>3</v>
      </c>
      <c r="AV4" s="1" t="s">
        <v>103</v>
      </c>
      <c r="AX4" s="1" t="s">
        <v>2</v>
      </c>
      <c r="AZ4" s="1" t="s">
        <v>3</v>
      </c>
      <c r="BB4" s="1" t="s">
        <v>103</v>
      </c>
      <c r="BD4" s="1" t="s">
        <v>2</v>
      </c>
      <c r="BF4" s="1" t="s">
        <v>3</v>
      </c>
      <c r="BH4" s="1" t="s">
        <v>103</v>
      </c>
      <c r="BJ4" s="1" t="s">
        <v>2</v>
      </c>
      <c r="BL4" s="1" t="s">
        <v>3</v>
      </c>
      <c r="BN4" s="1" t="s">
        <v>103</v>
      </c>
      <c r="BU4" s="1" t="s">
        <v>2</v>
      </c>
      <c r="BW4" s="1" t="s">
        <v>3</v>
      </c>
      <c r="BY4" s="1" t="s">
        <v>103</v>
      </c>
      <c r="CA4" s="1" t="s">
        <v>2</v>
      </c>
      <c r="CC4" s="1" t="s">
        <v>3</v>
      </c>
      <c r="CE4" s="1" t="s">
        <v>103</v>
      </c>
      <c r="CI4" s="1" t="s">
        <v>104</v>
      </c>
      <c r="CL4" s="1" t="s">
        <v>105</v>
      </c>
    </row>
    <row r="5" spans="1:91" ht="15.75" customHeight="1" x14ac:dyDescent="0.25">
      <c r="B5" s="1" t="s">
        <v>106</v>
      </c>
      <c r="C5" s="1" t="s">
        <v>107</v>
      </c>
      <c r="D5" s="1" t="s">
        <v>106</v>
      </c>
      <c r="E5" s="1" t="s">
        <v>107</v>
      </c>
      <c r="F5" s="1" t="s">
        <v>106</v>
      </c>
      <c r="G5" s="1" t="s">
        <v>107</v>
      </c>
      <c r="H5" s="1" t="s">
        <v>106</v>
      </c>
      <c r="I5" s="1" t="s">
        <v>107</v>
      </c>
      <c r="J5" s="1" t="s">
        <v>106</v>
      </c>
      <c r="K5" s="1" t="s">
        <v>107</v>
      </c>
      <c r="L5" s="1" t="s">
        <v>106</v>
      </c>
      <c r="M5" s="1" t="s">
        <v>107</v>
      </c>
      <c r="N5" s="1" t="s">
        <v>106</v>
      </c>
      <c r="O5" s="1" t="s">
        <v>107</v>
      </c>
      <c r="P5" s="1" t="s">
        <v>106</v>
      </c>
      <c r="Q5" s="1" t="s">
        <v>107</v>
      </c>
      <c r="R5" s="1" t="s">
        <v>106</v>
      </c>
      <c r="S5" s="1" t="s">
        <v>107</v>
      </c>
      <c r="T5" s="1" t="s">
        <v>106</v>
      </c>
      <c r="U5" s="1" t="s">
        <v>107</v>
      </c>
      <c r="V5" s="1" t="s">
        <v>106</v>
      </c>
      <c r="W5" s="1" t="s">
        <v>107</v>
      </c>
      <c r="X5" s="1" t="s">
        <v>106</v>
      </c>
      <c r="Y5" s="1" t="s">
        <v>107</v>
      </c>
      <c r="Z5" s="1" t="s">
        <v>106</v>
      </c>
      <c r="AA5" s="1" t="s">
        <v>107</v>
      </c>
      <c r="AB5" s="1" t="s">
        <v>106</v>
      </c>
      <c r="AC5" s="1" t="s">
        <v>107</v>
      </c>
      <c r="AD5" s="1" t="s">
        <v>106</v>
      </c>
      <c r="AE5" s="1" t="s">
        <v>107</v>
      </c>
      <c r="AF5" s="1" t="s">
        <v>106</v>
      </c>
      <c r="AG5" s="1" t="s">
        <v>107</v>
      </c>
      <c r="AH5" s="1" t="s">
        <v>106</v>
      </c>
      <c r="AI5" s="1" t="s">
        <v>107</v>
      </c>
      <c r="AJ5" s="1" t="s">
        <v>106</v>
      </c>
      <c r="AK5" s="1" t="s">
        <v>107</v>
      </c>
      <c r="AL5" s="1" t="s">
        <v>106</v>
      </c>
      <c r="AM5" s="1" t="s">
        <v>107</v>
      </c>
      <c r="AN5" s="1" t="s">
        <v>106</v>
      </c>
      <c r="AO5" s="1" t="s">
        <v>107</v>
      </c>
      <c r="AP5" s="1" t="s">
        <v>106</v>
      </c>
      <c r="AQ5" s="1" t="s">
        <v>107</v>
      </c>
      <c r="AR5" s="1" t="s">
        <v>106</v>
      </c>
      <c r="AS5" s="1" t="s">
        <v>107</v>
      </c>
      <c r="AT5" s="1" t="s">
        <v>106</v>
      </c>
      <c r="AU5" s="1" t="s">
        <v>107</v>
      </c>
      <c r="AV5" s="1" t="s">
        <v>106</v>
      </c>
      <c r="AW5" s="1" t="s">
        <v>107</v>
      </c>
      <c r="AX5" s="1" t="s">
        <v>106</v>
      </c>
      <c r="AY5" s="1" t="s">
        <v>107</v>
      </c>
      <c r="AZ5" s="1" t="s">
        <v>106</v>
      </c>
      <c r="BA5" s="1" t="s">
        <v>107</v>
      </c>
      <c r="BB5" s="1" t="s">
        <v>106</v>
      </c>
      <c r="BC5" s="1" t="s">
        <v>107</v>
      </c>
      <c r="BD5" s="1" t="s">
        <v>106</v>
      </c>
      <c r="BE5" s="1" t="s">
        <v>107</v>
      </c>
      <c r="BF5" s="1" t="s">
        <v>106</v>
      </c>
      <c r="BG5" s="1" t="s">
        <v>107</v>
      </c>
      <c r="BH5" s="1" t="s">
        <v>106</v>
      </c>
      <c r="BI5" s="1" t="s">
        <v>107</v>
      </c>
      <c r="BJ5" s="1" t="s">
        <v>106</v>
      </c>
      <c r="BK5" s="1" t="s">
        <v>107</v>
      </c>
      <c r="BL5" s="1" t="s">
        <v>106</v>
      </c>
      <c r="BM5" s="1" t="s">
        <v>107</v>
      </c>
      <c r="BN5" s="1" t="s">
        <v>106</v>
      </c>
      <c r="BO5" s="1" t="s">
        <v>107</v>
      </c>
      <c r="BQ5" s="1" t="s">
        <v>106</v>
      </c>
      <c r="BR5" s="1" t="s">
        <v>107</v>
      </c>
      <c r="BU5" s="1" t="s">
        <v>106</v>
      </c>
      <c r="BV5" s="1" t="s">
        <v>107</v>
      </c>
      <c r="BW5" s="1" t="s">
        <v>106</v>
      </c>
      <c r="BX5" s="1" t="s">
        <v>107</v>
      </c>
      <c r="BY5" s="1" t="s">
        <v>106</v>
      </c>
      <c r="BZ5" s="1" t="s">
        <v>107</v>
      </c>
      <c r="CA5" s="1" t="s">
        <v>106</v>
      </c>
      <c r="CB5" s="1" t="s">
        <v>107</v>
      </c>
      <c r="CC5" s="1" t="s">
        <v>106</v>
      </c>
      <c r="CD5" s="1" t="s">
        <v>107</v>
      </c>
      <c r="CE5" s="1" t="s">
        <v>106</v>
      </c>
      <c r="CF5" s="1" t="s">
        <v>107</v>
      </c>
    </row>
    <row r="6" spans="1:91" ht="15.75" customHeight="1" x14ac:dyDescent="0.25">
      <c r="A6" s="1" t="s">
        <v>4</v>
      </c>
      <c r="B6" s="111">
        <v>10878</v>
      </c>
      <c r="C6" s="111">
        <v>10878</v>
      </c>
      <c r="D6" s="111">
        <v>11980</v>
      </c>
      <c r="E6" s="111">
        <v>11980</v>
      </c>
      <c r="F6" s="1">
        <v>90.8</v>
      </c>
      <c r="G6" s="1">
        <v>90.8</v>
      </c>
      <c r="H6" s="111">
        <v>38561</v>
      </c>
      <c r="I6" s="111">
        <v>38561</v>
      </c>
      <c r="J6" s="111">
        <v>43088</v>
      </c>
      <c r="K6" s="111">
        <v>43088</v>
      </c>
      <c r="L6" s="1">
        <v>89.5</v>
      </c>
      <c r="M6" s="1">
        <v>89.5</v>
      </c>
      <c r="N6" s="111">
        <v>73473</v>
      </c>
      <c r="O6" s="111">
        <v>73473</v>
      </c>
      <c r="P6" s="111">
        <v>82730</v>
      </c>
      <c r="Q6" s="111">
        <v>82730</v>
      </c>
      <c r="R6" s="1">
        <v>88.81</v>
      </c>
      <c r="S6" s="1">
        <v>88.81</v>
      </c>
      <c r="T6" s="111">
        <v>1851</v>
      </c>
      <c r="U6" s="111">
        <v>1851</v>
      </c>
      <c r="V6" s="111">
        <v>1900</v>
      </c>
      <c r="W6" s="111">
        <v>1900</v>
      </c>
      <c r="X6" s="1">
        <v>97.43</v>
      </c>
      <c r="Y6" s="1">
        <v>97.43</v>
      </c>
      <c r="Z6" s="111">
        <v>9467</v>
      </c>
      <c r="AA6" s="111">
        <v>9467</v>
      </c>
      <c r="AB6" s="111">
        <v>10040</v>
      </c>
      <c r="AC6" s="111">
        <v>10040</v>
      </c>
      <c r="AD6" s="1">
        <v>94.29</v>
      </c>
      <c r="AE6" s="1">
        <v>94.29</v>
      </c>
      <c r="AF6" s="111">
        <v>10914</v>
      </c>
      <c r="AG6" s="111">
        <v>10914</v>
      </c>
      <c r="AH6" s="111">
        <v>15003</v>
      </c>
      <c r="AI6" s="111">
        <v>15003</v>
      </c>
      <c r="AJ6" s="1">
        <v>72.75</v>
      </c>
      <c r="AK6" s="1">
        <v>72.75</v>
      </c>
      <c r="AM6" s="1">
        <v>0</v>
      </c>
      <c r="AO6" s="1">
        <v>0</v>
      </c>
      <c r="AP6" s="1">
        <v>0</v>
      </c>
      <c r="AQ6" s="1">
        <v>0</v>
      </c>
      <c r="AS6" s="1">
        <v>0</v>
      </c>
      <c r="AU6" s="1">
        <v>0</v>
      </c>
      <c r="AV6" s="1">
        <v>0</v>
      </c>
      <c r="AW6" s="1">
        <v>0</v>
      </c>
      <c r="AX6" s="111">
        <v>145145</v>
      </c>
      <c r="AY6" s="111">
        <v>145145</v>
      </c>
      <c r="AZ6" s="111">
        <v>164742</v>
      </c>
      <c r="BA6" s="111">
        <v>164742</v>
      </c>
      <c r="BB6" s="1">
        <v>88.1</v>
      </c>
      <c r="BC6" s="1">
        <v>88.1</v>
      </c>
      <c r="BD6" s="111">
        <v>23643</v>
      </c>
      <c r="BE6" s="111">
        <v>23643</v>
      </c>
      <c r="BF6" s="111">
        <v>28884</v>
      </c>
      <c r="BG6" s="111">
        <v>28884</v>
      </c>
      <c r="BH6" s="1">
        <v>81.86</v>
      </c>
      <c r="BI6" s="1">
        <v>81.86</v>
      </c>
      <c r="BJ6" s="111">
        <v>134267</v>
      </c>
      <c r="BK6" s="111">
        <v>134267</v>
      </c>
      <c r="BL6" s="111">
        <v>152761</v>
      </c>
      <c r="BM6" s="111">
        <v>152761</v>
      </c>
      <c r="BN6" s="1">
        <v>87.89</v>
      </c>
      <c r="BO6" s="1">
        <v>87.89</v>
      </c>
      <c r="BQ6" s="1">
        <v>17.53</v>
      </c>
      <c r="BR6" s="1">
        <v>17.53</v>
      </c>
      <c r="BU6" s="111">
        <v>16026</v>
      </c>
      <c r="BV6" s="111">
        <v>16026</v>
      </c>
      <c r="BW6" s="111">
        <v>16712</v>
      </c>
      <c r="BX6" s="111">
        <v>16712</v>
      </c>
      <c r="BY6" s="1">
        <v>95.9</v>
      </c>
      <c r="BZ6" s="1">
        <v>95.9</v>
      </c>
      <c r="CA6" s="111">
        <v>22535</v>
      </c>
      <c r="CB6" s="111">
        <v>22535</v>
      </c>
      <c r="CC6" s="111">
        <v>26376</v>
      </c>
      <c r="CD6" s="111">
        <v>26376</v>
      </c>
      <c r="CE6" s="1">
        <v>85.44</v>
      </c>
      <c r="CF6" s="1">
        <v>85.44</v>
      </c>
      <c r="CJ6" s="111">
        <v>-145145</v>
      </c>
      <c r="CM6" s="111">
        <v>-164742</v>
      </c>
    </row>
    <row r="7" spans="1:91" ht="15.75" customHeight="1" x14ac:dyDescent="0.25">
      <c r="A7" s="1" t="s">
        <v>5</v>
      </c>
      <c r="B7" s="111">
        <v>14283</v>
      </c>
      <c r="C7" s="111">
        <v>25161</v>
      </c>
      <c r="D7" s="111">
        <v>14987</v>
      </c>
      <c r="E7" s="111">
        <v>26968</v>
      </c>
      <c r="F7" s="1">
        <v>95.3</v>
      </c>
      <c r="G7" s="1">
        <v>93.3</v>
      </c>
      <c r="H7" s="111">
        <v>51538</v>
      </c>
      <c r="I7" s="111">
        <v>90099</v>
      </c>
      <c r="J7" s="111">
        <v>57406</v>
      </c>
      <c r="K7" s="111">
        <v>100493</v>
      </c>
      <c r="L7" s="1">
        <v>89.78</v>
      </c>
      <c r="M7" s="1">
        <v>89.66</v>
      </c>
      <c r="N7" s="111">
        <v>74350</v>
      </c>
      <c r="O7" s="111">
        <v>147823</v>
      </c>
      <c r="P7" s="111">
        <v>85184</v>
      </c>
      <c r="Q7" s="111">
        <v>167914</v>
      </c>
      <c r="R7" s="1">
        <v>87.28</v>
      </c>
      <c r="S7" s="1">
        <v>88.04</v>
      </c>
      <c r="T7" s="111">
        <v>3039</v>
      </c>
      <c r="U7" s="111">
        <v>4890</v>
      </c>
      <c r="V7" s="111">
        <v>3170</v>
      </c>
      <c r="W7" s="111">
        <v>5070</v>
      </c>
      <c r="X7" s="1">
        <v>95.85</v>
      </c>
      <c r="Y7" s="1">
        <v>96.44</v>
      </c>
      <c r="Z7" s="111">
        <v>3229</v>
      </c>
      <c r="AA7" s="111">
        <v>12696</v>
      </c>
      <c r="AB7" s="111">
        <v>3477</v>
      </c>
      <c r="AC7" s="111">
        <v>13517</v>
      </c>
      <c r="AD7" s="1">
        <v>92.86</v>
      </c>
      <c r="AE7" s="1">
        <v>93.93</v>
      </c>
      <c r="AF7" s="111">
        <v>18698</v>
      </c>
      <c r="AG7" s="111">
        <v>29613</v>
      </c>
      <c r="AH7" s="111">
        <v>25243</v>
      </c>
      <c r="AI7" s="111">
        <v>40246</v>
      </c>
      <c r="AJ7" s="1">
        <v>74.069999999999993</v>
      </c>
      <c r="AK7" s="1">
        <v>73.58</v>
      </c>
      <c r="AM7" s="1">
        <v>0</v>
      </c>
      <c r="AO7" s="1">
        <v>0</v>
      </c>
      <c r="AP7" s="1">
        <v>0</v>
      </c>
      <c r="AQ7" s="1">
        <v>0</v>
      </c>
      <c r="AS7" s="1">
        <v>0</v>
      </c>
      <c r="AU7" s="1">
        <v>0</v>
      </c>
      <c r="AV7" s="1">
        <v>0</v>
      </c>
      <c r="AW7" s="1">
        <v>0</v>
      </c>
      <c r="AX7" s="111">
        <v>165137</v>
      </c>
      <c r="AY7" s="111">
        <v>310282</v>
      </c>
      <c r="AZ7" s="111">
        <v>189466</v>
      </c>
      <c r="BA7" s="111">
        <v>354208</v>
      </c>
      <c r="BB7" s="1">
        <v>87.16</v>
      </c>
      <c r="BC7" s="1">
        <v>87.6</v>
      </c>
      <c r="BD7" s="111">
        <v>36020</v>
      </c>
      <c r="BE7" s="111">
        <v>59663</v>
      </c>
      <c r="BF7" s="111">
        <v>43400</v>
      </c>
      <c r="BG7" s="111">
        <v>72284</v>
      </c>
      <c r="BH7" s="1">
        <v>83</v>
      </c>
      <c r="BI7" s="1">
        <v>82.54</v>
      </c>
      <c r="BJ7" s="111">
        <v>150854</v>
      </c>
      <c r="BK7" s="111">
        <v>285121</v>
      </c>
      <c r="BL7" s="111">
        <v>174479</v>
      </c>
      <c r="BM7" s="111">
        <v>327240</v>
      </c>
      <c r="BN7" s="1">
        <v>86.46</v>
      </c>
      <c r="BO7" s="1">
        <v>87.13</v>
      </c>
      <c r="BQ7" s="1">
        <v>22.91</v>
      </c>
      <c r="BR7" s="1">
        <v>20.41</v>
      </c>
      <c r="BU7" s="111">
        <v>15070</v>
      </c>
      <c r="BV7" s="111">
        <v>31097</v>
      </c>
      <c r="BW7" s="111">
        <v>15933</v>
      </c>
      <c r="BX7" s="111">
        <v>32645</v>
      </c>
      <c r="BY7" s="1">
        <v>94.58</v>
      </c>
      <c r="BZ7" s="1">
        <v>95.26</v>
      </c>
      <c r="CA7" s="111">
        <v>36468</v>
      </c>
      <c r="CB7" s="111">
        <v>59003</v>
      </c>
      <c r="CC7" s="111">
        <v>41472</v>
      </c>
      <c r="CD7" s="111">
        <v>67848</v>
      </c>
      <c r="CE7" s="1">
        <v>87.93</v>
      </c>
      <c r="CF7" s="1">
        <v>86.96</v>
      </c>
      <c r="CJ7" s="111">
        <v>-165137</v>
      </c>
      <c r="CM7" s="111">
        <v>-189466</v>
      </c>
    </row>
    <row r="8" spans="1:91" ht="15.75" customHeight="1" x14ac:dyDescent="0.25">
      <c r="A8" s="1" t="s">
        <v>6</v>
      </c>
      <c r="B8" s="111">
        <v>2041</v>
      </c>
      <c r="C8" s="111">
        <v>27202</v>
      </c>
      <c r="D8" s="111">
        <v>2207</v>
      </c>
      <c r="E8" s="111">
        <v>29175</v>
      </c>
      <c r="F8" s="1">
        <v>92.47</v>
      </c>
      <c r="G8" s="1">
        <v>93.24</v>
      </c>
      <c r="H8" s="111">
        <v>36654</v>
      </c>
      <c r="I8" s="111">
        <v>126753</v>
      </c>
      <c r="J8" s="111">
        <v>40873</v>
      </c>
      <c r="K8" s="111">
        <v>141366</v>
      </c>
      <c r="L8" s="1">
        <v>89.68</v>
      </c>
      <c r="M8" s="1">
        <v>89.66</v>
      </c>
      <c r="N8" s="111">
        <v>82213</v>
      </c>
      <c r="O8" s="111">
        <v>230036</v>
      </c>
      <c r="P8" s="111">
        <v>93747</v>
      </c>
      <c r="Q8" s="111">
        <v>261661</v>
      </c>
      <c r="R8" s="1">
        <v>87.7</v>
      </c>
      <c r="S8" s="1">
        <v>87.91</v>
      </c>
      <c r="T8" s="111">
        <v>2403</v>
      </c>
      <c r="U8" s="111">
        <v>7292</v>
      </c>
      <c r="V8" s="111">
        <v>2516</v>
      </c>
      <c r="W8" s="111">
        <v>7586</v>
      </c>
      <c r="X8" s="1">
        <v>95.49</v>
      </c>
      <c r="Y8" s="1">
        <v>96.12</v>
      </c>
      <c r="Z8" s="111">
        <v>3886</v>
      </c>
      <c r="AA8" s="111">
        <v>16582</v>
      </c>
      <c r="AB8" s="111">
        <v>4216</v>
      </c>
      <c r="AC8" s="111">
        <v>17733</v>
      </c>
      <c r="AD8" s="1">
        <v>92.17</v>
      </c>
      <c r="AE8" s="1">
        <v>93.51</v>
      </c>
      <c r="AF8" s="111">
        <v>9596</v>
      </c>
      <c r="AG8" s="111">
        <v>39208</v>
      </c>
      <c r="AH8" s="111">
        <v>13195</v>
      </c>
      <c r="AI8" s="111">
        <v>53441</v>
      </c>
      <c r="AJ8" s="1">
        <v>72.72</v>
      </c>
      <c r="AK8" s="1">
        <v>73.37</v>
      </c>
      <c r="AM8" s="1">
        <v>0</v>
      </c>
      <c r="AO8" s="1">
        <v>0</v>
      </c>
      <c r="AP8" s="1">
        <v>0</v>
      </c>
      <c r="AQ8" s="1">
        <v>0</v>
      </c>
      <c r="AS8" s="1">
        <v>0</v>
      </c>
      <c r="AU8" s="1">
        <v>0</v>
      </c>
      <c r="AV8" s="1">
        <v>0</v>
      </c>
      <c r="AW8" s="1">
        <v>0</v>
      </c>
      <c r="AX8" s="111">
        <v>136793</v>
      </c>
      <c r="AY8" s="111">
        <v>447075</v>
      </c>
      <c r="AZ8" s="111">
        <v>156755</v>
      </c>
      <c r="BA8" s="111">
        <v>510963</v>
      </c>
      <c r="BB8" s="1">
        <v>87.27</v>
      </c>
      <c r="BC8" s="1">
        <v>87.5</v>
      </c>
      <c r="BD8" s="111">
        <v>14040</v>
      </c>
      <c r="BE8" s="111">
        <v>73703</v>
      </c>
      <c r="BF8" s="111">
        <v>17918</v>
      </c>
      <c r="BG8" s="111">
        <v>90202</v>
      </c>
      <c r="BH8" s="1">
        <v>78.349999999999994</v>
      </c>
      <c r="BI8" s="1">
        <v>81.709999999999994</v>
      </c>
      <c r="BJ8" s="111">
        <v>134752</v>
      </c>
      <c r="BK8" s="111">
        <v>419873</v>
      </c>
      <c r="BL8" s="111">
        <v>154548</v>
      </c>
      <c r="BM8" s="111">
        <v>481788</v>
      </c>
      <c r="BN8" s="1">
        <v>87.19</v>
      </c>
      <c r="BO8" s="1">
        <v>87.15</v>
      </c>
      <c r="BQ8" s="1">
        <v>11.43</v>
      </c>
      <c r="BR8" s="1">
        <v>17.649999999999999</v>
      </c>
      <c r="BU8" s="111">
        <v>10374</v>
      </c>
      <c r="BV8" s="111">
        <v>41470</v>
      </c>
      <c r="BW8" s="111">
        <v>11045</v>
      </c>
      <c r="BX8" s="111">
        <v>43691</v>
      </c>
      <c r="BY8" s="1">
        <v>93.92</v>
      </c>
      <c r="BZ8" s="1">
        <v>94.92</v>
      </c>
      <c r="CA8" s="111">
        <v>26280</v>
      </c>
      <c r="CB8" s="111">
        <v>85283</v>
      </c>
      <c r="CC8" s="111">
        <v>29828</v>
      </c>
      <c r="CD8" s="111">
        <v>97676</v>
      </c>
      <c r="CE8" s="1">
        <v>88.11</v>
      </c>
      <c r="CF8" s="1">
        <v>87.31</v>
      </c>
      <c r="CJ8" s="111">
        <v>-136793</v>
      </c>
      <c r="CM8" s="111">
        <v>-156755</v>
      </c>
    </row>
    <row r="9" spans="1:91" ht="15.75" customHeight="1" x14ac:dyDescent="0.25">
      <c r="A9" s="1" t="s">
        <v>7</v>
      </c>
      <c r="B9" s="111">
        <v>9118</v>
      </c>
      <c r="C9" s="111">
        <v>36320</v>
      </c>
      <c r="D9" s="111">
        <v>9911</v>
      </c>
      <c r="E9" s="111">
        <v>39086</v>
      </c>
      <c r="F9" s="1">
        <v>92</v>
      </c>
      <c r="G9" s="1">
        <v>92.92</v>
      </c>
      <c r="H9" s="111">
        <v>26641</v>
      </c>
      <c r="I9" s="111">
        <v>153394</v>
      </c>
      <c r="J9" s="111">
        <v>29937</v>
      </c>
      <c r="K9" s="111">
        <v>171304</v>
      </c>
      <c r="L9" s="1">
        <v>88.99</v>
      </c>
      <c r="M9" s="1">
        <v>89.55</v>
      </c>
      <c r="N9" s="111">
        <v>52227</v>
      </c>
      <c r="O9" s="111">
        <v>282264</v>
      </c>
      <c r="P9" s="111">
        <v>59733</v>
      </c>
      <c r="Q9" s="111">
        <v>321394</v>
      </c>
      <c r="R9" s="1">
        <v>87.43</v>
      </c>
      <c r="S9" s="1">
        <v>87.82</v>
      </c>
      <c r="T9" s="1">
        <v>0</v>
      </c>
      <c r="U9" s="111">
        <v>7292</v>
      </c>
      <c r="V9" s="1">
        <v>0</v>
      </c>
      <c r="W9" s="111">
        <v>7586</v>
      </c>
      <c r="X9" s="1">
        <v>0</v>
      </c>
      <c r="Y9" s="1">
        <v>96.12</v>
      </c>
      <c r="Z9" s="111">
        <v>2959</v>
      </c>
      <c r="AA9" s="111">
        <v>19541</v>
      </c>
      <c r="AB9" s="111">
        <v>3186</v>
      </c>
      <c r="AC9" s="111">
        <v>20919</v>
      </c>
      <c r="AD9" s="1">
        <v>92.88</v>
      </c>
      <c r="AE9" s="1">
        <v>93.41</v>
      </c>
      <c r="AF9" s="111">
        <v>8908</v>
      </c>
      <c r="AG9" s="111">
        <v>48116</v>
      </c>
      <c r="AH9" s="111">
        <v>11822</v>
      </c>
      <c r="AI9" s="111">
        <v>65262</v>
      </c>
      <c r="AJ9" s="1">
        <v>75.349999999999994</v>
      </c>
      <c r="AK9" s="1">
        <v>73.73</v>
      </c>
      <c r="AM9" s="1">
        <v>0</v>
      </c>
      <c r="AO9" s="1">
        <v>0</v>
      </c>
      <c r="AP9" s="1">
        <v>0</v>
      </c>
      <c r="AQ9" s="1">
        <v>0</v>
      </c>
      <c r="AS9" s="1">
        <v>0</v>
      </c>
      <c r="AU9" s="1">
        <v>0</v>
      </c>
      <c r="AV9" s="1">
        <v>0</v>
      </c>
      <c r="AW9" s="1">
        <v>0</v>
      </c>
      <c r="AX9" s="111">
        <v>99853</v>
      </c>
      <c r="AY9" s="111">
        <v>546928</v>
      </c>
      <c r="AZ9" s="111">
        <v>114589</v>
      </c>
      <c r="BA9" s="111">
        <v>625552</v>
      </c>
      <c r="BB9" s="1">
        <v>87.14</v>
      </c>
      <c r="BC9" s="1">
        <v>87.43</v>
      </c>
      <c r="BD9" s="111">
        <v>18025</v>
      </c>
      <c r="BE9" s="111">
        <v>91728</v>
      </c>
      <c r="BF9" s="111">
        <v>21733</v>
      </c>
      <c r="BG9" s="111">
        <v>111935</v>
      </c>
      <c r="BH9" s="1">
        <v>82.94</v>
      </c>
      <c r="BI9" s="1">
        <v>81.95</v>
      </c>
      <c r="BJ9" s="111">
        <v>90735</v>
      </c>
      <c r="BK9" s="111">
        <v>510608</v>
      </c>
      <c r="BL9" s="111">
        <v>104678</v>
      </c>
      <c r="BM9" s="111">
        <v>586466</v>
      </c>
      <c r="BN9" s="1">
        <v>86.68</v>
      </c>
      <c r="BO9" s="1">
        <v>87.07</v>
      </c>
      <c r="BQ9" s="1">
        <v>18.97</v>
      </c>
      <c r="BR9" s="1">
        <v>17.89</v>
      </c>
      <c r="BU9" s="111">
        <v>7320</v>
      </c>
      <c r="BV9" s="111">
        <v>48790</v>
      </c>
      <c r="BW9" s="111">
        <v>7784</v>
      </c>
      <c r="BX9" s="111">
        <v>51475</v>
      </c>
      <c r="BY9" s="1">
        <v>94.03</v>
      </c>
      <c r="BZ9" s="1">
        <v>94.78</v>
      </c>
      <c r="CA9" s="111">
        <v>19321</v>
      </c>
      <c r="CB9" s="111">
        <v>104604</v>
      </c>
      <c r="CC9" s="111">
        <v>22153</v>
      </c>
      <c r="CD9" s="111">
        <v>119829</v>
      </c>
      <c r="CE9" s="1">
        <v>87.22</v>
      </c>
      <c r="CF9" s="1">
        <v>87.29</v>
      </c>
      <c r="CJ9" s="111">
        <v>-99853</v>
      </c>
      <c r="CM9" s="111">
        <v>-114589</v>
      </c>
    </row>
    <row r="10" spans="1:91" ht="15.75" customHeight="1" x14ac:dyDescent="0.25">
      <c r="A10" s="1" t="s">
        <v>8</v>
      </c>
      <c r="B10" s="111">
        <v>3044</v>
      </c>
      <c r="C10" s="111">
        <v>39364</v>
      </c>
      <c r="D10" s="111">
        <v>3388</v>
      </c>
      <c r="E10" s="111">
        <v>42474</v>
      </c>
      <c r="F10" s="1">
        <v>89.85</v>
      </c>
      <c r="G10" s="1">
        <v>92.68</v>
      </c>
      <c r="H10" s="111">
        <v>23516</v>
      </c>
      <c r="I10" s="111">
        <v>176910</v>
      </c>
      <c r="J10" s="111">
        <v>25712</v>
      </c>
      <c r="K10" s="111">
        <v>197016</v>
      </c>
      <c r="L10" s="1">
        <v>91.46</v>
      </c>
      <c r="M10" s="1">
        <v>89.79</v>
      </c>
      <c r="N10" s="111">
        <v>100892</v>
      </c>
      <c r="O10" s="111">
        <v>383155</v>
      </c>
      <c r="P10" s="111">
        <v>117397</v>
      </c>
      <c r="Q10" s="111">
        <v>438791</v>
      </c>
      <c r="R10" s="1">
        <v>85.94</v>
      </c>
      <c r="S10" s="1">
        <v>87.32</v>
      </c>
      <c r="T10" s="111">
        <v>2372</v>
      </c>
      <c r="U10" s="111">
        <v>9665</v>
      </c>
      <c r="V10" s="111">
        <v>2482</v>
      </c>
      <c r="W10" s="111">
        <v>10068</v>
      </c>
      <c r="X10" s="1">
        <v>95.58</v>
      </c>
      <c r="Y10" s="1">
        <v>95.99</v>
      </c>
      <c r="Z10" s="111">
        <v>2804</v>
      </c>
      <c r="AA10" s="111">
        <v>22345</v>
      </c>
      <c r="AB10" s="111">
        <v>3020</v>
      </c>
      <c r="AC10" s="111">
        <v>23940</v>
      </c>
      <c r="AD10" s="1">
        <v>92.83</v>
      </c>
      <c r="AE10" s="1">
        <v>93.34</v>
      </c>
      <c r="AF10" s="111">
        <v>7754</v>
      </c>
      <c r="AG10" s="111">
        <v>55870</v>
      </c>
      <c r="AH10" s="111">
        <v>10720</v>
      </c>
      <c r="AI10" s="111">
        <v>75982</v>
      </c>
      <c r="AJ10" s="1">
        <v>72.33</v>
      </c>
      <c r="AK10" s="1">
        <v>73.53</v>
      </c>
      <c r="AM10" s="1">
        <v>0</v>
      </c>
      <c r="AO10" s="1">
        <v>0</v>
      </c>
      <c r="AP10" s="1">
        <v>0</v>
      </c>
      <c r="AQ10" s="1">
        <v>0</v>
      </c>
      <c r="AS10" s="1">
        <v>0</v>
      </c>
      <c r="AU10" s="1">
        <v>0</v>
      </c>
      <c r="AV10" s="1">
        <v>0</v>
      </c>
      <c r="AW10" s="1">
        <v>0</v>
      </c>
      <c r="AX10" s="111">
        <v>140381</v>
      </c>
      <c r="AY10" s="111">
        <v>687309</v>
      </c>
      <c r="AZ10" s="111">
        <v>162719</v>
      </c>
      <c r="BA10" s="111">
        <v>788270</v>
      </c>
      <c r="BB10" s="1">
        <v>86.27</v>
      </c>
      <c r="BC10" s="1">
        <v>87.19</v>
      </c>
      <c r="BD10" s="111">
        <v>13170</v>
      </c>
      <c r="BE10" s="111">
        <v>104898</v>
      </c>
      <c r="BF10" s="111">
        <v>16589</v>
      </c>
      <c r="BG10" s="111">
        <v>128524</v>
      </c>
      <c r="BH10" s="1">
        <v>79.39</v>
      </c>
      <c r="BI10" s="1">
        <v>81.62</v>
      </c>
      <c r="BJ10" s="111">
        <v>137337</v>
      </c>
      <c r="BK10" s="111">
        <v>647945</v>
      </c>
      <c r="BL10" s="111">
        <v>159331</v>
      </c>
      <c r="BM10" s="111">
        <v>745797</v>
      </c>
      <c r="BN10" s="1">
        <v>86.2</v>
      </c>
      <c r="BO10" s="1">
        <v>86.88</v>
      </c>
      <c r="BQ10" s="1">
        <v>10.199999999999999</v>
      </c>
      <c r="BR10" s="1">
        <v>16.3</v>
      </c>
      <c r="BU10" s="111">
        <v>15658</v>
      </c>
      <c r="BV10" s="111">
        <v>64448</v>
      </c>
      <c r="BW10" s="111">
        <v>16737</v>
      </c>
      <c r="BX10" s="111">
        <v>68212</v>
      </c>
      <c r="BY10" s="1">
        <v>93.55</v>
      </c>
      <c r="BZ10" s="1">
        <v>94.48</v>
      </c>
      <c r="CA10" s="111">
        <v>7858</v>
      </c>
      <c r="CB10" s="111">
        <v>112462</v>
      </c>
      <c r="CC10" s="111">
        <v>8976</v>
      </c>
      <c r="CD10" s="111">
        <v>128804</v>
      </c>
      <c r="CE10" s="1">
        <v>87.55</v>
      </c>
      <c r="CF10" s="1">
        <v>87.31</v>
      </c>
      <c r="CJ10" s="111">
        <v>-140381</v>
      </c>
      <c r="CM10" s="111">
        <v>-162719</v>
      </c>
    </row>
    <row r="11" spans="1:91" ht="15.75" customHeight="1" x14ac:dyDescent="0.25">
      <c r="A11" s="1" t="s">
        <v>9</v>
      </c>
      <c r="B11" s="1">
        <v>0</v>
      </c>
      <c r="C11" s="111">
        <v>39364</v>
      </c>
      <c r="D11" s="1">
        <v>0</v>
      </c>
      <c r="E11" s="111">
        <v>42474</v>
      </c>
      <c r="F11" s="1">
        <v>0</v>
      </c>
      <c r="G11" s="1">
        <v>92.68</v>
      </c>
      <c r="H11" s="111">
        <v>79210</v>
      </c>
      <c r="I11" s="111">
        <v>256120</v>
      </c>
      <c r="J11" s="111">
        <v>88600</v>
      </c>
      <c r="K11" s="111">
        <v>285616</v>
      </c>
      <c r="L11" s="1">
        <v>89.4</v>
      </c>
      <c r="M11" s="1">
        <v>89.67</v>
      </c>
      <c r="N11" s="111">
        <v>77616</v>
      </c>
      <c r="O11" s="111">
        <v>460771</v>
      </c>
      <c r="P11" s="111">
        <v>88000</v>
      </c>
      <c r="Q11" s="111">
        <v>526791</v>
      </c>
      <c r="R11" s="1">
        <v>88.2</v>
      </c>
      <c r="S11" s="1">
        <v>87.47</v>
      </c>
      <c r="T11" s="111">
        <v>2892</v>
      </c>
      <c r="U11" s="111">
        <v>12557</v>
      </c>
      <c r="V11" s="111">
        <v>3000</v>
      </c>
      <c r="W11" s="111">
        <v>13068</v>
      </c>
      <c r="X11" s="1">
        <v>96.4</v>
      </c>
      <c r="Y11" s="1">
        <v>96.08</v>
      </c>
      <c r="Z11" s="111">
        <v>7035</v>
      </c>
      <c r="AA11" s="111">
        <v>29380</v>
      </c>
      <c r="AB11" s="111">
        <v>7500</v>
      </c>
      <c r="AC11" s="111">
        <v>31440</v>
      </c>
      <c r="AD11" s="1">
        <v>93.8</v>
      </c>
      <c r="AE11" s="1">
        <v>93.45</v>
      </c>
      <c r="AF11" s="111">
        <v>21000</v>
      </c>
      <c r="AG11" s="111">
        <v>76870</v>
      </c>
      <c r="AH11" s="111">
        <v>30000</v>
      </c>
      <c r="AI11" s="111">
        <v>105982</v>
      </c>
      <c r="AJ11" s="1">
        <v>70</v>
      </c>
      <c r="AK11" s="1">
        <v>72.53</v>
      </c>
      <c r="AM11" s="1">
        <v>0</v>
      </c>
      <c r="AO11" s="1">
        <v>0</v>
      </c>
      <c r="AP11" s="1">
        <v>0</v>
      </c>
      <c r="AQ11" s="1">
        <v>0</v>
      </c>
      <c r="AS11" s="1">
        <v>0</v>
      </c>
      <c r="AU11" s="1">
        <v>0</v>
      </c>
      <c r="AV11" s="1">
        <v>0</v>
      </c>
      <c r="AW11" s="1">
        <v>0</v>
      </c>
      <c r="AX11" s="111">
        <v>187753</v>
      </c>
      <c r="AY11" s="111">
        <v>875062</v>
      </c>
      <c r="AZ11" s="111">
        <v>217100</v>
      </c>
      <c r="BA11" s="111">
        <v>1005370</v>
      </c>
      <c r="BB11" s="1">
        <v>86.48</v>
      </c>
      <c r="BC11" s="1">
        <v>87.04</v>
      </c>
      <c r="BD11" s="111">
        <v>23892</v>
      </c>
      <c r="BE11" s="111">
        <v>128790</v>
      </c>
      <c r="BF11" s="111">
        <v>33000</v>
      </c>
      <c r="BG11" s="111">
        <v>161524</v>
      </c>
      <c r="BH11" s="1">
        <v>72.400000000000006</v>
      </c>
      <c r="BI11" s="1">
        <v>79.73</v>
      </c>
      <c r="BJ11" s="111">
        <v>187753</v>
      </c>
      <c r="BK11" s="111">
        <v>835698</v>
      </c>
      <c r="BL11" s="111">
        <v>217100</v>
      </c>
      <c r="BM11" s="111">
        <v>962897</v>
      </c>
      <c r="BN11" s="1">
        <v>86.48</v>
      </c>
      <c r="BO11" s="1">
        <v>86.79</v>
      </c>
      <c r="BQ11" s="1">
        <v>15.2</v>
      </c>
      <c r="BR11" s="1">
        <v>16.07</v>
      </c>
      <c r="BU11" s="111">
        <v>11938</v>
      </c>
      <c r="BV11" s="111">
        <v>76385</v>
      </c>
      <c r="BW11" s="111">
        <v>12500</v>
      </c>
      <c r="BX11" s="111">
        <v>80712</v>
      </c>
      <c r="BY11" s="1">
        <v>95.5</v>
      </c>
      <c r="BZ11" s="1">
        <v>94.64</v>
      </c>
      <c r="CA11" s="111">
        <v>67272</v>
      </c>
      <c r="CB11" s="111">
        <v>179735</v>
      </c>
      <c r="CC11" s="111">
        <v>76100</v>
      </c>
      <c r="CD11" s="111">
        <v>204904</v>
      </c>
      <c r="CE11" s="1">
        <v>88.4</v>
      </c>
      <c r="CF11" s="1">
        <v>87.72</v>
      </c>
      <c r="CJ11" s="111">
        <v>-187753</v>
      </c>
      <c r="CM11" s="111">
        <v>-217100</v>
      </c>
    </row>
    <row r="12" spans="1:91" ht="15.75" customHeight="1" x14ac:dyDescent="0.25">
      <c r="A12" s="1" t="s">
        <v>10</v>
      </c>
      <c r="B12" s="1">
        <v>0</v>
      </c>
      <c r="C12" s="111">
        <v>39364</v>
      </c>
      <c r="D12" s="1">
        <v>0</v>
      </c>
      <c r="E12" s="111">
        <v>42474</v>
      </c>
      <c r="F12" s="1">
        <v>0</v>
      </c>
      <c r="G12" s="1">
        <v>92.68</v>
      </c>
      <c r="H12" s="111">
        <v>71168</v>
      </c>
      <c r="I12" s="111">
        <v>327288</v>
      </c>
      <c r="J12" s="111">
        <v>78900</v>
      </c>
      <c r="K12" s="111">
        <v>364516</v>
      </c>
      <c r="L12" s="1">
        <v>90.2</v>
      </c>
      <c r="M12" s="1">
        <v>89.79</v>
      </c>
      <c r="N12" s="111">
        <v>81144</v>
      </c>
      <c r="O12" s="111">
        <v>541915</v>
      </c>
      <c r="P12" s="111">
        <v>92000</v>
      </c>
      <c r="Q12" s="111">
        <v>618791</v>
      </c>
      <c r="R12" s="1">
        <v>88.2</v>
      </c>
      <c r="S12" s="1">
        <v>87.58</v>
      </c>
      <c r="T12" s="111">
        <v>0</v>
      </c>
      <c r="U12" s="111">
        <v>12557</v>
      </c>
      <c r="V12" s="111">
        <v>0</v>
      </c>
      <c r="W12" s="111">
        <v>13068</v>
      </c>
      <c r="X12" s="1">
        <v>0</v>
      </c>
      <c r="Y12" s="1">
        <v>96.08</v>
      </c>
      <c r="Z12" s="111">
        <v>7035</v>
      </c>
      <c r="AA12" s="111">
        <v>36415</v>
      </c>
      <c r="AB12" s="111">
        <v>7500</v>
      </c>
      <c r="AC12" s="111">
        <v>38940</v>
      </c>
      <c r="AD12" s="1">
        <v>93.8</v>
      </c>
      <c r="AE12" s="1">
        <v>93.52</v>
      </c>
      <c r="AF12" s="111">
        <v>23800</v>
      </c>
      <c r="AG12" s="111">
        <v>100670</v>
      </c>
      <c r="AH12" s="111">
        <v>34000</v>
      </c>
      <c r="AI12" s="111">
        <v>139982</v>
      </c>
      <c r="AJ12" s="1">
        <v>70</v>
      </c>
      <c r="AK12" s="1">
        <v>71.92</v>
      </c>
      <c r="AM12" s="1">
        <v>0</v>
      </c>
      <c r="AO12" s="1">
        <v>0</v>
      </c>
      <c r="AP12" s="1">
        <v>0</v>
      </c>
      <c r="AQ12" s="1">
        <v>0</v>
      </c>
      <c r="AS12" s="1">
        <v>0</v>
      </c>
      <c r="AU12" s="1">
        <v>0</v>
      </c>
      <c r="AV12" s="1">
        <v>0</v>
      </c>
      <c r="AW12" s="1">
        <v>0</v>
      </c>
      <c r="AX12" s="111">
        <v>183147</v>
      </c>
      <c r="AY12" s="111">
        <v>1058208</v>
      </c>
      <c r="AZ12" s="111">
        <v>212400</v>
      </c>
      <c r="BA12" s="111">
        <v>1217770</v>
      </c>
      <c r="BB12" s="1">
        <v>86.23</v>
      </c>
      <c r="BC12" s="1">
        <v>86.9</v>
      </c>
      <c r="BD12" s="111">
        <v>23800</v>
      </c>
      <c r="BE12" s="111">
        <v>152590</v>
      </c>
      <c r="BF12" s="111">
        <v>34000</v>
      </c>
      <c r="BG12" s="111">
        <v>195524</v>
      </c>
      <c r="BH12" s="1">
        <v>70</v>
      </c>
      <c r="BI12" s="1">
        <v>78.040000000000006</v>
      </c>
      <c r="BJ12" s="111">
        <v>183147</v>
      </c>
      <c r="BK12" s="111">
        <v>1018845</v>
      </c>
      <c r="BL12" s="111">
        <v>212400</v>
      </c>
      <c r="BM12" s="111">
        <v>1175297</v>
      </c>
      <c r="BN12" s="1">
        <v>86.23</v>
      </c>
      <c r="BO12" s="1">
        <v>86.69</v>
      </c>
      <c r="BQ12" s="1">
        <v>16.010000000000002</v>
      </c>
      <c r="BR12" s="1">
        <v>16.059999999999999</v>
      </c>
      <c r="BU12" s="111">
        <v>19100</v>
      </c>
      <c r="BV12" s="111">
        <v>95485</v>
      </c>
      <c r="BW12" s="111">
        <v>20000</v>
      </c>
      <c r="BX12" s="111">
        <v>100712</v>
      </c>
      <c r="BY12" s="1">
        <v>95.5</v>
      </c>
      <c r="BZ12" s="1">
        <v>94.81</v>
      </c>
      <c r="CA12" s="111">
        <v>52068</v>
      </c>
      <c r="CB12" s="111">
        <v>231802</v>
      </c>
      <c r="CC12" s="111">
        <v>58900</v>
      </c>
      <c r="CD12" s="111">
        <v>263804</v>
      </c>
      <c r="CE12" s="1">
        <v>88.4</v>
      </c>
      <c r="CF12" s="1">
        <v>87.87</v>
      </c>
      <c r="CJ12" s="111">
        <v>-183147</v>
      </c>
      <c r="CM12" s="111">
        <v>-212400</v>
      </c>
    </row>
    <row r="13" spans="1:91" ht="15.75" customHeight="1" x14ac:dyDescent="0.25">
      <c r="A13" s="1" t="s">
        <v>11</v>
      </c>
      <c r="B13" s="1">
        <v>0</v>
      </c>
      <c r="C13" s="111">
        <v>39364</v>
      </c>
      <c r="D13" s="1">
        <v>0</v>
      </c>
      <c r="E13" s="111">
        <v>42474</v>
      </c>
      <c r="F13" s="1">
        <v>0</v>
      </c>
      <c r="G13" s="1">
        <v>92.68</v>
      </c>
      <c r="H13" s="111">
        <v>71168</v>
      </c>
      <c r="I13" s="111">
        <v>398455</v>
      </c>
      <c r="J13" s="111">
        <v>78900</v>
      </c>
      <c r="K13" s="111">
        <v>443416</v>
      </c>
      <c r="L13" s="1">
        <v>90.2</v>
      </c>
      <c r="M13" s="1">
        <v>89.86</v>
      </c>
      <c r="N13" s="111">
        <v>102312</v>
      </c>
      <c r="O13" s="111">
        <v>644227</v>
      </c>
      <c r="P13" s="111">
        <v>116000</v>
      </c>
      <c r="Q13" s="111">
        <v>734791</v>
      </c>
      <c r="R13" s="1">
        <v>88.2</v>
      </c>
      <c r="S13" s="1">
        <v>87.67</v>
      </c>
      <c r="T13" s="111">
        <v>2892</v>
      </c>
      <c r="U13" s="111">
        <v>15449</v>
      </c>
      <c r="V13" s="111">
        <v>3000</v>
      </c>
      <c r="W13" s="111">
        <v>16068</v>
      </c>
      <c r="X13" s="1">
        <v>96.4</v>
      </c>
      <c r="Y13" s="1">
        <v>96.14</v>
      </c>
      <c r="Z13" s="111">
        <v>2345</v>
      </c>
      <c r="AA13" s="111">
        <v>38760</v>
      </c>
      <c r="AB13" s="111">
        <v>2500</v>
      </c>
      <c r="AC13" s="111">
        <v>41440</v>
      </c>
      <c r="AD13" s="1">
        <v>93.8</v>
      </c>
      <c r="AE13" s="1">
        <v>93.53</v>
      </c>
      <c r="AF13" s="111">
        <v>12600</v>
      </c>
      <c r="AG13" s="111">
        <v>113270</v>
      </c>
      <c r="AH13" s="111">
        <v>18000</v>
      </c>
      <c r="AI13" s="111">
        <v>157982</v>
      </c>
      <c r="AJ13" s="1">
        <v>70</v>
      </c>
      <c r="AK13" s="1">
        <v>71.7</v>
      </c>
      <c r="AM13" s="1">
        <v>0</v>
      </c>
      <c r="AO13" s="1">
        <v>0</v>
      </c>
      <c r="AP13" s="1">
        <v>0</v>
      </c>
      <c r="AQ13" s="1">
        <v>0</v>
      </c>
      <c r="AS13" s="1">
        <v>0</v>
      </c>
      <c r="AU13" s="1">
        <v>0</v>
      </c>
      <c r="AV13" s="1">
        <v>0</v>
      </c>
      <c r="AW13" s="1">
        <v>0</v>
      </c>
      <c r="AX13" s="111">
        <v>191317</v>
      </c>
      <c r="AY13" s="111">
        <v>1249525</v>
      </c>
      <c r="AZ13" s="111">
        <v>218400</v>
      </c>
      <c r="BA13" s="111">
        <v>1436170</v>
      </c>
      <c r="BB13" s="1">
        <v>87.6</v>
      </c>
      <c r="BC13" s="1">
        <v>87</v>
      </c>
      <c r="BD13" s="111">
        <v>15492</v>
      </c>
      <c r="BE13" s="111">
        <v>168082</v>
      </c>
      <c r="BF13" s="111">
        <v>21000</v>
      </c>
      <c r="BG13" s="111">
        <v>216524</v>
      </c>
      <c r="BH13" s="1">
        <v>73.77</v>
      </c>
      <c r="BI13" s="1">
        <v>77.63</v>
      </c>
      <c r="BJ13" s="111">
        <v>191317</v>
      </c>
      <c r="BK13" s="111">
        <v>1210161</v>
      </c>
      <c r="BL13" s="111">
        <v>218400</v>
      </c>
      <c r="BM13" s="111">
        <v>1393697</v>
      </c>
      <c r="BN13" s="1">
        <v>87.6</v>
      </c>
      <c r="BO13" s="1">
        <v>86.83</v>
      </c>
      <c r="BQ13" s="1">
        <v>9.6199999999999992</v>
      </c>
      <c r="BR13" s="1">
        <v>15.08</v>
      </c>
      <c r="BU13" s="111">
        <v>19100</v>
      </c>
      <c r="BV13" s="111">
        <v>114585</v>
      </c>
      <c r="BW13" s="111">
        <v>20000</v>
      </c>
      <c r="BX13" s="111">
        <v>120712</v>
      </c>
      <c r="BY13" s="1">
        <v>95.5</v>
      </c>
      <c r="BZ13" s="1">
        <v>94.92</v>
      </c>
      <c r="CA13" s="111">
        <v>52068</v>
      </c>
      <c r="CB13" s="111">
        <v>283870</v>
      </c>
      <c r="CC13" s="111">
        <v>58900</v>
      </c>
      <c r="CD13" s="111">
        <v>322704</v>
      </c>
      <c r="CE13" s="1">
        <v>88.4</v>
      </c>
      <c r="CF13" s="1">
        <v>87.97</v>
      </c>
      <c r="CJ13" s="111">
        <v>-191317</v>
      </c>
      <c r="CM13" s="111">
        <v>-218400</v>
      </c>
    </row>
    <row r="14" spans="1:91" ht="15.75" customHeight="1" x14ac:dyDescent="0.25">
      <c r="A14" s="1" t="s">
        <v>12</v>
      </c>
      <c r="B14" s="1">
        <v>0</v>
      </c>
      <c r="C14" s="111">
        <v>39364</v>
      </c>
      <c r="D14" s="1">
        <v>0</v>
      </c>
      <c r="E14" s="111">
        <v>42474</v>
      </c>
      <c r="F14" s="1">
        <v>0</v>
      </c>
      <c r="G14" s="1">
        <v>92.68</v>
      </c>
      <c r="H14" s="111">
        <v>69666</v>
      </c>
      <c r="I14" s="111">
        <v>468121</v>
      </c>
      <c r="J14" s="111">
        <v>77000</v>
      </c>
      <c r="K14" s="111">
        <v>520416</v>
      </c>
      <c r="L14" s="1">
        <v>90.47</v>
      </c>
      <c r="M14" s="1">
        <v>89.95</v>
      </c>
      <c r="N14" s="111">
        <v>98784</v>
      </c>
      <c r="O14" s="111">
        <v>743011</v>
      </c>
      <c r="P14" s="111">
        <v>112000</v>
      </c>
      <c r="Q14" s="111">
        <v>846791</v>
      </c>
      <c r="R14" s="1">
        <v>88.2</v>
      </c>
      <c r="S14" s="1">
        <v>87.74</v>
      </c>
      <c r="T14" s="111">
        <v>2892</v>
      </c>
      <c r="U14" s="111">
        <v>18341</v>
      </c>
      <c r="V14" s="111">
        <v>3000</v>
      </c>
      <c r="W14" s="111">
        <v>19068</v>
      </c>
      <c r="X14" s="1">
        <v>96.4</v>
      </c>
      <c r="Y14" s="1">
        <v>96.18</v>
      </c>
      <c r="Z14" s="111">
        <v>2345</v>
      </c>
      <c r="AA14" s="111">
        <v>41105</v>
      </c>
      <c r="AB14" s="111">
        <v>2500</v>
      </c>
      <c r="AC14" s="111">
        <v>43940</v>
      </c>
      <c r="AD14" s="1">
        <v>93.8</v>
      </c>
      <c r="AE14" s="1">
        <v>93.55</v>
      </c>
      <c r="AF14" s="111">
        <v>11200</v>
      </c>
      <c r="AG14" s="111">
        <v>124470</v>
      </c>
      <c r="AH14" s="111">
        <v>16000</v>
      </c>
      <c r="AI14" s="111">
        <v>173982</v>
      </c>
      <c r="AJ14" s="1">
        <v>70</v>
      </c>
      <c r="AK14" s="1">
        <v>71.540000000000006</v>
      </c>
      <c r="AM14" s="1">
        <v>0</v>
      </c>
      <c r="AO14" s="1">
        <v>0</v>
      </c>
      <c r="AP14" s="1">
        <v>0</v>
      </c>
      <c r="AQ14" s="1">
        <v>0</v>
      </c>
      <c r="AS14" s="1">
        <v>0</v>
      </c>
      <c r="AU14" s="1">
        <v>0</v>
      </c>
      <c r="AV14" s="1">
        <v>0</v>
      </c>
      <c r="AW14" s="1">
        <v>0</v>
      </c>
      <c r="AX14" s="111">
        <v>184887</v>
      </c>
      <c r="AY14" s="111">
        <v>1434411</v>
      </c>
      <c r="AZ14" s="111">
        <v>210500</v>
      </c>
      <c r="BA14" s="111">
        <v>1646670</v>
      </c>
      <c r="BB14" s="1">
        <v>87.83</v>
      </c>
      <c r="BC14" s="1">
        <v>87.11</v>
      </c>
      <c r="BD14" s="111">
        <v>14092</v>
      </c>
      <c r="BE14" s="111">
        <v>182174</v>
      </c>
      <c r="BF14" s="111">
        <v>19000</v>
      </c>
      <c r="BG14" s="111">
        <v>235524</v>
      </c>
      <c r="BH14" s="1">
        <v>74.17</v>
      </c>
      <c r="BI14" s="1">
        <v>77.349999999999994</v>
      </c>
      <c r="BJ14" s="111">
        <v>184887</v>
      </c>
      <c r="BK14" s="111">
        <v>1395048</v>
      </c>
      <c r="BL14" s="111">
        <v>210500</v>
      </c>
      <c r="BM14" s="111">
        <v>1604197</v>
      </c>
      <c r="BN14" s="1">
        <v>87.83</v>
      </c>
      <c r="BO14" s="1">
        <v>86.96</v>
      </c>
      <c r="BQ14" s="1">
        <v>9.0299999999999994</v>
      </c>
      <c r="BR14" s="1">
        <v>14.3</v>
      </c>
      <c r="BU14" s="111">
        <v>21488</v>
      </c>
      <c r="BV14" s="111">
        <v>136073</v>
      </c>
      <c r="BW14" s="111">
        <v>22500</v>
      </c>
      <c r="BX14" s="111">
        <v>143212</v>
      </c>
      <c r="BY14" s="1">
        <v>95.5</v>
      </c>
      <c r="BZ14" s="1">
        <v>95.02</v>
      </c>
      <c r="CA14" s="111">
        <v>48178</v>
      </c>
      <c r="CB14" s="111">
        <v>332048</v>
      </c>
      <c r="CC14" s="111">
        <v>54500</v>
      </c>
      <c r="CD14" s="111">
        <v>377204</v>
      </c>
      <c r="CE14" s="1">
        <v>88.4</v>
      </c>
      <c r="CF14" s="1">
        <v>88.03</v>
      </c>
      <c r="CJ14" s="111">
        <v>-184887</v>
      </c>
      <c r="CM14" s="111">
        <v>-210500</v>
      </c>
    </row>
    <row r="15" spans="1:91" ht="15.75" customHeight="1" x14ac:dyDescent="0.25">
      <c r="A15" s="1" t="s">
        <v>13</v>
      </c>
      <c r="B15" s="1">
        <v>0</v>
      </c>
      <c r="C15" s="111">
        <v>39364</v>
      </c>
      <c r="D15" s="1">
        <v>0</v>
      </c>
      <c r="E15" s="111">
        <v>42474</v>
      </c>
      <c r="F15" s="1">
        <v>0</v>
      </c>
      <c r="G15" s="1">
        <v>92.68</v>
      </c>
      <c r="H15" s="111">
        <v>75677</v>
      </c>
      <c r="I15" s="111">
        <v>543798</v>
      </c>
      <c r="J15" s="111">
        <v>83600</v>
      </c>
      <c r="K15" s="111">
        <v>604016</v>
      </c>
      <c r="L15" s="1">
        <v>90.52</v>
      </c>
      <c r="M15" s="1">
        <v>90.03</v>
      </c>
      <c r="N15" s="111">
        <v>105840</v>
      </c>
      <c r="O15" s="111">
        <v>848851</v>
      </c>
      <c r="P15" s="111">
        <v>120000</v>
      </c>
      <c r="Q15" s="111">
        <v>966791</v>
      </c>
      <c r="R15" s="1">
        <v>88.2</v>
      </c>
      <c r="S15" s="1">
        <v>87.8</v>
      </c>
      <c r="T15" s="111">
        <v>2892</v>
      </c>
      <c r="U15" s="111">
        <v>21233</v>
      </c>
      <c r="V15" s="111">
        <v>3000</v>
      </c>
      <c r="W15" s="111">
        <v>22068</v>
      </c>
      <c r="X15" s="1">
        <v>96.4</v>
      </c>
      <c r="Y15" s="1">
        <v>96.21</v>
      </c>
      <c r="Z15" s="111">
        <v>0</v>
      </c>
      <c r="AA15" s="111">
        <v>41105</v>
      </c>
      <c r="AB15" s="111">
        <v>0</v>
      </c>
      <c r="AC15" s="111">
        <v>43940</v>
      </c>
      <c r="AD15" s="1">
        <v>0</v>
      </c>
      <c r="AE15" s="1">
        <v>93.55</v>
      </c>
      <c r="AF15" s="111">
        <v>14000</v>
      </c>
      <c r="AG15" s="111">
        <v>138470</v>
      </c>
      <c r="AH15" s="111">
        <v>20000</v>
      </c>
      <c r="AI15" s="111">
        <v>193982</v>
      </c>
      <c r="AJ15" s="1">
        <v>70</v>
      </c>
      <c r="AK15" s="1">
        <v>71.38</v>
      </c>
      <c r="AM15" s="1">
        <v>0</v>
      </c>
      <c r="AO15" s="1">
        <v>0</v>
      </c>
      <c r="AP15" s="1">
        <v>0</v>
      </c>
      <c r="AQ15" s="1">
        <v>0</v>
      </c>
      <c r="AS15" s="1">
        <v>0</v>
      </c>
      <c r="AU15" s="1">
        <v>0</v>
      </c>
      <c r="AV15" s="1">
        <v>0</v>
      </c>
      <c r="AW15" s="1">
        <v>0</v>
      </c>
      <c r="AX15" s="111">
        <v>198409</v>
      </c>
      <c r="AY15" s="111">
        <v>1632821</v>
      </c>
      <c r="AZ15" s="111">
        <v>226600</v>
      </c>
      <c r="BA15" s="111">
        <v>1873270</v>
      </c>
      <c r="BB15" s="1">
        <v>87.56</v>
      </c>
      <c r="BC15" s="1">
        <v>87.16</v>
      </c>
      <c r="BD15" s="111">
        <v>16892</v>
      </c>
      <c r="BE15" s="111">
        <v>199066</v>
      </c>
      <c r="BF15" s="111">
        <v>23000</v>
      </c>
      <c r="BG15" s="111">
        <v>258524</v>
      </c>
      <c r="BH15" s="1">
        <v>73.44</v>
      </c>
      <c r="BI15" s="1">
        <v>77</v>
      </c>
      <c r="BJ15" s="111">
        <v>198409</v>
      </c>
      <c r="BK15" s="111">
        <v>1593457</v>
      </c>
      <c r="BL15" s="111">
        <v>226600</v>
      </c>
      <c r="BM15" s="111">
        <v>1830797</v>
      </c>
      <c r="BN15" s="1">
        <v>87.56</v>
      </c>
      <c r="BO15" s="1">
        <v>87.04</v>
      </c>
      <c r="BQ15" s="1">
        <v>10.15</v>
      </c>
      <c r="BR15" s="1">
        <v>13.8</v>
      </c>
      <c r="BU15" s="111">
        <v>23875</v>
      </c>
      <c r="BV15" s="111">
        <v>159948</v>
      </c>
      <c r="BW15" s="111">
        <v>25000</v>
      </c>
      <c r="BX15" s="111">
        <v>168212</v>
      </c>
      <c r="BY15" s="1">
        <v>95.5</v>
      </c>
      <c r="BZ15" s="1">
        <v>95.09</v>
      </c>
      <c r="CA15" s="111">
        <v>51802</v>
      </c>
      <c r="CB15" s="111">
        <v>383850</v>
      </c>
      <c r="CC15" s="111">
        <v>58600</v>
      </c>
      <c r="CD15" s="111">
        <v>435804</v>
      </c>
      <c r="CE15" s="1">
        <v>88.4</v>
      </c>
      <c r="CF15" s="1">
        <v>88.08</v>
      </c>
      <c r="CJ15" s="111">
        <v>-198409</v>
      </c>
      <c r="CM15" s="111">
        <v>-226600</v>
      </c>
    </row>
    <row r="16" spans="1:91" ht="15.75" customHeight="1" x14ac:dyDescent="0.25">
      <c r="A16" s="1" t="s">
        <v>14</v>
      </c>
      <c r="B16" s="1">
        <v>0</v>
      </c>
      <c r="C16" s="111">
        <v>39364</v>
      </c>
      <c r="D16" s="1">
        <v>0</v>
      </c>
      <c r="E16" s="111">
        <v>42474</v>
      </c>
      <c r="F16" s="1">
        <v>0</v>
      </c>
      <c r="G16" s="1">
        <v>92.68</v>
      </c>
      <c r="H16" s="111">
        <v>71610</v>
      </c>
      <c r="I16" s="111">
        <v>615408</v>
      </c>
      <c r="J16" s="111">
        <v>79400</v>
      </c>
      <c r="K16" s="111">
        <v>683416</v>
      </c>
      <c r="L16" s="1">
        <v>90.19</v>
      </c>
      <c r="M16" s="1">
        <v>90.05</v>
      </c>
      <c r="N16" s="111">
        <v>98784</v>
      </c>
      <c r="O16" s="111">
        <v>947635</v>
      </c>
      <c r="P16" s="111">
        <v>112000</v>
      </c>
      <c r="Q16" s="111">
        <v>1078791</v>
      </c>
      <c r="R16" s="1">
        <v>88.2</v>
      </c>
      <c r="S16" s="1">
        <v>87.84</v>
      </c>
      <c r="T16" s="111">
        <v>2892</v>
      </c>
      <c r="U16" s="111">
        <v>24125</v>
      </c>
      <c r="V16" s="111">
        <v>3000</v>
      </c>
      <c r="W16" s="111">
        <v>25068</v>
      </c>
      <c r="X16" s="1">
        <v>96.4</v>
      </c>
      <c r="Y16" s="1">
        <v>96.24</v>
      </c>
      <c r="Z16" s="111">
        <v>2345</v>
      </c>
      <c r="AA16" s="111">
        <v>43450</v>
      </c>
      <c r="AB16" s="111">
        <v>2500</v>
      </c>
      <c r="AC16" s="111">
        <v>46440</v>
      </c>
      <c r="AD16" s="1">
        <v>93.8</v>
      </c>
      <c r="AE16" s="1">
        <v>93.56</v>
      </c>
      <c r="AF16" s="111">
        <v>14000</v>
      </c>
      <c r="AG16" s="111">
        <v>152470</v>
      </c>
      <c r="AH16" s="111">
        <v>20000</v>
      </c>
      <c r="AI16" s="111">
        <v>213982</v>
      </c>
      <c r="AJ16" s="1">
        <v>70</v>
      </c>
      <c r="AK16" s="1">
        <v>71.25</v>
      </c>
      <c r="AM16" s="1">
        <v>0</v>
      </c>
      <c r="AO16" s="1">
        <v>0</v>
      </c>
      <c r="AP16" s="1">
        <v>0</v>
      </c>
      <c r="AQ16" s="1">
        <v>0</v>
      </c>
      <c r="AS16" s="1">
        <v>0</v>
      </c>
      <c r="AU16" s="1">
        <v>0</v>
      </c>
      <c r="AV16" s="1">
        <v>0</v>
      </c>
      <c r="AW16" s="1">
        <v>0</v>
      </c>
      <c r="AX16" s="111">
        <v>189631</v>
      </c>
      <c r="AY16" s="111">
        <v>1822451</v>
      </c>
      <c r="AZ16" s="111">
        <v>216900</v>
      </c>
      <c r="BA16" s="111">
        <v>2090170</v>
      </c>
      <c r="BB16" s="1">
        <v>87.43</v>
      </c>
      <c r="BC16" s="1">
        <v>87.19</v>
      </c>
      <c r="BD16" s="111">
        <v>16892</v>
      </c>
      <c r="BE16" s="111">
        <v>215958</v>
      </c>
      <c r="BF16" s="111">
        <v>23000</v>
      </c>
      <c r="BG16" s="111">
        <v>281524</v>
      </c>
      <c r="BH16" s="1">
        <v>73.44</v>
      </c>
      <c r="BI16" s="1">
        <v>76.709999999999994</v>
      </c>
      <c r="BJ16" s="111">
        <v>189631</v>
      </c>
      <c r="BK16" s="111">
        <v>1783088</v>
      </c>
      <c r="BL16" s="111">
        <v>216900</v>
      </c>
      <c r="BM16" s="111">
        <v>2047697</v>
      </c>
      <c r="BN16" s="1">
        <v>87.43</v>
      </c>
      <c r="BO16" s="1">
        <v>87.08</v>
      </c>
      <c r="BQ16" s="1">
        <v>10.6</v>
      </c>
      <c r="BR16" s="1">
        <v>13.47</v>
      </c>
      <c r="BU16" s="111">
        <v>19100</v>
      </c>
      <c r="BV16" s="111">
        <v>179048</v>
      </c>
      <c r="BW16" s="111">
        <v>20000</v>
      </c>
      <c r="BX16" s="111">
        <v>188212</v>
      </c>
      <c r="BY16" s="1">
        <v>95.5</v>
      </c>
      <c r="BZ16" s="1">
        <v>95.13</v>
      </c>
      <c r="CA16" s="111">
        <v>52510</v>
      </c>
      <c r="CB16" s="111">
        <v>436360</v>
      </c>
      <c r="CC16" s="111">
        <v>59400</v>
      </c>
      <c r="CD16" s="111">
        <v>495204</v>
      </c>
      <c r="CE16" s="1">
        <v>88.4</v>
      </c>
      <c r="CF16" s="1">
        <v>88.12</v>
      </c>
      <c r="CJ16" s="111">
        <v>-189631</v>
      </c>
      <c r="CM16" s="111">
        <v>-216900</v>
      </c>
    </row>
    <row r="17" spans="1:91" ht="15.75" customHeight="1" x14ac:dyDescent="0.25">
      <c r="A17" s="1" t="s">
        <v>15</v>
      </c>
      <c r="B17" s="1">
        <v>0</v>
      </c>
      <c r="C17" s="111">
        <v>39364</v>
      </c>
      <c r="D17" s="1">
        <v>0</v>
      </c>
      <c r="E17" s="111">
        <v>42474</v>
      </c>
      <c r="F17" s="1">
        <v>0</v>
      </c>
      <c r="G17" s="1">
        <v>92.68</v>
      </c>
      <c r="H17" s="111">
        <v>77445</v>
      </c>
      <c r="I17" s="111">
        <v>692853</v>
      </c>
      <c r="J17" s="111">
        <v>85600</v>
      </c>
      <c r="K17" s="111">
        <v>769016</v>
      </c>
      <c r="L17" s="1">
        <v>90.47</v>
      </c>
      <c r="M17" s="1">
        <v>90.1</v>
      </c>
      <c r="N17" s="111">
        <v>105840</v>
      </c>
      <c r="O17" s="111">
        <v>1053475</v>
      </c>
      <c r="P17" s="111">
        <v>120000</v>
      </c>
      <c r="Q17" s="111">
        <v>1198791</v>
      </c>
      <c r="R17" s="1">
        <v>88.2</v>
      </c>
      <c r="S17" s="1">
        <v>87.88</v>
      </c>
      <c r="T17" s="111">
        <v>2892</v>
      </c>
      <c r="U17" s="111">
        <v>27017</v>
      </c>
      <c r="V17" s="111">
        <v>3000</v>
      </c>
      <c r="W17" s="111">
        <v>28068</v>
      </c>
      <c r="X17" s="1">
        <v>96.4</v>
      </c>
      <c r="Y17" s="1">
        <v>96.25</v>
      </c>
      <c r="Z17" s="111">
        <v>2345</v>
      </c>
      <c r="AA17" s="111">
        <v>45795</v>
      </c>
      <c r="AB17" s="111">
        <v>2500</v>
      </c>
      <c r="AC17" s="111">
        <v>48940</v>
      </c>
      <c r="AD17" s="1">
        <v>93.8</v>
      </c>
      <c r="AE17" s="1">
        <v>93.57</v>
      </c>
      <c r="AF17" s="111">
        <v>12600</v>
      </c>
      <c r="AG17" s="111">
        <v>165070</v>
      </c>
      <c r="AH17" s="111">
        <v>18000</v>
      </c>
      <c r="AI17" s="111">
        <v>231982</v>
      </c>
      <c r="AJ17" s="1">
        <v>70</v>
      </c>
      <c r="AK17" s="1">
        <v>71.16</v>
      </c>
      <c r="AM17" s="1">
        <v>0</v>
      </c>
      <c r="AO17" s="1">
        <v>0</v>
      </c>
      <c r="AP17" s="1">
        <v>0</v>
      </c>
      <c r="AQ17" s="1">
        <v>0</v>
      </c>
      <c r="AS17" s="1">
        <v>0</v>
      </c>
      <c r="AU17" s="1">
        <v>0</v>
      </c>
      <c r="AV17" s="1">
        <v>0</v>
      </c>
      <c r="AW17" s="1">
        <v>0</v>
      </c>
      <c r="AX17" s="111">
        <v>201122</v>
      </c>
      <c r="AY17" s="111">
        <v>2023574</v>
      </c>
      <c r="AZ17" s="111">
        <v>229100</v>
      </c>
      <c r="BA17" s="111">
        <v>2319270</v>
      </c>
      <c r="BB17" s="1">
        <v>87.79</v>
      </c>
      <c r="BC17" s="1">
        <v>87.25</v>
      </c>
      <c r="BD17" s="111">
        <v>15492</v>
      </c>
      <c r="BE17" s="111">
        <v>231450</v>
      </c>
      <c r="BF17" s="111">
        <v>21000</v>
      </c>
      <c r="BG17" s="111">
        <v>302524</v>
      </c>
      <c r="BH17" s="1">
        <v>73.77</v>
      </c>
      <c r="BI17" s="1">
        <v>76.510000000000005</v>
      </c>
      <c r="BJ17" s="111">
        <v>201122</v>
      </c>
      <c r="BK17" s="111">
        <v>1984210</v>
      </c>
      <c r="BL17" s="111">
        <v>229100</v>
      </c>
      <c r="BM17" s="111">
        <v>2276797</v>
      </c>
      <c r="BN17" s="1">
        <v>87.79</v>
      </c>
      <c r="BO17" s="1">
        <v>87.15</v>
      </c>
      <c r="BQ17" s="1">
        <v>9.17</v>
      </c>
      <c r="BR17" s="1">
        <v>13.04</v>
      </c>
      <c r="BU17" s="111">
        <v>23875</v>
      </c>
      <c r="BV17" s="111">
        <v>202923</v>
      </c>
      <c r="BW17" s="111">
        <v>25000</v>
      </c>
      <c r="BX17" s="111">
        <v>213212</v>
      </c>
      <c r="BY17" s="1">
        <v>95.5</v>
      </c>
      <c r="BZ17" s="1">
        <v>95.17</v>
      </c>
      <c r="CA17" s="111">
        <v>53570</v>
      </c>
      <c r="CB17" s="111">
        <v>489930</v>
      </c>
      <c r="CC17" s="111">
        <v>60600</v>
      </c>
      <c r="CD17" s="111">
        <v>555804</v>
      </c>
      <c r="CE17" s="1">
        <v>88.4</v>
      </c>
      <c r="CF17" s="1">
        <v>88.15</v>
      </c>
      <c r="CJ17" s="111">
        <v>-201122</v>
      </c>
      <c r="CM17" s="111">
        <v>-229100</v>
      </c>
    </row>
    <row r="20" spans="1:91" ht="15.75" customHeight="1" x14ac:dyDescent="0.25">
      <c r="A20" s="1" t="s">
        <v>108</v>
      </c>
      <c r="H20" s="1" t="s">
        <v>109</v>
      </c>
      <c r="N20" s="1" t="s">
        <v>110</v>
      </c>
      <c r="T20" s="1" t="s">
        <v>111</v>
      </c>
      <c r="Z20" s="1" t="s">
        <v>112</v>
      </c>
      <c r="AF20" s="1" t="s">
        <v>113</v>
      </c>
    </row>
    <row r="21" spans="1:91" ht="15.75" customHeight="1" x14ac:dyDescent="0.25">
      <c r="A21" s="1" t="s">
        <v>102</v>
      </c>
      <c r="B21" s="1" t="s">
        <v>2</v>
      </c>
      <c r="D21" s="1" t="s">
        <v>3</v>
      </c>
      <c r="F21" s="1" t="s">
        <v>103</v>
      </c>
      <c r="H21" s="1" t="s">
        <v>2</v>
      </c>
      <c r="J21" s="1" t="s">
        <v>3</v>
      </c>
      <c r="L21" s="1" t="s">
        <v>103</v>
      </c>
      <c r="N21" s="1" t="s">
        <v>2</v>
      </c>
      <c r="P21" s="1" t="s">
        <v>3</v>
      </c>
      <c r="R21" s="1" t="s">
        <v>103</v>
      </c>
      <c r="T21" s="1" t="s">
        <v>2</v>
      </c>
      <c r="V21" s="1" t="s">
        <v>3</v>
      </c>
      <c r="X21" s="1" t="s">
        <v>103</v>
      </c>
      <c r="Z21" s="1" t="s">
        <v>2</v>
      </c>
      <c r="AB21" s="1" t="s">
        <v>3</v>
      </c>
      <c r="AD21" s="1" t="s">
        <v>103</v>
      </c>
      <c r="AF21" s="1" t="s">
        <v>2</v>
      </c>
      <c r="AH21" s="1" t="s">
        <v>3</v>
      </c>
      <c r="AJ21" s="1" t="s">
        <v>103</v>
      </c>
      <c r="AN21" s="1" t="s">
        <v>104</v>
      </c>
      <c r="AQ21" s="1" t="s">
        <v>105</v>
      </c>
    </row>
    <row r="22" spans="1:91" ht="12.5" x14ac:dyDescent="0.25">
      <c r="B22" s="1" t="s">
        <v>106</v>
      </c>
      <c r="C22" s="1" t="s">
        <v>107</v>
      </c>
      <c r="D22" s="1" t="s">
        <v>106</v>
      </c>
      <c r="E22" s="1" t="s">
        <v>107</v>
      </c>
      <c r="F22" s="1" t="s">
        <v>106</v>
      </c>
      <c r="G22" s="1" t="s">
        <v>107</v>
      </c>
      <c r="H22" s="1" t="s">
        <v>106</v>
      </c>
      <c r="I22" s="1" t="s">
        <v>107</v>
      </c>
      <c r="J22" s="1" t="s">
        <v>106</v>
      </c>
      <c r="K22" s="1" t="s">
        <v>107</v>
      </c>
      <c r="L22" s="1" t="s">
        <v>106</v>
      </c>
      <c r="M22" s="1" t="s">
        <v>107</v>
      </c>
      <c r="N22" s="1" t="s">
        <v>106</v>
      </c>
      <c r="O22" s="1" t="s">
        <v>107</v>
      </c>
      <c r="P22" s="1" t="s">
        <v>106</v>
      </c>
      <c r="Q22" s="1" t="s">
        <v>107</v>
      </c>
      <c r="R22" s="1" t="s">
        <v>106</v>
      </c>
      <c r="S22" s="1" t="s">
        <v>107</v>
      </c>
      <c r="T22" s="1" t="s">
        <v>106</v>
      </c>
      <c r="U22" s="1" t="s">
        <v>107</v>
      </c>
      <c r="V22" s="1" t="s">
        <v>106</v>
      </c>
      <c r="W22" s="1" t="s">
        <v>107</v>
      </c>
      <c r="X22" s="1" t="s">
        <v>106</v>
      </c>
      <c r="Y22" s="1" t="s">
        <v>107</v>
      </c>
      <c r="Z22" s="1" t="s">
        <v>106</v>
      </c>
      <c r="AA22" s="1" t="s">
        <v>107</v>
      </c>
      <c r="AB22" s="1" t="s">
        <v>106</v>
      </c>
      <c r="AC22" s="1" t="s">
        <v>107</v>
      </c>
      <c r="AD22" s="1" t="s">
        <v>106</v>
      </c>
      <c r="AE22" s="1" t="s">
        <v>107</v>
      </c>
      <c r="AF22" s="1" t="s">
        <v>106</v>
      </c>
      <c r="AG22" s="1" t="s">
        <v>107</v>
      </c>
      <c r="AH22" s="1" t="s">
        <v>106</v>
      </c>
      <c r="AI22" s="1" t="s">
        <v>107</v>
      </c>
      <c r="AJ22" s="1" t="s">
        <v>106</v>
      </c>
      <c r="AK22" s="1" t="s">
        <v>107</v>
      </c>
    </row>
    <row r="23" spans="1:91" ht="12.5" x14ac:dyDescent="0.25">
      <c r="A23" s="1" t="s">
        <v>4</v>
      </c>
      <c r="B23" s="111">
        <v>124794</v>
      </c>
      <c r="C23" s="111">
        <v>124794</v>
      </c>
      <c r="D23" s="111">
        <v>214051</v>
      </c>
      <c r="E23" s="111">
        <v>214051</v>
      </c>
      <c r="F23" s="1">
        <v>58.3</v>
      </c>
      <c r="G23" s="1">
        <v>58.3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11">
        <v>146586</v>
      </c>
      <c r="O23" s="111">
        <v>146586</v>
      </c>
      <c r="P23" s="111">
        <v>241035</v>
      </c>
      <c r="Q23" s="111">
        <v>241035</v>
      </c>
      <c r="R23" s="1">
        <v>60.82</v>
      </c>
      <c r="S23" s="1">
        <v>60.82</v>
      </c>
      <c r="T23" s="111">
        <v>269938</v>
      </c>
      <c r="U23" s="111">
        <v>269938</v>
      </c>
      <c r="V23" s="111">
        <v>378793</v>
      </c>
      <c r="W23" s="111">
        <v>378793</v>
      </c>
      <c r="X23" s="1">
        <v>71.260000000000005</v>
      </c>
      <c r="Y23" s="1">
        <v>71.260000000000005</v>
      </c>
      <c r="Z23" s="111">
        <v>124794</v>
      </c>
      <c r="AA23" s="111">
        <v>124794</v>
      </c>
      <c r="AB23" s="111">
        <v>214051</v>
      </c>
      <c r="AC23" s="111">
        <v>214051</v>
      </c>
      <c r="AD23" s="1">
        <v>58.3</v>
      </c>
      <c r="AE23" s="1">
        <v>58.3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O23" s="111">
        <v>-124794</v>
      </c>
      <c r="AR23" s="111">
        <v>-214051</v>
      </c>
    </row>
    <row r="24" spans="1:91" ht="12.5" x14ac:dyDescent="0.25">
      <c r="A24" s="1" t="s">
        <v>5</v>
      </c>
      <c r="B24" s="111">
        <v>108926</v>
      </c>
      <c r="C24" s="111">
        <v>233719</v>
      </c>
      <c r="D24" s="111">
        <v>187092</v>
      </c>
      <c r="E24" s="111">
        <v>401143</v>
      </c>
      <c r="F24" s="1">
        <v>58.22</v>
      </c>
      <c r="G24" s="1">
        <v>58.26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11">
        <v>141907</v>
      </c>
      <c r="O24" s="111">
        <v>288493</v>
      </c>
      <c r="P24" s="111">
        <v>227322</v>
      </c>
      <c r="Q24" s="111">
        <v>468357</v>
      </c>
      <c r="R24" s="1">
        <v>62.43</v>
      </c>
      <c r="S24" s="1">
        <v>61.6</v>
      </c>
      <c r="T24" s="111">
        <v>274063</v>
      </c>
      <c r="U24" s="111">
        <v>544001</v>
      </c>
      <c r="V24" s="111">
        <v>376558</v>
      </c>
      <c r="W24" s="111">
        <v>755351</v>
      </c>
      <c r="X24" s="1">
        <v>72.78</v>
      </c>
      <c r="Y24" s="1">
        <v>72.02</v>
      </c>
      <c r="Z24" s="111">
        <v>108926</v>
      </c>
      <c r="AA24" s="111">
        <v>233719</v>
      </c>
      <c r="AB24" s="111">
        <v>187092</v>
      </c>
      <c r="AC24" s="111">
        <v>401143</v>
      </c>
      <c r="AD24" s="1">
        <v>58.22</v>
      </c>
      <c r="AE24" s="1">
        <v>58.26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O24" s="111">
        <v>-108926</v>
      </c>
      <c r="AR24" s="111">
        <v>-187092</v>
      </c>
    </row>
    <row r="25" spans="1:91" ht="12.5" x14ac:dyDescent="0.25">
      <c r="A25" s="1" t="s">
        <v>6</v>
      </c>
      <c r="B25" s="111">
        <v>75255</v>
      </c>
      <c r="C25" s="111">
        <v>308974</v>
      </c>
      <c r="D25" s="111">
        <v>128849</v>
      </c>
      <c r="E25" s="111">
        <v>529992</v>
      </c>
      <c r="F25" s="1">
        <v>58.41</v>
      </c>
      <c r="G25" s="1">
        <v>58.3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11">
        <v>86892</v>
      </c>
      <c r="O25" s="111">
        <v>375385</v>
      </c>
      <c r="P25" s="111">
        <v>144251</v>
      </c>
      <c r="Q25" s="111">
        <v>612608</v>
      </c>
      <c r="R25" s="1">
        <v>60.24</v>
      </c>
      <c r="S25" s="1">
        <v>61.28</v>
      </c>
      <c r="T25" s="111">
        <v>212048</v>
      </c>
      <c r="U25" s="111">
        <v>756049</v>
      </c>
      <c r="V25" s="111">
        <v>285604</v>
      </c>
      <c r="W25" s="111">
        <v>1040955</v>
      </c>
      <c r="X25" s="1">
        <v>74.25</v>
      </c>
      <c r="Y25" s="1">
        <v>72.63</v>
      </c>
      <c r="Z25" s="111">
        <v>75255</v>
      </c>
      <c r="AA25" s="111">
        <v>308974</v>
      </c>
      <c r="AB25" s="111">
        <v>128849</v>
      </c>
      <c r="AC25" s="111">
        <v>529992</v>
      </c>
      <c r="AD25" s="1">
        <v>58.41</v>
      </c>
      <c r="AE25" s="1">
        <v>58.3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O25" s="111">
        <v>-75255</v>
      </c>
      <c r="AR25" s="111">
        <v>-128849</v>
      </c>
    </row>
    <row r="26" spans="1:91" ht="12.5" x14ac:dyDescent="0.25">
      <c r="A26" s="1" t="s">
        <v>7</v>
      </c>
      <c r="B26" s="111">
        <v>74904</v>
      </c>
      <c r="C26" s="111">
        <v>383879</v>
      </c>
      <c r="D26" s="111">
        <v>125904</v>
      </c>
      <c r="E26" s="111">
        <v>655896</v>
      </c>
      <c r="F26" s="1">
        <v>59.49</v>
      </c>
      <c r="G26" s="1">
        <v>58.53</v>
      </c>
      <c r="H26" s="111">
        <v>13407</v>
      </c>
      <c r="I26" s="111">
        <v>13407</v>
      </c>
      <c r="J26" s="111">
        <v>14658</v>
      </c>
      <c r="K26" s="111">
        <v>14658</v>
      </c>
      <c r="L26" s="1">
        <v>91</v>
      </c>
      <c r="M26" s="1">
        <v>91</v>
      </c>
      <c r="N26" s="111">
        <v>92930</v>
      </c>
      <c r="O26" s="111">
        <v>468315</v>
      </c>
      <c r="P26" s="111">
        <v>147637</v>
      </c>
      <c r="Q26" s="111">
        <v>760244</v>
      </c>
      <c r="R26" s="1">
        <v>62.94</v>
      </c>
      <c r="S26" s="1">
        <v>61.6</v>
      </c>
      <c r="T26" s="111">
        <v>188164</v>
      </c>
      <c r="U26" s="111">
        <v>944213</v>
      </c>
      <c r="V26" s="111">
        <v>255151</v>
      </c>
      <c r="W26" s="111">
        <v>1296106</v>
      </c>
      <c r="X26" s="1">
        <v>73.75</v>
      </c>
      <c r="Y26" s="1">
        <v>72.849999999999994</v>
      </c>
      <c r="Z26" s="111">
        <v>88311</v>
      </c>
      <c r="AA26" s="111">
        <v>397285</v>
      </c>
      <c r="AB26" s="111">
        <v>140562</v>
      </c>
      <c r="AC26" s="111">
        <v>670554</v>
      </c>
      <c r="AD26" s="1">
        <v>62.83</v>
      </c>
      <c r="AE26" s="1">
        <v>59.25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O26" s="111">
        <v>-88311</v>
      </c>
      <c r="AR26" s="111">
        <v>-140562</v>
      </c>
    </row>
    <row r="27" spans="1:91" ht="12.5" x14ac:dyDescent="0.25">
      <c r="A27" s="1" t="s">
        <v>8</v>
      </c>
      <c r="B27" s="111">
        <v>118891</v>
      </c>
      <c r="C27" s="111">
        <v>502770</v>
      </c>
      <c r="D27" s="111">
        <v>196310</v>
      </c>
      <c r="E27" s="111">
        <v>852206</v>
      </c>
      <c r="F27" s="1">
        <v>60.56</v>
      </c>
      <c r="G27" s="1">
        <v>59</v>
      </c>
      <c r="H27" s="111">
        <v>29171</v>
      </c>
      <c r="I27" s="111">
        <v>42578</v>
      </c>
      <c r="J27" s="111">
        <v>33004</v>
      </c>
      <c r="K27" s="111">
        <v>47662</v>
      </c>
      <c r="L27" s="1">
        <v>88</v>
      </c>
      <c r="M27" s="1">
        <v>89</v>
      </c>
      <c r="N27" s="111">
        <v>129689</v>
      </c>
      <c r="O27" s="111">
        <v>598004</v>
      </c>
      <c r="P27" s="111">
        <v>210417</v>
      </c>
      <c r="Q27" s="111">
        <v>970661</v>
      </c>
      <c r="R27" s="1">
        <v>61.63</v>
      </c>
      <c r="S27" s="1">
        <v>61.61</v>
      </c>
      <c r="T27" s="111">
        <v>288444</v>
      </c>
      <c r="U27" s="111">
        <v>1232657</v>
      </c>
      <c r="V27" s="111">
        <v>392033</v>
      </c>
      <c r="W27" s="111">
        <v>1688139</v>
      </c>
      <c r="X27" s="1">
        <v>73.58</v>
      </c>
      <c r="Y27" s="1">
        <v>73.02</v>
      </c>
      <c r="Z27" s="111">
        <v>148062</v>
      </c>
      <c r="AA27" s="111">
        <v>545348</v>
      </c>
      <c r="AB27" s="111">
        <v>229314</v>
      </c>
      <c r="AC27" s="111">
        <v>899868</v>
      </c>
      <c r="AD27" s="1">
        <v>64.569999999999993</v>
      </c>
      <c r="AE27" s="1">
        <v>60.6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O27" s="111">
        <v>-148062</v>
      </c>
      <c r="AR27" s="111">
        <v>-229314</v>
      </c>
    </row>
    <row r="28" spans="1:91" ht="12.5" x14ac:dyDescent="0.25">
      <c r="A28" s="1" t="s">
        <v>9</v>
      </c>
      <c r="B28" s="111">
        <v>164639</v>
      </c>
      <c r="C28" s="111">
        <v>667409</v>
      </c>
      <c r="D28" s="111">
        <v>283860</v>
      </c>
      <c r="E28" s="111">
        <v>1136066</v>
      </c>
      <c r="F28" s="1">
        <v>58</v>
      </c>
      <c r="G28" s="1">
        <v>58.75</v>
      </c>
      <c r="H28" s="1">
        <v>0</v>
      </c>
      <c r="I28" s="111">
        <v>42578</v>
      </c>
      <c r="J28" s="1">
        <v>0</v>
      </c>
      <c r="K28" s="111">
        <v>47662</v>
      </c>
      <c r="L28" s="1">
        <v>0</v>
      </c>
      <c r="M28" s="1">
        <v>89</v>
      </c>
      <c r="N28" s="111">
        <v>185639</v>
      </c>
      <c r="O28" s="111">
        <v>783642</v>
      </c>
      <c r="P28" s="111">
        <v>313860</v>
      </c>
      <c r="Q28" s="111">
        <v>1284521</v>
      </c>
      <c r="R28" s="1">
        <v>59.15</v>
      </c>
      <c r="S28" s="1">
        <v>61.01</v>
      </c>
      <c r="T28" s="111">
        <v>352392</v>
      </c>
      <c r="U28" s="111">
        <v>1585048</v>
      </c>
      <c r="V28" s="111">
        <v>500960</v>
      </c>
      <c r="W28" s="111">
        <v>2189099</v>
      </c>
      <c r="X28" s="1">
        <v>70.34</v>
      </c>
      <c r="Y28" s="1">
        <v>72.41</v>
      </c>
      <c r="Z28" s="111">
        <v>164639</v>
      </c>
      <c r="AA28" s="111">
        <v>709987</v>
      </c>
      <c r="AB28" s="111">
        <v>283860</v>
      </c>
      <c r="AC28" s="111">
        <v>1183728</v>
      </c>
      <c r="AD28" s="1">
        <v>58</v>
      </c>
      <c r="AE28" s="1">
        <v>59.98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O28" s="111">
        <v>-164639</v>
      </c>
      <c r="AR28" s="111">
        <v>-283860</v>
      </c>
    </row>
    <row r="29" spans="1:91" ht="12.5" x14ac:dyDescent="0.25">
      <c r="A29" s="1" t="s">
        <v>10</v>
      </c>
      <c r="B29" s="111">
        <v>170127</v>
      </c>
      <c r="C29" s="111">
        <v>837536</v>
      </c>
      <c r="D29" s="111">
        <v>293322</v>
      </c>
      <c r="E29" s="111">
        <v>1429388</v>
      </c>
      <c r="F29" s="1">
        <v>58</v>
      </c>
      <c r="G29" s="1">
        <v>58.59</v>
      </c>
      <c r="H29" s="1">
        <v>0</v>
      </c>
      <c r="I29" s="111">
        <v>42578</v>
      </c>
      <c r="J29" s="1">
        <v>0</v>
      </c>
      <c r="K29" s="111">
        <v>47662</v>
      </c>
      <c r="L29" s="1">
        <v>0</v>
      </c>
      <c r="M29" s="1">
        <v>89</v>
      </c>
      <c r="N29" s="111">
        <v>193927</v>
      </c>
      <c r="O29" s="111">
        <v>977569</v>
      </c>
      <c r="P29" s="111">
        <v>327322</v>
      </c>
      <c r="Q29" s="111">
        <v>1611843</v>
      </c>
      <c r="R29" s="1">
        <v>59.25</v>
      </c>
      <c r="S29" s="1">
        <v>60.65</v>
      </c>
      <c r="T29" s="111">
        <v>353273</v>
      </c>
      <c r="U29" s="111">
        <v>1938322</v>
      </c>
      <c r="V29" s="111">
        <v>505722</v>
      </c>
      <c r="W29" s="111">
        <v>2694821</v>
      </c>
      <c r="X29" s="1">
        <v>69.86</v>
      </c>
      <c r="Y29" s="1">
        <v>71.930000000000007</v>
      </c>
      <c r="Z29" s="111">
        <v>170127</v>
      </c>
      <c r="AA29" s="111">
        <v>880113</v>
      </c>
      <c r="AB29" s="111">
        <v>293322</v>
      </c>
      <c r="AC29" s="111">
        <v>1477050</v>
      </c>
      <c r="AD29" s="1">
        <v>58</v>
      </c>
      <c r="AE29" s="1">
        <v>59.59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O29" s="111">
        <v>-170127</v>
      </c>
      <c r="AR29" s="111">
        <v>-293322</v>
      </c>
    </row>
    <row r="30" spans="1:91" ht="12.5" x14ac:dyDescent="0.25">
      <c r="A30" s="1" t="s">
        <v>11</v>
      </c>
      <c r="B30" s="111">
        <v>148175</v>
      </c>
      <c r="C30" s="111">
        <v>985711</v>
      </c>
      <c r="D30" s="111">
        <v>255474</v>
      </c>
      <c r="E30" s="111">
        <v>1684862</v>
      </c>
      <c r="F30" s="1">
        <v>58</v>
      </c>
      <c r="G30" s="1">
        <v>58.5</v>
      </c>
      <c r="H30" s="1">
        <v>0</v>
      </c>
      <c r="I30" s="111">
        <v>42578</v>
      </c>
      <c r="J30" s="1">
        <v>0</v>
      </c>
      <c r="K30" s="111">
        <v>47662</v>
      </c>
      <c r="L30" s="1">
        <v>0</v>
      </c>
      <c r="M30" s="1">
        <v>89</v>
      </c>
      <c r="N30" s="111">
        <v>160775</v>
      </c>
      <c r="O30" s="111">
        <v>1138344</v>
      </c>
      <c r="P30" s="111">
        <v>273474</v>
      </c>
      <c r="Q30" s="111">
        <v>1885317</v>
      </c>
      <c r="R30" s="1">
        <v>58.79</v>
      </c>
      <c r="S30" s="1">
        <v>60.38</v>
      </c>
      <c r="T30" s="111">
        <v>339492</v>
      </c>
      <c r="U30" s="111">
        <v>2277813</v>
      </c>
      <c r="V30" s="111">
        <v>473874</v>
      </c>
      <c r="W30" s="111">
        <v>3168695</v>
      </c>
      <c r="X30" s="1">
        <v>71.64</v>
      </c>
      <c r="Y30" s="1">
        <v>71.88</v>
      </c>
      <c r="Z30" s="111">
        <v>148175</v>
      </c>
      <c r="AA30" s="111">
        <v>1028288</v>
      </c>
      <c r="AB30" s="111">
        <v>255474</v>
      </c>
      <c r="AC30" s="111">
        <v>1732524</v>
      </c>
      <c r="AD30" s="1">
        <v>58</v>
      </c>
      <c r="AE30" s="1">
        <v>59.35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O30" s="111">
        <v>-148175</v>
      </c>
      <c r="AR30" s="111">
        <v>-255474</v>
      </c>
    </row>
    <row r="31" spans="1:91" ht="12.5" x14ac:dyDescent="0.25">
      <c r="A31" s="1" t="s">
        <v>12</v>
      </c>
      <c r="B31" s="111">
        <v>153663</v>
      </c>
      <c r="C31" s="111">
        <v>1139374</v>
      </c>
      <c r="D31" s="111">
        <v>264936</v>
      </c>
      <c r="E31" s="111">
        <v>1949798</v>
      </c>
      <c r="F31" s="1">
        <v>58</v>
      </c>
      <c r="G31" s="1">
        <v>58.44</v>
      </c>
      <c r="H31" s="1">
        <v>0</v>
      </c>
      <c r="I31" s="111">
        <v>42578</v>
      </c>
      <c r="J31" s="1">
        <v>0</v>
      </c>
      <c r="K31" s="111">
        <v>47662</v>
      </c>
      <c r="L31" s="1">
        <v>0</v>
      </c>
      <c r="M31" s="1">
        <v>89</v>
      </c>
      <c r="N31" s="111">
        <v>164863</v>
      </c>
      <c r="O31" s="111">
        <v>1303207</v>
      </c>
      <c r="P31" s="111">
        <v>280936</v>
      </c>
      <c r="Q31" s="111">
        <v>2166253</v>
      </c>
      <c r="R31" s="1">
        <v>58.68</v>
      </c>
      <c r="S31" s="1">
        <v>60.16</v>
      </c>
      <c r="T31" s="111">
        <v>338549</v>
      </c>
      <c r="U31" s="111">
        <v>2616363</v>
      </c>
      <c r="V31" s="111">
        <v>475436</v>
      </c>
      <c r="W31" s="111">
        <v>3644131</v>
      </c>
      <c r="X31" s="1">
        <v>71.209999999999994</v>
      </c>
      <c r="Y31" s="1">
        <v>71.8</v>
      </c>
      <c r="Z31" s="111">
        <v>153663</v>
      </c>
      <c r="AA31" s="111">
        <v>1181951</v>
      </c>
      <c r="AB31" s="111">
        <v>264936</v>
      </c>
      <c r="AC31" s="111">
        <v>1997460</v>
      </c>
      <c r="AD31" s="1">
        <v>58</v>
      </c>
      <c r="AE31" s="1">
        <v>59.17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O31" s="111">
        <v>-153663</v>
      </c>
      <c r="AR31" s="111">
        <v>-264936</v>
      </c>
    </row>
    <row r="32" spans="1:91" ht="12.5" x14ac:dyDescent="0.25">
      <c r="A32" s="1" t="s">
        <v>13</v>
      </c>
      <c r="B32" s="111">
        <v>159151</v>
      </c>
      <c r="C32" s="111">
        <v>1298524</v>
      </c>
      <c r="D32" s="111">
        <v>274398</v>
      </c>
      <c r="E32" s="111">
        <v>2224196</v>
      </c>
      <c r="F32" s="1">
        <v>58</v>
      </c>
      <c r="G32" s="1">
        <v>58.38</v>
      </c>
      <c r="H32" s="1">
        <v>0</v>
      </c>
      <c r="I32" s="111">
        <v>42578</v>
      </c>
      <c r="J32" s="1">
        <v>0</v>
      </c>
      <c r="K32" s="111">
        <v>47662</v>
      </c>
      <c r="L32" s="1">
        <v>0</v>
      </c>
      <c r="M32" s="1">
        <v>89.33</v>
      </c>
      <c r="N32" s="111">
        <v>173151</v>
      </c>
      <c r="O32" s="111">
        <v>1476358</v>
      </c>
      <c r="P32" s="111">
        <v>294398</v>
      </c>
      <c r="Q32" s="111">
        <v>2460651</v>
      </c>
      <c r="R32" s="1">
        <v>58.82</v>
      </c>
      <c r="S32" s="1">
        <v>60</v>
      </c>
      <c r="T32" s="111">
        <v>357560</v>
      </c>
      <c r="U32" s="111">
        <v>2973923</v>
      </c>
      <c r="V32" s="111">
        <v>500998</v>
      </c>
      <c r="W32" s="111">
        <v>4145129</v>
      </c>
      <c r="X32" s="1">
        <v>71.37</v>
      </c>
      <c r="Y32" s="1">
        <v>71.75</v>
      </c>
      <c r="Z32" s="111">
        <v>159151</v>
      </c>
      <c r="AA32" s="111">
        <v>1341102</v>
      </c>
      <c r="AB32" s="111">
        <v>274398</v>
      </c>
      <c r="AC32" s="111">
        <v>2271858</v>
      </c>
      <c r="AD32" s="1">
        <v>58</v>
      </c>
      <c r="AE32" s="1">
        <v>59.03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O32" s="111">
        <v>-159151</v>
      </c>
      <c r="AR32" s="111">
        <v>-274398</v>
      </c>
    </row>
    <row r="33" spans="1:45" ht="12.5" x14ac:dyDescent="0.25">
      <c r="A33" s="1" t="s">
        <v>14</v>
      </c>
      <c r="B33" s="111">
        <v>148175</v>
      </c>
      <c r="C33" s="111">
        <v>1446699</v>
      </c>
      <c r="D33" s="111">
        <v>255474</v>
      </c>
      <c r="E33" s="111">
        <v>2479670</v>
      </c>
      <c r="F33" s="1">
        <v>58</v>
      </c>
      <c r="G33" s="1">
        <v>58.34</v>
      </c>
      <c r="H33" s="1">
        <v>0</v>
      </c>
      <c r="I33" s="111">
        <v>42578</v>
      </c>
      <c r="J33" s="1">
        <v>0</v>
      </c>
      <c r="K33" s="111">
        <v>47662</v>
      </c>
      <c r="L33" s="1">
        <v>0</v>
      </c>
      <c r="M33" s="1">
        <v>89.33</v>
      </c>
      <c r="N33" s="111">
        <v>162175</v>
      </c>
      <c r="O33" s="111">
        <v>1638533</v>
      </c>
      <c r="P33" s="111">
        <v>275474</v>
      </c>
      <c r="Q33" s="111">
        <v>2736125</v>
      </c>
      <c r="R33" s="1">
        <v>58.87</v>
      </c>
      <c r="S33" s="1">
        <v>59.89</v>
      </c>
      <c r="T33" s="111">
        <v>337806</v>
      </c>
      <c r="U33" s="111">
        <v>3311728</v>
      </c>
      <c r="V33" s="111">
        <v>472374</v>
      </c>
      <c r="W33" s="111">
        <v>4617503</v>
      </c>
      <c r="X33" s="1">
        <v>71.510000000000005</v>
      </c>
      <c r="Y33" s="1">
        <v>71.72</v>
      </c>
      <c r="Z33" s="111">
        <v>148175</v>
      </c>
      <c r="AA33" s="111">
        <v>1489277</v>
      </c>
      <c r="AB33" s="111">
        <v>255474</v>
      </c>
      <c r="AC33" s="111">
        <v>2527332</v>
      </c>
      <c r="AD33" s="1">
        <v>58</v>
      </c>
      <c r="AE33" s="1">
        <v>58.93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O33" s="111">
        <v>-148175</v>
      </c>
      <c r="AR33" s="111">
        <v>-255474</v>
      </c>
    </row>
    <row r="34" spans="1:45" ht="12.5" x14ac:dyDescent="0.25">
      <c r="A34" s="1" t="s">
        <v>15</v>
      </c>
      <c r="B34" s="111">
        <v>142687</v>
      </c>
      <c r="C34" s="111">
        <v>1589386</v>
      </c>
      <c r="D34" s="111">
        <v>246012</v>
      </c>
      <c r="E34" s="111">
        <v>2725682</v>
      </c>
      <c r="F34" s="1">
        <v>58</v>
      </c>
      <c r="G34" s="1">
        <v>58.31</v>
      </c>
      <c r="H34" s="1">
        <v>0</v>
      </c>
      <c r="I34" s="111">
        <v>42578</v>
      </c>
      <c r="J34" s="1">
        <v>0</v>
      </c>
      <c r="K34" s="111">
        <v>47662</v>
      </c>
      <c r="L34" s="1">
        <v>0</v>
      </c>
      <c r="M34" s="1">
        <v>89.33</v>
      </c>
      <c r="N34" s="111">
        <v>155287</v>
      </c>
      <c r="O34" s="111">
        <v>1793820</v>
      </c>
      <c r="P34" s="111">
        <v>264012</v>
      </c>
      <c r="Q34" s="111">
        <v>3000137</v>
      </c>
      <c r="R34" s="1">
        <v>58.82</v>
      </c>
      <c r="S34" s="1">
        <v>59.79</v>
      </c>
      <c r="T34" s="111">
        <v>343809</v>
      </c>
      <c r="U34" s="111">
        <v>3655538</v>
      </c>
      <c r="V34" s="111">
        <v>475112</v>
      </c>
      <c r="W34" s="111">
        <v>5092615</v>
      </c>
      <c r="X34" s="1">
        <v>72.36</v>
      </c>
      <c r="Y34" s="1">
        <v>71.78</v>
      </c>
      <c r="Z34" s="111">
        <v>142687</v>
      </c>
      <c r="AA34" s="111">
        <v>1631964</v>
      </c>
      <c r="AB34" s="111">
        <v>246012</v>
      </c>
      <c r="AC34" s="111">
        <v>2773344</v>
      </c>
      <c r="AD34" s="1">
        <v>58</v>
      </c>
      <c r="AE34" s="1">
        <v>58.84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O34" s="111">
        <v>-142687</v>
      </c>
      <c r="AR34" s="111">
        <v>-246012</v>
      </c>
    </row>
    <row r="35" spans="1:45" ht="12.5" x14ac:dyDescent="0.25">
      <c r="A35" s="1"/>
      <c r="B35" s="1"/>
      <c r="D35" s="1"/>
      <c r="F35" s="1"/>
      <c r="I35" s="1"/>
      <c r="L35" s="1"/>
      <c r="O35" s="1"/>
    </row>
    <row r="36" spans="1:45" ht="12.5" x14ac:dyDescent="0.25">
      <c r="B36" s="1"/>
      <c r="C36" s="1"/>
      <c r="D36" s="1"/>
      <c r="E36" s="1"/>
      <c r="F36" s="1"/>
      <c r="G36" s="1"/>
    </row>
    <row r="37" spans="1:45" ht="12.5" x14ac:dyDescent="0.25">
      <c r="A37" s="1" t="s">
        <v>114</v>
      </c>
      <c r="B37" s="111"/>
      <c r="C37" s="111"/>
      <c r="D37" s="111"/>
      <c r="E37" s="111"/>
      <c r="F37" s="1"/>
      <c r="G37" s="1"/>
      <c r="I37" s="1" t="s">
        <v>101</v>
      </c>
      <c r="M37" s="111"/>
      <c r="P37" s="111"/>
    </row>
    <row r="38" spans="1:45" ht="12.5" x14ac:dyDescent="0.25">
      <c r="A38" s="1" t="s">
        <v>102</v>
      </c>
      <c r="B38" s="111" t="s">
        <v>2</v>
      </c>
      <c r="C38" s="111"/>
      <c r="D38" s="111" t="s">
        <v>3</v>
      </c>
      <c r="E38" s="111"/>
      <c r="F38" s="1" t="s">
        <v>103</v>
      </c>
      <c r="G38" s="1"/>
      <c r="I38" s="1">
        <v>100</v>
      </c>
      <c r="L38" s="1" t="s">
        <v>104</v>
      </c>
      <c r="M38" s="111"/>
      <c r="O38" s="1" t="s">
        <v>105</v>
      </c>
      <c r="P38" s="111"/>
    </row>
    <row r="39" spans="1:45" ht="12.5" x14ac:dyDescent="0.25">
      <c r="A39" s="1"/>
      <c r="B39" s="111" t="s">
        <v>106</v>
      </c>
      <c r="C39" s="111" t="s">
        <v>107</v>
      </c>
      <c r="D39" s="111" t="s">
        <v>106</v>
      </c>
      <c r="E39" s="111" t="s">
        <v>107</v>
      </c>
      <c r="F39" s="1" t="s">
        <v>106</v>
      </c>
      <c r="G39" s="1" t="s">
        <v>107</v>
      </c>
      <c r="M39" s="111"/>
      <c r="P39" s="111"/>
    </row>
    <row r="40" spans="1:45" ht="12.5" x14ac:dyDescent="0.25">
      <c r="A40" s="1" t="s">
        <v>4</v>
      </c>
      <c r="B40" s="111">
        <v>97182</v>
      </c>
      <c r="C40" s="111">
        <v>97182</v>
      </c>
      <c r="D40" s="111">
        <v>160973</v>
      </c>
      <c r="E40" s="111">
        <v>160973</v>
      </c>
      <c r="F40" s="1">
        <v>60.37</v>
      </c>
      <c r="G40" s="1">
        <v>60.37</v>
      </c>
      <c r="M40" s="111">
        <v>-97182</v>
      </c>
      <c r="P40" s="111">
        <v>-160973</v>
      </c>
    </row>
    <row r="41" spans="1:45" ht="12.5" x14ac:dyDescent="0.25">
      <c r="A41" s="1" t="s">
        <v>5</v>
      </c>
      <c r="B41" s="111">
        <v>75848</v>
      </c>
      <c r="C41" s="111">
        <v>173030</v>
      </c>
      <c r="D41" s="111">
        <v>130829</v>
      </c>
      <c r="E41" s="111">
        <v>291802</v>
      </c>
      <c r="F41" s="1">
        <v>57.98</v>
      </c>
      <c r="G41" s="1">
        <v>59.3</v>
      </c>
      <c r="M41" s="111">
        <v>-75848</v>
      </c>
      <c r="P41" s="111">
        <v>-130829</v>
      </c>
    </row>
    <row r="42" spans="1:45" ht="12.5" x14ac:dyDescent="0.25">
      <c r="A42" s="1" t="s">
        <v>6</v>
      </c>
      <c r="B42" s="111">
        <v>67612</v>
      </c>
      <c r="C42" s="111">
        <v>240643</v>
      </c>
      <c r="D42" s="111">
        <v>115516</v>
      </c>
      <c r="E42" s="111">
        <v>407318</v>
      </c>
      <c r="F42" s="1">
        <v>58.53</v>
      </c>
      <c r="G42" s="1">
        <v>59.08</v>
      </c>
      <c r="M42" s="111">
        <v>-67612</v>
      </c>
      <c r="P42" s="111">
        <v>-115516</v>
      </c>
    </row>
    <row r="43" spans="1:45" ht="12.5" x14ac:dyDescent="0.25">
      <c r="A43" s="1" t="s">
        <v>7</v>
      </c>
      <c r="B43" s="111">
        <v>70741</v>
      </c>
      <c r="C43" s="111">
        <v>311384</v>
      </c>
      <c r="D43" s="111">
        <v>122004</v>
      </c>
      <c r="E43" s="111">
        <v>529322</v>
      </c>
      <c r="F43" s="1">
        <v>57.98</v>
      </c>
      <c r="G43" s="1">
        <v>58.83</v>
      </c>
      <c r="M43" s="111">
        <v>-70741</v>
      </c>
      <c r="P43" s="111">
        <v>-122004</v>
      </c>
    </row>
    <row r="44" spans="1:45" ht="12.5" x14ac:dyDescent="0.25">
      <c r="A44" s="1" t="s">
        <v>8</v>
      </c>
      <c r="B44" s="111">
        <v>94614</v>
      </c>
      <c r="C44" s="111">
        <v>405999</v>
      </c>
      <c r="D44" s="111">
        <v>158413</v>
      </c>
      <c r="E44" s="111">
        <v>687734</v>
      </c>
      <c r="F44" s="1">
        <v>59.73</v>
      </c>
      <c r="G44" s="1">
        <v>59.03</v>
      </c>
      <c r="M44" s="111">
        <v>-94614</v>
      </c>
      <c r="P44" s="111">
        <v>-158413</v>
      </c>
    </row>
    <row r="45" spans="1:45" ht="12.5" x14ac:dyDescent="0.25">
      <c r="A45" s="1" t="s">
        <v>9</v>
      </c>
      <c r="B45" s="111">
        <v>124388</v>
      </c>
      <c r="C45" s="111">
        <v>530387</v>
      </c>
      <c r="D45" s="111">
        <v>214462</v>
      </c>
      <c r="E45" s="111">
        <v>902196</v>
      </c>
      <c r="F45" s="1">
        <v>58</v>
      </c>
      <c r="G45" s="1">
        <v>58.79</v>
      </c>
      <c r="M45" s="111">
        <v>-124388</v>
      </c>
      <c r="P45" s="111">
        <v>-214462</v>
      </c>
    </row>
    <row r="46" spans="1:45" ht="12.5" x14ac:dyDescent="0.25">
      <c r="A46" s="1" t="s">
        <v>10</v>
      </c>
      <c r="B46" s="111">
        <v>133213</v>
      </c>
      <c r="C46" s="111">
        <v>663600</v>
      </c>
      <c r="D46" s="111">
        <v>229678</v>
      </c>
      <c r="E46" s="111">
        <v>1131874</v>
      </c>
      <c r="F46" s="1">
        <v>58</v>
      </c>
      <c r="G46" s="1">
        <v>58.63</v>
      </c>
      <c r="M46" s="111">
        <v>-133213</v>
      </c>
      <c r="P46" s="111">
        <v>-229678</v>
      </c>
    </row>
    <row r="47" spans="1:45" ht="12.5" x14ac:dyDescent="0.25">
      <c r="A47" s="1" t="s">
        <v>11</v>
      </c>
      <c r="B47" s="111">
        <v>129849</v>
      </c>
      <c r="C47" s="111">
        <v>793448</v>
      </c>
      <c r="D47" s="111">
        <v>223877</v>
      </c>
      <c r="E47" s="111">
        <v>1355751</v>
      </c>
      <c r="F47" s="1">
        <v>58</v>
      </c>
      <c r="G47" s="1">
        <v>58.52</v>
      </c>
      <c r="M47" s="111">
        <v>-129849</v>
      </c>
      <c r="P47" s="111">
        <v>-223877</v>
      </c>
    </row>
    <row r="48" spans="1:45" ht="12.5" x14ac:dyDescent="0.25">
      <c r="A48" s="1" t="s">
        <v>12</v>
      </c>
      <c r="B48" s="111">
        <v>131715</v>
      </c>
      <c r="C48" s="111">
        <v>925163</v>
      </c>
      <c r="D48" s="111">
        <v>227095</v>
      </c>
      <c r="E48" s="111">
        <v>1582846</v>
      </c>
      <c r="F48" s="1">
        <v>58</v>
      </c>
      <c r="G48" s="1">
        <v>58.45</v>
      </c>
      <c r="H48" s="1"/>
      <c r="M48" s="111">
        <v>-131715</v>
      </c>
      <c r="N48" s="1"/>
      <c r="P48" s="111">
        <v>-227095</v>
      </c>
      <c r="T48" s="1"/>
      <c r="Z48" s="1"/>
      <c r="AF48" s="1"/>
      <c r="AL48" s="1"/>
      <c r="AS48" s="1"/>
    </row>
    <row r="49" spans="1:71" ht="12.5" x14ac:dyDescent="0.25">
      <c r="A49" s="1" t="s">
        <v>13</v>
      </c>
      <c r="B49" s="111">
        <v>137814</v>
      </c>
      <c r="C49" s="111">
        <v>1062977</v>
      </c>
      <c r="D49" s="111">
        <v>237610</v>
      </c>
      <c r="E49" s="111">
        <v>1820456</v>
      </c>
      <c r="F49" s="1">
        <v>58</v>
      </c>
      <c r="G49" s="1">
        <v>58.39</v>
      </c>
      <c r="H49" s="1"/>
      <c r="J49" s="1"/>
      <c r="L49" s="1"/>
      <c r="M49" s="111">
        <v>-137814</v>
      </c>
      <c r="N49" s="1"/>
      <c r="P49" s="111">
        <v>-237610</v>
      </c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V49" s="1"/>
      <c r="AY49" s="1"/>
    </row>
    <row r="50" spans="1:71" ht="12.5" x14ac:dyDescent="0.25">
      <c r="A50" s="1" t="s">
        <v>14</v>
      </c>
      <c r="B50" s="111">
        <v>129001</v>
      </c>
      <c r="C50" s="111">
        <v>1191977</v>
      </c>
      <c r="D50" s="111">
        <v>222415</v>
      </c>
      <c r="E50" s="111">
        <v>2042871</v>
      </c>
      <c r="F50" s="1">
        <v>58</v>
      </c>
      <c r="G50" s="1">
        <v>58.35</v>
      </c>
      <c r="H50" s="1"/>
      <c r="I50" s="1"/>
      <c r="J50" s="1"/>
      <c r="K50" s="1"/>
      <c r="L50" s="1"/>
      <c r="M50" s="111">
        <v>-129001</v>
      </c>
      <c r="N50" s="1"/>
      <c r="O50" s="1"/>
      <c r="P50" s="111">
        <v>-222415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</row>
    <row r="51" spans="1:71" ht="12.5" x14ac:dyDescent="0.25">
      <c r="A51" s="1" t="s">
        <v>15</v>
      </c>
      <c r="B51" s="111">
        <v>123843</v>
      </c>
      <c r="C51" s="111">
        <v>1315821</v>
      </c>
      <c r="D51" s="111">
        <v>213523</v>
      </c>
      <c r="E51" s="111">
        <v>2256393</v>
      </c>
      <c r="F51" s="1">
        <v>58</v>
      </c>
      <c r="G51" s="1">
        <v>58.32</v>
      </c>
      <c r="H51" s="1"/>
      <c r="I51" s="111"/>
      <c r="J51" s="1"/>
      <c r="K51" s="111"/>
      <c r="L51" s="1"/>
      <c r="M51" s="111">
        <v>-123843</v>
      </c>
      <c r="N51" s="111"/>
      <c r="O51" s="111"/>
      <c r="P51" s="111">
        <v>-213523</v>
      </c>
      <c r="Q51" s="111"/>
      <c r="R51" s="1"/>
      <c r="S51" s="1"/>
      <c r="T51" s="111"/>
      <c r="U51" s="111"/>
      <c r="V51" s="111"/>
      <c r="W51" s="111"/>
      <c r="X51" s="1"/>
      <c r="Y51" s="1"/>
      <c r="Z51" s="111"/>
      <c r="AA51" s="111"/>
      <c r="AB51" s="111"/>
      <c r="AC51" s="111"/>
      <c r="AD51" s="1"/>
      <c r="AE51" s="1"/>
      <c r="AF51" s="111"/>
      <c r="AG51" s="111"/>
      <c r="AH51" s="111"/>
      <c r="AI51" s="111"/>
      <c r="AJ51" s="1"/>
      <c r="AK51" s="1"/>
      <c r="AL51" s="111"/>
      <c r="AM51" s="111"/>
      <c r="AN51" s="111"/>
      <c r="AO51" s="111"/>
      <c r="AP51" s="1"/>
      <c r="AQ51" s="1"/>
      <c r="AS51" s="1"/>
      <c r="AT51" s="1"/>
      <c r="AW51" s="111"/>
      <c r="AZ51" s="111"/>
    </row>
    <row r="52" spans="1:71" ht="12.5" x14ac:dyDescent="0.25">
      <c r="A52" s="1"/>
      <c r="B52" s="111"/>
      <c r="C52" s="111"/>
      <c r="D52" s="111"/>
      <c r="E52" s="111"/>
      <c r="F52" s="1"/>
      <c r="G52" s="1"/>
      <c r="H52" s="1"/>
      <c r="I52" s="111"/>
      <c r="J52" s="1"/>
      <c r="K52" s="111"/>
      <c r="L52" s="1"/>
      <c r="M52" s="1"/>
      <c r="N52" s="111"/>
      <c r="O52" s="111"/>
      <c r="P52" s="111"/>
      <c r="Q52" s="111"/>
      <c r="R52" s="1"/>
      <c r="S52" s="1"/>
      <c r="T52" s="111"/>
      <c r="U52" s="111"/>
      <c r="V52" s="111"/>
      <c r="W52" s="111"/>
      <c r="X52" s="1"/>
      <c r="Y52" s="1"/>
      <c r="Z52" s="111"/>
      <c r="AA52" s="111"/>
      <c r="AB52" s="111"/>
      <c r="AC52" s="111"/>
      <c r="AD52" s="1"/>
      <c r="AE52" s="1"/>
      <c r="AF52" s="111"/>
      <c r="AG52" s="111"/>
      <c r="AH52" s="111"/>
      <c r="AI52" s="111"/>
      <c r="AJ52" s="1"/>
      <c r="AK52" s="1"/>
      <c r="AL52" s="111"/>
      <c r="AM52" s="111"/>
      <c r="AN52" s="111"/>
      <c r="AO52" s="111"/>
      <c r="AP52" s="1"/>
      <c r="AQ52" s="1"/>
      <c r="AS52" s="1"/>
      <c r="AT52" s="1"/>
      <c r="AW52" s="111"/>
      <c r="AZ52" s="111"/>
    </row>
    <row r="53" spans="1:71" ht="12.5" x14ac:dyDescent="0.25">
      <c r="A53" s="1"/>
      <c r="B53" s="111"/>
      <c r="C53" s="111"/>
      <c r="D53" s="111"/>
      <c r="E53" s="111"/>
      <c r="F53" s="1"/>
      <c r="G53" s="1"/>
      <c r="H53" s="1"/>
      <c r="I53" s="111"/>
      <c r="J53" s="1"/>
      <c r="K53" s="111"/>
      <c r="L53" s="1"/>
      <c r="M53" s="1"/>
      <c r="N53" s="111"/>
      <c r="O53" s="111"/>
      <c r="P53" s="111"/>
      <c r="Q53" s="111"/>
      <c r="R53" s="1"/>
      <c r="S53" s="1"/>
      <c r="T53" s="111"/>
      <c r="U53" s="111"/>
      <c r="V53" s="111"/>
      <c r="W53" s="111"/>
      <c r="X53" s="1"/>
      <c r="Y53" s="1"/>
      <c r="Z53" s="111"/>
      <c r="AA53" s="111"/>
      <c r="AB53" s="111"/>
      <c r="AC53" s="111"/>
      <c r="AD53" s="1"/>
      <c r="AE53" s="1"/>
      <c r="AF53" s="111"/>
      <c r="AG53" s="111"/>
      <c r="AH53" s="111"/>
      <c r="AI53" s="111"/>
      <c r="AJ53" s="1"/>
      <c r="AK53" s="1"/>
      <c r="AL53" s="111"/>
      <c r="AM53" s="111"/>
      <c r="AN53" s="111"/>
      <c r="AO53" s="111"/>
      <c r="AP53" s="1"/>
      <c r="AQ53" s="1"/>
      <c r="AS53" s="1"/>
      <c r="AT53" s="1"/>
      <c r="AW53" s="111"/>
      <c r="AZ53" s="111"/>
    </row>
    <row r="54" spans="1:71" ht="12.5" x14ac:dyDescent="0.25">
      <c r="A54" s="1" t="s">
        <v>115</v>
      </c>
      <c r="B54" s="111"/>
      <c r="C54" s="111"/>
      <c r="D54" s="111"/>
      <c r="E54" s="111"/>
      <c r="F54" s="1"/>
      <c r="G54" s="1"/>
      <c r="H54" s="1" t="s">
        <v>116</v>
      </c>
      <c r="I54" s="111"/>
      <c r="J54" s="1"/>
      <c r="K54" s="111"/>
      <c r="L54" s="1"/>
      <c r="M54" s="1"/>
      <c r="N54" s="111" t="s">
        <v>95</v>
      </c>
      <c r="O54" s="111"/>
      <c r="P54" s="111"/>
      <c r="Q54" s="111"/>
      <c r="R54" s="1"/>
      <c r="S54" s="1"/>
      <c r="T54" s="111" t="s">
        <v>117</v>
      </c>
      <c r="U54" s="111"/>
      <c r="V54" s="111"/>
      <c r="W54" s="111"/>
      <c r="X54" s="1"/>
      <c r="Y54" s="1"/>
      <c r="Z54" s="111" t="s">
        <v>118</v>
      </c>
      <c r="AA54" s="111"/>
      <c r="AB54" s="111"/>
      <c r="AC54" s="111"/>
      <c r="AD54" s="1"/>
      <c r="AE54" s="1"/>
      <c r="AF54" s="111" t="s">
        <v>119</v>
      </c>
      <c r="AG54" s="111"/>
      <c r="AH54" s="111"/>
      <c r="AI54" s="111"/>
      <c r="AJ54" s="1"/>
      <c r="AK54" s="1"/>
      <c r="AL54" s="111" t="s">
        <v>120</v>
      </c>
      <c r="AM54" s="111"/>
      <c r="AN54" s="111"/>
      <c r="AO54" s="111"/>
      <c r="AP54" s="1"/>
      <c r="AQ54" s="1"/>
      <c r="AS54" s="1" t="s">
        <v>101</v>
      </c>
      <c r="AT54" s="1"/>
      <c r="AW54" s="111"/>
      <c r="AZ54" s="111"/>
    </row>
    <row r="55" spans="1:71" ht="12.5" x14ac:dyDescent="0.25">
      <c r="A55" s="1" t="s">
        <v>102</v>
      </c>
      <c r="B55" s="111" t="s">
        <v>2</v>
      </c>
      <c r="C55" s="111"/>
      <c r="D55" s="111" t="s">
        <v>3</v>
      </c>
      <c r="E55" s="111"/>
      <c r="F55" s="1" t="s">
        <v>103</v>
      </c>
      <c r="G55" s="1"/>
      <c r="H55" s="1" t="s">
        <v>2</v>
      </c>
      <c r="I55" s="111"/>
      <c r="J55" s="1" t="s">
        <v>3</v>
      </c>
      <c r="K55" s="111"/>
      <c r="L55" s="1" t="s">
        <v>103</v>
      </c>
      <c r="M55" s="1"/>
      <c r="N55" s="111" t="s">
        <v>2</v>
      </c>
      <c r="O55" s="111"/>
      <c r="P55" s="111" t="s">
        <v>3</v>
      </c>
      <c r="Q55" s="111"/>
      <c r="R55" s="1" t="s">
        <v>103</v>
      </c>
      <c r="S55" s="1"/>
      <c r="T55" s="111" t="s">
        <v>2</v>
      </c>
      <c r="U55" s="111"/>
      <c r="V55" s="111" t="s">
        <v>3</v>
      </c>
      <c r="W55" s="111"/>
      <c r="X55" s="1" t="s">
        <v>103</v>
      </c>
      <c r="Y55" s="1"/>
      <c r="Z55" s="111" t="s">
        <v>2</v>
      </c>
      <c r="AA55" s="111"/>
      <c r="AB55" s="111" t="s">
        <v>3</v>
      </c>
      <c r="AC55" s="111"/>
      <c r="AD55" s="1" t="s">
        <v>103</v>
      </c>
      <c r="AE55" s="1"/>
      <c r="AF55" s="111" t="s">
        <v>2</v>
      </c>
      <c r="AG55" s="111"/>
      <c r="AH55" s="111" t="s">
        <v>3</v>
      </c>
      <c r="AI55" s="111"/>
      <c r="AJ55" s="1" t="s">
        <v>103</v>
      </c>
      <c r="AK55" s="1"/>
      <c r="AL55" s="111" t="s">
        <v>2</v>
      </c>
      <c r="AM55" s="111"/>
      <c r="AN55" s="111" t="s">
        <v>3</v>
      </c>
      <c r="AO55" s="111"/>
      <c r="AP55" s="1" t="s">
        <v>103</v>
      </c>
      <c r="AQ55" s="1"/>
      <c r="AS55" s="1"/>
      <c r="AT55" s="1"/>
      <c r="AV55" s="1" t="s">
        <v>104</v>
      </c>
      <c r="AW55" s="111"/>
      <c r="AY55" s="1" t="s">
        <v>105</v>
      </c>
      <c r="AZ55" s="111"/>
    </row>
    <row r="56" spans="1:71" ht="12.5" x14ac:dyDescent="0.25">
      <c r="A56" s="1"/>
      <c r="B56" s="111" t="s">
        <v>106</v>
      </c>
      <c r="C56" s="111" t="s">
        <v>107</v>
      </c>
      <c r="D56" s="111" t="s">
        <v>106</v>
      </c>
      <c r="E56" s="111" t="s">
        <v>107</v>
      </c>
      <c r="F56" s="1" t="s">
        <v>106</v>
      </c>
      <c r="G56" s="1" t="s">
        <v>107</v>
      </c>
      <c r="H56" s="1" t="s">
        <v>106</v>
      </c>
      <c r="I56" s="111" t="s">
        <v>107</v>
      </c>
      <c r="J56" s="1" t="s">
        <v>106</v>
      </c>
      <c r="K56" s="111" t="s">
        <v>107</v>
      </c>
      <c r="L56" s="1" t="s">
        <v>106</v>
      </c>
      <c r="M56" s="1" t="s">
        <v>107</v>
      </c>
      <c r="N56" s="111" t="s">
        <v>106</v>
      </c>
      <c r="O56" s="111" t="s">
        <v>107</v>
      </c>
      <c r="P56" s="111" t="s">
        <v>106</v>
      </c>
      <c r="Q56" s="111" t="s">
        <v>107</v>
      </c>
      <c r="R56" s="1" t="s">
        <v>106</v>
      </c>
      <c r="S56" s="1" t="s">
        <v>107</v>
      </c>
      <c r="T56" s="111" t="s">
        <v>106</v>
      </c>
      <c r="U56" s="111" t="s">
        <v>107</v>
      </c>
      <c r="V56" s="111" t="s">
        <v>106</v>
      </c>
      <c r="W56" s="111" t="s">
        <v>107</v>
      </c>
      <c r="X56" s="1" t="s">
        <v>106</v>
      </c>
      <c r="Y56" s="1" t="s">
        <v>107</v>
      </c>
      <c r="Z56" s="111" t="s">
        <v>106</v>
      </c>
      <c r="AA56" s="111" t="s">
        <v>107</v>
      </c>
      <c r="AB56" s="111" t="s">
        <v>106</v>
      </c>
      <c r="AC56" s="111" t="s">
        <v>107</v>
      </c>
      <c r="AD56" s="1" t="s">
        <v>106</v>
      </c>
      <c r="AE56" s="1" t="s">
        <v>107</v>
      </c>
      <c r="AF56" s="111" t="s">
        <v>106</v>
      </c>
      <c r="AG56" s="111" t="s">
        <v>107</v>
      </c>
      <c r="AH56" s="111" t="s">
        <v>106</v>
      </c>
      <c r="AI56" s="111" t="s">
        <v>107</v>
      </c>
      <c r="AJ56" s="1" t="s">
        <v>106</v>
      </c>
      <c r="AK56" s="1" t="s">
        <v>107</v>
      </c>
      <c r="AL56" s="111" t="s">
        <v>106</v>
      </c>
      <c r="AM56" s="111" t="s">
        <v>107</v>
      </c>
      <c r="AN56" s="111" t="s">
        <v>106</v>
      </c>
      <c r="AO56" s="111" t="s">
        <v>107</v>
      </c>
      <c r="AP56" s="1" t="s">
        <v>106</v>
      </c>
      <c r="AQ56" s="1" t="s">
        <v>107</v>
      </c>
      <c r="AS56" s="1" t="s">
        <v>106</v>
      </c>
      <c r="AT56" s="1" t="s">
        <v>107</v>
      </c>
      <c r="AW56" s="111"/>
      <c r="AZ56" s="111"/>
    </row>
    <row r="57" spans="1:71" ht="12.5" x14ac:dyDescent="0.25">
      <c r="A57" s="1" t="s">
        <v>4</v>
      </c>
      <c r="B57" s="111">
        <v>18217</v>
      </c>
      <c r="C57" s="111">
        <v>18217</v>
      </c>
      <c r="D57" s="111">
        <v>20892</v>
      </c>
      <c r="E57" s="111">
        <v>20892</v>
      </c>
      <c r="F57" s="1">
        <v>87.2</v>
      </c>
      <c r="G57" s="1">
        <v>87.2</v>
      </c>
      <c r="H57" s="111">
        <v>31211</v>
      </c>
      <c r="I57" s="111">
        <v>31211</v>
      </c>
      <c r="J57" s="111">
        <v>34515</v>
      </c>
      <c r="K57" s="111">
        <v>34515</v>
      </c>
      <c r="L57" s="1">
        <v>90.43</v>
      </c>
      <c r="M57" s="1">
        <v>90.43</v>
      </c>
      <c r="N57" s="111">
        <v>51151</v>
      </c>
      <c r="O57" s="111">
        <v>51151</v>
      </c>
      <c r="P57" s="111">
        <v>59400</v>
      </c>
      <c r="Q57" s="111">
        <v>59400</v>
      </c>
      <c r="R57" s="1">
        <v>86.11</v>
      </c>
      <c r="S57" s="1">
        <v>86.11</v>
      </c>
      <c r="T57" s="111">
        <v>0</v>
      </c>
      <c r="U57" s="111">
        <v>0</v>
      </c>
      <c r="V57" s="111">
        <v>0</v>
      </c>
      <c r="W57" s="111">
        <v>0</v>
      </c>
      <c r="X57" s="1">
        <v>0</v>
      </c>
      <c r="Y57" s="1">
        <v>0</v>
      </c>
      <c r="Z57" s="111">
        <v>100579</v>
      </c>
      <c r="AA57" s="111">
        <v>100579</v>
      </c>
      <c r="AB57" s="111">
        <v>114807</v>
      </c>
      <c r="AC57" s="111">
        <v>114807</v>
      </c>
      <c r="AD57" s="1">
        <v>87.61</v>
      </c>
      <c r="AE57" s="1">
        <v>87.61</v>
      </c>
      <c r="AF57" s="111">
        <v>18217</v>
      </c>
      <c r="AG57" s="111">
        <v>18217</v>
      </c>
      <c r="AH57" s="111">
        <v>20892</v>
      </c>
      <c r="AI57" s="111">
        <v>20892</v>
      </c>
      <c r="AJ57" s="1">
        <v>87.2</v>
      </c>
      <c r="AK57" s="1">
        <v>87.2</v>
      </c>
      <c r="AL57" s="111">
        <v>82362</v>
      </c>
      <c r="AM57" s="111">
        <v>82362</v>
      </c>
      <c r="AN57" s="111">
        <v>93915</v>
      </c>
      <c r="AO57" s="111">
        <v>93915</v>
      </c>
      <c r="AP57" s="1">
        <v>87.7</v>
      </c>
      <c r="AQ57" s="1">
        <v>87.7</v>
      </c>
      <c r="AS57" s="1">
        <v>18.2</v>
      </c>
      <c r="AT57" s="1">
        <v>18.2</v>
      </c>
      <c r="AW57" s="111">
        <v>-100579</v>
      </c>
      <c r="AZ57" s="111">
        <v>-114807</v>
      </c>
    </row>
    <row r="58" spans="1:71" ht="12.5" x14ac:dyDescent="0.25">
      <c r="A58" s="1" t="s">
        <v>5</v>
      </c>
      <c r="B58" s="111">
        <v>18647</v>
      </c>
      <c r="C58" s="111">
        <v>36864</v>
      </c>
      <c r="D58" s="111">
        <v>20653</v>
      </c>
      <c r="E58" s="111">
        <v>41545</v>
      </c>
      <c r="F58" s="1">
        <v>90.29</v>
      </c>
      <c r="G58" s="1">
        <v>88.73</v>
      </c>
      <c r="H58" s="111">
        <v>26552</v>
      </c>
      <c r="I58" s="111">
        <v>57763</v>
      </c>
      <c r="J58" s="111">
        <v>29050</v>
      </c>
      <c r="K58" s="111">
        <v>63565</v>
      </c>
      <c r="L58" s="1">
        <v>91.4</v>
      </c>
      <c r="M58" s="1">
        <v>90.87</v>
      </c>
      <c r="N58" s="111">
        <v>40267</v>
      </c>
      <c r="O58" s="111">
        <v>91419</v>
      </c>
      <c r="P58" s="111">
        <v>46400</v>
      </c>
      <c r="Q58" s="111">
        <v>105800</v>
      </c>
      <c r="R58" s="1">
        <v>86.78</v>
      </c>
      <c r="S58" s="1">
        <v>86.41</v>
      </c>
      <c r="T58" s="111">
        <v>1434</v>
      </c>
      <c r="U58" s="111">
        <v>1434</v>
      </c>
      <c r="V58" s="111">
        <v>1514</v>
      </c>
      <c r="W58" s="111">
        <v>1514</v>
      </c>
      <c r="X58" s="1">
        <v>94.72</v>
      </c>
      <c r="Y58" s="1">
        <v>94.72</v>
      </c>
      <c r="Z58" s="111">
        <v>86901</v>
      </c>
      <c r="AA58" s="111">
        <v>187480</v>
      </c>
      <c r="AB58" s="111">
        <v>97617</v>
      </c>
      <c r="AC58" s="111">
        <v>212424</v>
      </c>
      <c r="AD58" s="1">
        <v>89.02</v>
      </c>
      <c r="AE58" s="1">
        <v>88.26</v>
      </c>
      <c r="AF58" s="111">
        <v>18647</v>
      </c>
      <c r="AG58" s="111">
        <v>36864</v>
      </c>
      <c r="AH58" s="111">
        <v>20653</v>
      </c>
      <c r="AI58" s="111">
        <v>41545</v>
      </c>
      <c r="AJ58" s="1">
        <v>90.29</v>
      </c>
      <c r="AK58" s="1">
        <v>88.73</v>
      </c>
      <c r="AL58" s="111">
        <v>68254</v>
      </c>
      <c r="AM58" s="111">
        <v>150616</v>
      </c>
      <c r="AN58" s="111">
        <v>76964</v>
      </c>
      <c r="AO58" s="111">
        <v>170879</v>
      </c>
      <c r="AP58" s="1">
        <v>88.68</v>
      </c>
      <c r="AQ58" s="1">
        <v>88.14</v>
      </c>
      <c r="AS58" s="1">
        <v>21.16</v>
      </c>
      <c r="AT58" s="1">
        <v>19.559999999999999</v>
      </c>
      <c r="AW58" s="111">
        <v>-86901</v>
      </c>
      <c r="AZ58" s="111">
        <v>-97617</v>
      </c>
    </row>
    <row r="59" spans="1:71" ht="12.5" x14ac:dyDescent="0.25">
      <c r="A59" s="1" t="s">
        <v>6</v>
      </c>
      <c r="B59" s="111">
        <v>10441</v>
      </c>
      <c r="C59" s="111">
        <v>47305</v>
      </c>
      <c r="D59" s="111">
        <v>11537</v>
      </c>
      <c r="E59" s="111">
        <v>53082</v>
      </c>
      <c r="F59" s="1">
        <v>90.5</v>
      </c>
      <c r="G59" s="1">
        <v>89.12</v>
      </c>
      <c r="H59" s="111">
        <v>28605</v>
      </c>
      <c r="I59" s="111">
        <v>86369</v>
      </c>
      <c r="J59" s="111">
        <v>31496</v>
      </c>
      <c r="K59" s="111">
        <v>95061</v>
      </c>
      <c r="L59" s="1">
        <v>90.82</v>
      </c>
      <c r="M59" s="1">
        <v>90.86</v>
      </c>
      <c r="N59" s="111">
        <v>28197</v>
      </c>
      <c r="O59" s="111">
        <v>119616</v>
      </c>
      <c r="P59" s="111">
        <v>32470</v>
      </c>
      <c r="Q59" s="111">
        <v>138270</v>
      </c>
      <c r="R59" s="1">
        <v>86.84</v>
      </c>
      <c r="S59" s="1">
        <v>86.51</v>
      </c>
      <c r="T59" s="111">
        <v>8544</v>
      </c>
      <c r="U59" s="111">
        <v>9978</v>
      </c>
      <c r="V59" s="111">
        <v>8988</v>
      </c>
      <c r="W59" s="111">
        <v>10502</v>
      </c>
      <c r="X59" s="1">
        <v>95.06</v>
      </c>
      <c r="Y59" s="1">
        <v>95.01</v>
      </c>
      <c r="Z59" s="111">
        <v>75788</v>
      </c>
      <c r="AA59" s="111">
        <v>263268</v>
      </c>
      <c r="AB59" s="111">
        <v>84492</v>
      </c>
      <c r="AC59" s="111">
        <v>296915</v>
      </c>
      <c r="AD59" s="1">
        <v>89.7</v>
      </c>
      <c r="AE59" s="1">
        <v>88.67</v>
      </c>
      <c r="AF59" s="111">
        <v>10441</v>
      </c>
      <c r="AG59" s="111">
        <v>47305</v>
      </c>
      <c r="AH59" s="111">
        <v>11537</v>
      </c>
      <c r="AI59" s="111">
        <v>53082</v>
      </c>
      <c r="AJ59" s="1">
        <v>90.5</v>
      </c>
      <c r="AK59" s="1">
        <v>89.12</v>
      </c>
      <c r="AL59" s="111">
        <v>65347</v>
      </c>
      <c r="AM59" s="111">
        <v>215963</v>
      </c>
      <c r="AN59" s="111">
        <v>72955</v>
      </c>
      <c r="AO59" s="111">
        <v>243833</v>
      </c>
      <c r="AP59" s="1">
        <v>89.57</v>
      </c>
      <c r="AQ59" s="1">
        <v>88.57</v>
      </c>
      <c r="AS59" s="1">
        <v>13.65</v>
      </c>
      <c r="AT59" s="1">
        <v>17.88</v>
      </c>
      <c r="AW59" s="111">
        <v>-75788</v>
      </c>
      <c r="AZ59" s="111">
        <v>-84492</v>
      </c>
    </row>
    <row r="60" spans="1:71" ht="12.5" x14ac:dyDescent="0.25">
      <c r="A60" s="1" t="s">
        <v>7</v>
      </c>
      <c r="B60" s="111">
        <v>14730</v>
      </c>
      <c r="C60" s="111">
        <v>62036</v>
      </c>
      <c r="D60" s="111">
        <v>16610</v>
      </c>
      <c r="E60" s="111">
        <v>69692</v>
      </c>
      <c r="F60" s="1">
        <v>88.68</v>
      </c>
      <c r="G60" s="1">
        <v>89.01</v>
      </c>
      <c r="H60" s="111">
        <v>26171</v>
      </c>
      <c r="I60" s="111">
        <v>112540</v>
      </c>
      <c r="J60" s="111">
        <v>29044</v>
      </c>
      <c r="K60" s="111">
        <v>124105</v>
      </c>
      <c r="L60" s="1">
        <v>90.11</v>
      </c>
      <c r="M60" s="1">
        <v>90.68</v>
      </c>
      <c r="N60" s="111">
        <v>34367</v>
      </c>
      <c r="O60" s="111">
        <v>153983</v>
      </c>
      <c r="P60" s="111">
        <v>39743</v>
      </c>
      <c r="Q60" s="111">
        <v>178013</v>
      </c>
      <c r="R60" s="1">
        <v>86.47</v>
      </c>
      <c r="S60" s="1">
        <v>86.5</v>
      </c>
      <c r="T60" s="111">
        <v>0</v>
      </c>
      <c r="U60" s="111">
        <v>9978</v>
      </c>
      <c r="V60" s="111">
        <v>0</v>
      </c>
      <c r="W60" s="111">
        <v>10502</v>
      </c>
      <c r="X60" s="1">
        <v>0</v>
      </c>
      <c r="Y60" s="1">
        <v>95.01</v>
      </c>
      <c r="Z60" s="111">
        <v>75269</v>
      </c>
      <c r="AA60" s="111">
        <v>338536</v>
      </c>
      <c r="AB60" s="111">
        <v>85397</v>
      </c>
      <c r="AC60" s="111">
        <v>382312</v>
      </c>
      <c r="AD60" s="1">
        <v>88.14</v>
      </c>
      <c r="AE60" s="1">
        <v>88.55</v>
      </c>
      <c r="AF60" s="111">
        <v>14730</v>
      </c>
      <c r="AG60" s="111">
        <v>62036</v>
      </c>
      <c r="AH60" s="111">
        <v>16610</v>
      </c>
      <c r="AI60" s="111">
        <v>69692</v>
      </c>
      <c r="AJ60" s="1">
        <v>88.68</v>
      </c>
      <c r="AK60" s="1">
        <v>89.01</v>
      </c>
      <c r="AL60" s="111">
        <v>60538</v>
      </c>
      <c r="AM60" s="111">
        <v>276501</v>
      </c>
      <c r="AN60" s="111">
        <v>68787</v>
      </c>
      <c r="AO60" s="111">
        <v>312621</v>
      </c>
      <c r="AP60" s="1">
        <v>88.01</v>
      </c>
      <c r="AQ60" s="1">
        <v>88.45</v>
      </c>
      <c r="AS60" s="1">
        <v>19.45</v>
      </c>
      <c r="AT60" s="1">
        <v>18.23</v>
      </c>
      <c r="AW60" s="111">
        <v>-75269</v>
      </c>
      <c r="AZ60" s="111">
        <v>-85397</v>
      </c>
    </row>
    <row r="61" spans="1:71" ht="12.5" x14ac:dyDescent="0.25">
      <c r="A61" s="1" t="s">
        <v>8</v>
      </c>
      <c r="B61" s="111">
        <v>20704</v>
      </c>
      <c r="C61" s="111">
        <v>82740</v>
      </c>
      <c r="D61" s="111">
        <v>23533</v>
      </c>
      <c r="E61" s="111">
        <v>93225</v>
      </c>
      <c r="F61" s="1">
        <v>87.98</v>
      </c>
      <c r="G61" s="1">
        <v>88.75</v>
      </c>
      <c r="H61" s="111">
        <v>30592</v>
      </c>
      <c r="I61" s="111">
        <v>143132</v>
      </c>
      <c r="J61" s="111">
        <v>33956</v>
      </c>
      <c r="K61" s="111">
        <v>158061</v>
      </c>
      <c r="L61" s="1">
        <v>90.09</v>
      </c>
      <c r="M61" s="1">
        <v>90.55</v>
      </c>
      <c r="N61" s="111">
        <v>46583</v>
      </c>
      <c r="O61" s="111">
        <v>200566</v>
      </c>
      <c r="P61" s="111">
        <v>53721</v>
      </c>
      <c r="Q61" s="111">
        <v>231734</v>
      </c>
      <c r="R61" s="1">
        <v>86.71</v>
      </c>
      <c r="S61" s="1">
        <v>86.55</v>
      </c>
      <c r="T61" s="111">
        <v>0</v>
      </c>
      <c r="U61" s="111">
        <v>9978</v>
      </c>
      <c r="V61" s="111">
        <v>0</v>
      </c>
      <c r="W61" s="111">
        <v>10502</v>
      </c>
      <c r="X61" s="1">
        <v>0</v>
      </c>
      <c r="Y61" s="1">
        <v>95.01</v>
      </c>
      <c r="Z61" s="111">
        <v>97880</v>
      </c>
      <c r="AA61" s="111">
        <v>436416</v>
      </c>
      <c r="AB61" s="111">
        <v>111210</v>
      </c>
      <c r="AC61" s="111">
        <v>493522</v>
      </c>
      <c r="AD61" s="1">
        <v>88.01</v>
      </c>
      <c r="AE61" s="1">
        <v>88.43</v>
      </c>
      <c r="AF61" s="111">
        <v>20704</v>
      </c>
      <c r="AG61" s="111">
        <v>82740</v>
      </c>
      <c r="AH61" s="111">
        <v>23533</v>
      </c>
      <c r="AI61" s="111">
        <v>93225</v>
      </c>
      <c r="AJ61" s="1">
        <v>87.98</v>
      </c>
      <c r="AK61" s="1">
        <v>88.75</v>
      </c>
      <c r="AL61" s="111">
        <v>77175</v>
      </c>
      <c r="AM61" s="111">
        <v>353676</v>
      </c>
      <c r="AN61" s="111">
        <v>87677</v>
      </c>
      <c r="AO61" s="111">
        <v>400297</v>
      </c>
      <c r="AP61" s="1">
        <v>88.02</v>
      </c>
      <c r="AQ61" s="1">
        <v>88.35</v>
      </c>
      <c r="AS61" s="1">
        <v>21.16</v>
      </c>
      <c r="AT61" s="1">
        <v>18.89</v>
      </c>
      <c r="AW61" s="111">
        <v>-97880</v>
      </c>
      <c r="AZ61" s="111">
        <v>-111210</v>
      </c>
    </row>
    <row r="62" spans="1:71" ht="12.5" x14ac:dyDescent="0.25">
      <c r="A62" s="1" t="s">
        <v>9</v>
      </c>
      <c r="B62" s="111">
        <v>27973</v>
      </c>
      <c r="C62" s="111">
        <v>110713</v>
      </c>
      <c r="D62" s="111">
        <v>47563</v>
      </c>
      <c r="E62" s="111">
        <v>140787</v>
      </c>
      <c r="F62" s="1">
        <v>58.81</v>
      </c>
      <c r="G62" s="1">
        <v>78.64</v>
      </c>
      <c r="H62" s="1">
        <v>0</v>
      </c>
      <c r="I62" s="111">
        <v>143132</v>
      </c>
      <c r="J62" s="1">
        <v>0</v>
      </c>
      <c r="K62" s="111">
        <v>158061</v>
      </c>
      <c r="L62" s="1" t="e">
        <v>#DIV/0!</v>
      </c>
      <c r="M62" s="1">
        <v>90.55</v>
      </c>
      <c r="N62" s="111">
        <v>21141</v>
      </c>
      <c r="O62" s="111">
        <v>221707</v>
      </c>
      <c r="P62" s="111">
        <v>24311</v>
      </c>
      <c r="Q62" s="111">
        <v>256045</v>
      </c>
      <c r="R62" s="1">
        <v>86.96</v>
      </c>
      <c r="S62" s="1">
        <v>86.59</v>
      </c>
      <c r="T62" s="111">
        <v>1817</v>
      </c>
      <c r="U62" s="111">
        <v>11795</v>
      </c>
      <c r="V62" s="111">
        <v>1903</v>
      </c>
      <c r="W62" s="111">
        <v>12405</v>
      </c>
      <c r="X62" s="1">
        <v>95.5</v>
      </c>
      <c r="Y62" s="1">
        <v>95.09</v>
      </c>
      <c r="Z62" s="111">
        <v>50931</v>
      </c>
      <c r="AA62" s="111">
        <v>487347</v>
      </c>
      <c r="AB62" s="111">
        <v>73776</v>
      </c>
      <c r="AC62" s="111">
        <v>567298</v>
      </c>
      <c r="AD62" s="1">
        <v>69.03</v>
      </c>
      <c r="AE62" s="1">
        <v>85.91</v>
      </c>
      <c r="AF62" s="111">
        <v>27973</v>
      </c>
      <c r="AG62" s="111">
        <v>110713</v>
      </c>
      <c r="AH62" s="111">
        <v>47563</v>
      </c>
      <c r="AI62" s="111">
        <v>140787</v>
      </c>
      <c r="AJ62" s="1">
        <v>58.81</v>
      </c>
      <c r="AK62" s="1">
        <v>78.64</v>
      </c>
      <c r="AL62" s="111">
        <v>22958</v>
      </c>
      <c r="AM62" s="111">
        <v>376634</v>
      </c>
      <c r="AN62" s="111">
        <v>26213</v>
      </c>
      <c r="AO62" s="111">
        <v>426511</v>
      </c>
      <c r="AP62" s="1">
        <v>87.58</v>
      </c>
      <c r="AQ62" s="1">
        <v>88.31</v>
      </c>
      <c r="AR62" s="1"/>
      <c r="AS62" s="1">
        <v>64.47</v>
      </c>
      <c r="AT62" s="1">
        <v>24.82</v>
      </c>
      <c r="AW62" s="111">
        <v>-50931</v>
      </c>
      <c r="AZ62" s="111">
        <v>-73776</v>
      </c>
      <c r="BD62" s="1"/>
      <c r="BR62" s="1"/>
    </row>
    <row r="63" spans="1:71" ht="12.5" x14ac:dyDescent="0.25">
      <c r="A63" s="1" t="s">
        <v>10</v>
      </c>
      <c r="B63" s="111">
        <v>1758</v>
      </c>
      <c r="C63" s="111">
        <v>112471</v>
      </c>
      <c r="D63" s="111">
        <v>2056</v>
      </c>
      <c r="E63" s="111">
        <v>142843</v>
      </c>
      <c r="F63" s="1">
        <v>85.54</v>
      </c>
      <c r="G63" s="1">
        <v>78.739999999999995</v>
      </c>
      <c r="H63" s="1">
        <v>0</v>
      </c>
      <c r="I63" s="111">
        <v>143132</v>
      </c>
      <c r="J63" s="1">
        <v>0</v>
      </c>
      <c r="K63" s="111">
        <v>158061</v>
      </c>
      <c r="L63" s="1" t="e">
        <v>#DIV/0!</v>
      </c>
      <c r="M63" s="1">
        <v>90.55</v>
      </c>
      <c r="N63" s="111">
        <v>26948</v>
      </c>
      <c r="O63" s="111">
        <v>248656</v>
      </c>
      <c r="P63" s="111">
        <v>30989</v>
      </c>
      <c r="Q63" s="111">
        <v>287035</v>
      </c>
      <c r="R63" s="1">
        <v>86.96</v>
      </c>
      <c r="S63" s="1">
        <v>86.63</v>
      </c>
      <c r="T63" s="111">
        <v>3223</v>
      </c>
      <c r="U63" s="111">
        <v>15018</v>
      </c>
      <c r="V63" s="111">
        <v>3374</v>
      </c>
      <c r="W63" s="111">
        <v>15779</v>
      </c>
      <c r="X63" s="1">
        <v>95.5</v>
      </c>
      <c r="Y63" s="1">
        <v>95.18</v>
      </c>
      <c r="Z63" s="111">
        <v>31930</v>
      </c>
      <c r="AA63" s="111">
        <v>519276</v>
      </c>
      <c r="AB63" s="111">
        <v>36420</v>
      </c>
      <c r="AC63" s="111">
        <v>603718</v>
      </c>
      <c r="AD63" s="1">
        <v>87.67</v>
      </c>
      <c r="AE63" s="1">
        <v>86.01</v>
      </c>
      <c r="AF63" s="111">
        <v>1758</v>
      </c>
      <c r="AG63" s="111">
        <v>112471</v>
      </c>
      <c r="AH63" s="111">
        <v>2056</v>
      </c>
      <c r="AI63" s="111">
        <v>142843</v>
      </c>
      <c r="AJ63" s="1">
        <v>85.54</v>
      </c>
      <c r="AK63" s="1">
        <v>78.739999999999995</v>
      </c>
      <c r="AL63" s="111">
        <v>30171</v>
      </c>
      <c r="AM63" s="111">
        <v>406805</v>
      </c>
      <c r="AN63" s="111">
        <v>34364</v>
      </c>
      <c r="AO63" s="111">
        <v>460875</v>
      </c>
      <c r="AP63" s="1">
        <v>87.8</v>
      </c>
      <c r="AQ63" s="1">
        <v>88.27</v>
      </c>
      <c r="AR63" s="1"/>
      <c r="AS63" s="1">
        <v>5.64</v>
      </c>
      <c r="AT63" s="1">
        <v>23.66</v>
      </c>
      <c r="AV63" s="1"/>
      <c r="AW63" s="111">
        <v>-31930</v>
      </c>
      <c r="AX63" s="1"/>
      <c r="AZ63" s="111">
        <v>-36420</v>
      </c>
      <c r="BD63" s="1"/>
      <c r="BG63" s="1"/>
      <c r="BJ63" s="1"/>
      <c r="BR63" s="1"/>
    </row>
    <row r="64" spans="1:71" ht="12.5" x14ac:dyDescent="0.25">
      <c r="A64" s="1" t="s">
        <v>11</v>
      </c>
      <c r="B64" s="111">
        <v>1212</v>
      </c>
      <c r="C64" s="111">
        <v>113683</v>
      </c>
      <c r="D64" s="111">
        <v>1365</v>
      </c>
      <c r="E64" s="111">
        <v>144208</v>
      </c>
      <c r="F64" s="1">
        <v>88.83</v>
      </c>
      <c r="G64" s="1">
        <v>78.83</v>
      </c>
      <c r="H64" s="1">
        <v>0</v>
      </c>
      <c r="I64" s="111">
        <v>143132</v>
      </c>
      <c r="J64" s="1">
        <v>0</v>
      </c>
      <c r="K64" s="111">
        <v>158061</v>
      </c>
      <c r="L64" s="1" t="e">
        <v>#DIV/0!</v>
      </c>
      <c r="M64" s="1">
        <v>90.55</v>
      </c>
      <c r="N64" s="111">
        <v>18550</v>
      </c>
      <c r="O64" s="111">
        <v>267205</v>
      </c>
      <c r="P64" s="111">
        <v>21331</v>
      </c>
      <c r="Q64" s="111">
        <v>308366</v>
      </c>
      <c r="R64" s="1">
        <v>86.96</v>
      </c>
      <c r="S64" s="1">
        <v>86.65</v>
      </c>
      <c r="T64" s="111">
        <v>1899</v>
      </c>
      <c r="U64" s="111">
        <v>16917</v>
      </c>
      <c r="V64" s="111">
        <v>1989</v>
      </c>
      <c r="W64" s="111">
        <v>17768</v>
      </c>
      <c r="X64" s="1">
        <v>95.5</v>
      </c>
      <c r="Y64" s="1">
        <v>95.21</v>
      </c>
      <c r="Z64" s="111">
        <v>21661</v>
      </c>
      <c r="AA64" s="111">
        <v>540938</v>
      </c>
      <c r="AB64" s="111">
        <v>24685</v>
      </c>
      <c r="AC64" s="111">
        <v>628403</v>
      </c>
      <c r="AD64" s="1">
        <v>87.75</v>
      </c>
      <c r="AE64" s="1">
        <v>86.08</v>
      </c>
      <c r="AF64" s="111">
        <v>1212</v>
      </c>
      <c r="AG64" s="111">
        <v>113683</v>
      </c>
      <c r="AH64" s="111">
        <v>1365</v>
      </c>
      <c r="AI64" s="111">
        <v>144208</v>
      </c>
      <c r="AJ64" s="1">
        <v>88.83</v>
      </c>
      <c r="AK64" s="1">
        <v>78.83</v>
      </c>
      <c r="AL64" s="111">
        <v>20449</v>
      </c>
      <c r="AM64" s="111">
        <v>427254</v>
      </c>
      <c r="AN64" s="111">
        <v>23320</v>
      </c>
      <c r="AO64" s="111">
        <v>484195</v>
      </c>
      <c r="AP64" s="1">
        <v>87.69</v>
      </c>
      <c r="AQ64" s="1">
        <v>88.24</v>
      </c>
      <c r="AR64" s="1"/>
      <c r="AS64" s="1">
        <v>5.53</v>
      </c>
      <c r="AT64" s="1">
        <v>22.95</v>
      </c>
      <c r="AU64" s="1"/>
      <c r="AV64" s="1"/>
      <c r="AW64" s="111">
        <v>-21661</v>
      </c>
      <c r="AX64" s="1"/>
      <c r="AY64" s="1"/>
      <c r="AZ64" s="111">
        <v>-24685</v>
      </c>
      <c r="BD64" s="1"/>
      <c r="BE64" s="1"/>
      <c r="BR64" s="1"/>
      <c r="BS64" s="1"/>
    </row>
    <row r="65" spans="1:71" ht="12.5" x14ac:dyDescent="0.25">
      <c r="A65" s="1" t="s">
        <v>12</v>
      </c>
      <c r="B65" s="111">
        <v>5740</v>
      </c>
      <c r="C65" s="111">
        <v>119424</v>
      </c>
      <c r="D65" s="111">
        <v>6194</v>
      </c>
      <c r="E65" s="111">
        <v>150402</v>
      </c>
      <c r="F65" s="1">
        <v>92.67</v>
      </c>
      <c r="G65" s="1">
        <v>79.400000000000006</v>
      </c>
      <c r="H65" s="1">
        <v>0</v>
      </c>
      <c r="I65" s="111">
        <v>143132</v>
      </c>
      <c r="J65" s="1">
        <v>0</v>
      </c>
      <c r="K65" s="111">
        <v>158061</v>
      </c>
      <c r="L65" s="1" t="e">
        <v>#DIV/0!</v>
      </c>
      <c r="M65" s="1">
        <v>90.55</v>
      </c>
      <c r="N65" s="111">
        <v>20950</v>
      </c>
      <c r="O65" s="111">
        <v>288155</v>
      </c>
      <c r="P65" s="111">
        <v>24091</v>
      </c>
      <c r="Q65" s="111">
        <v>332457</v>
      </c>
      <c r="R65" s="1">
        <v>86.96</v>
      </c>
      <c r="S65" s="1">
        <v>86.67</v>
      </c>
      <c r="T65" s="111">
        <v>31768</v>
      </c>
      <c r="U65" s="111">
        <v>48685</v>
      </c>
      <c r="V65" s="111">
        <v>33265</v>
      </c>
      <c r="W65" s="111">
        <v>51033</v>
      </c>
      <c r="X65" s="1">
        <v>95.5</v>
      </c>
      <c r="Y65" s="1">
        <v>95.4</v>
      </c>
      <c r="Z65" s="111">
        <v>58458</v>
      </c>
      <c r="AA65" s="111">
        <v>599396</v>
      </c>
      <c r="AB65" s="111">
        <v>63551</v>
      </c>
      <c r="AC65" s="111">
        <v>691953</v>
      </c>
      <c r="AD65" s="1">
        <v>91.99</v>
      </c>
      <c r="AE65" s="1">
        <v>86.62</v>
      </c>
      <c r="AF65" s="111">
        <v>5740</v>
      </c>
      <c r="AG65" s="111">
        <v>119424</v>
      </c>
      <c r="AH65" s="111">
        <v>6194</v>
      </c>
      <c r="AI65" s="111">
        <v>150402</v>
      </c>
      <c r="AJ65" s="1">
        <v>92.67</v>
      </c>
      <c r="AK65" s="1">
        <v>79.400000000000006</v>
      </c>
      <c r="AL65" s="111">
        <v>52718</v>
      </c>
      <c r="AM65" s="111">
        <v>479972</v>
      </c>
      <c r="AN65" s="111">
        <v>57356</v>
      </c>
      <c r="AO65" s="111">
        <v>541551</v>
      </c>
      <c r="AP65" s="1">
        <v>91.91</v>
      </c>
      <c r="AQ65" s="1">
        <v>88.63</v>
      </c>
      <c r="AR65" s="111"/>
      <c r="AS65" s="111">
        <v>9.75</v>
      </c>
      <c r="AT65" s="111">
        <v>21.74</v>
      </c>
      <c r="AU65" s="111"/>
      <c r="AV65" s="1"/>
      <c r="AW65" s="111">
        <v>-58458</v>
      </c>
      <c r="AX65" s="1"/>
      <c r="AY65" s="1"/>
      <c r="AZ65" s="111">
        <v>-63551</v>
      </c>
      <c r="BD65" s="1"/>
      <c r="BE65" s="1"/>
      <c r="BH65" s="111"/>
      <c r="BK65" s="111"/>
      <c r="BR65" s="111"/>
      <c r="BS65" s="1"/>
    </row>
    <row r="66" spans="1:71" ht="12.5" x14ac:dyDescent="0.25">
      <c r="A66" s="1" t="s">
        <v>13</v>
      </c>
      <c r="B66" s="111">
        <v>15410</v>
      </c>
      <c r="C66" s="111">
        <v>134834</v>
      </c>
      <c r="D66" s="111">
        <v>22533</v>
      </c>
      <c r="E66" s="111">
        <v>172935</v>
      </c>
      <c r="F66" s="1">
        <v>68.39</v>
      </c>
      <c r="G66" s="1">
        <v>77.97</v>
      </c>
      <c r="H66" s="1">
        <v>0</v>
      </c>
      <c r="I66" s="111">
        <v>143132</v>
      </c>
      <c r="J66" s="1">
        <v>0</v>
      </c>
      <c r="K66" s="111">
        <v>158061</v>
      </c>
      <c r="L66" s="1" t="e">
        <v>#DIV/0!</v>
      </c>
      <c r="M66" s="1">
        <v>90.55</v>
      </c>
      <c r="N66" s="111">
        <v>30835</v>
      </c>
      <c r="O66" s="111">
        <v>318990</v>
      </c>
      <c r="P66" s="111">
        <v>35459</v>
      </c>
      <c r="Q66" s="111">
        <v>367916</v>
      </c>
      <c r="R66" s="1">
        <v>86.96</v>
      </c>
      <c r="S66" s="1">
        <v>86.7</v>
      </c>
      <c r="T66" s="111">
        <v>32271</v>
      </c>
      <c r="U66" s="111">
        <v>80957</v>
      </c>
      <c r="V66" s="111">
        <v>33792</v>
      </c>
      <c r="W66" s="111">
        <v>84825</v>
      </c>
      <c r="X66" s="1">
        <v>95.5</v>
      </c>
      <c r="Y66" s="1">
        <v>95.44</v>
      </c>
      <c r="Z66" s="111">
        <v>78517</v>
      </c>
      <c r="AA66" s="111">
        <v>677912</v>
      </c>
      <c r="AB66" s="111">
        <v>91784</v>
      </c>
      <c r="AC66" s="111">
        <v>783737</v>
      </c>
      <c r="AD66" s="1">
        <v>85.55</v>
      </c>
      <c r="AE66" s="1">
        <v>86.5</v>
      </c>
      <c r="AF66" s="111">
        <v>15410</v>
      </c>
      <c r="AG66" s="111">
        <v>134834</v>
      </c>
      <c r="AH66" s="111">
        <v>22533</v>
      </c>
      <c r="AI66" s="111">
        <v>172935</v>
      </c>
      <c r="AJ66" s="1">
        <v>68.39</v>
      </c>
      <c r="AK66" s="1">
        <v>77.97</v>
      </c>
      <c r="AL66" s="111">
        <v>63106</v>
      </c>
      <c r="AM66" s="111">
        <v>543078</v>
      </c>
      <c r="AN66" s="111">
        <v>69251</v>
      </c>
      <c r="AO66" s="111">
        <v>610802</v>
      </c>
      <c r="AP66" s="1">
        <v>91.13</v>
      </c>
      <c r="AQ66" s="1">
        <v>88.91</v>
      </c>
      <c r="AR66" s="111"/>
      <c r="AS66" s="111">
        <v>24.55</v>
      </c>
      <c r="AT66" s="111">
        <v>22.07</v>
      </c>
      <c r="AU66" s="111"/>
      <c r="AV66" s="1"/>
      <c r="AW66" s="111">
        <v>-78517</v>
      </c>
      <c r="AX66" s="1"/>
      <c r="AY66" s="1"/>
      <c r="AZ66" s="111">
        <v>-91784</v>
      </c>
      <c r="BD66" s="1"/>
      <c r="BE66" s="1"/>
      <c r="BH66" s="111"/>
      <c r="BK66" s="111"/>
      <c r="BR66" s="111"/>
      <c r="BS66" s="1"/>
    </row>
    <row r="67" spans="1:71" ht="12.5" x14ac:dyDescent="0.25">
      <c r="A67" s="1" t="s">
        <v>14</v>
      </c>
      <c r="B67" s="111">
        <v>32837</v>
      </c>
      <c r="C67" s="111">
        <v>167672</v>
      </c>
      <c r="D67" s="111">
        <v>52742</v>
      </c>
      <c r="E67" s="111">
        <v>225677</v>
      </c>
      <c r="F67" s="1">
        <v>62.26</v>
      </c>
      <c r="G67" s="1">
        <v>74.3</v>
      </c>
      <c r="H67" s="1">
        <v>0</v>
      </c>
      <c r="I67" s="111">
        <v>143132</v>
      </c>
      <c r="J67" s="1">
        <v>0</v>
      </c>
      <c r="K67" s="111">
        <v>158061</v>
      </c>
      <c r="L67" s="1" t="e">
        <v>#DIV/0!</v>
      </c>
      <c r="M67" s="1">
        <v>90.55</v>
      </c>
      <c r="N67" s="111">
        <v>25266</v>
      </c>
      <c r="O67" s="111">
        <v>344255</v>
      </c>
      <c r="P67" s="111">
        <v>29054</v>
      </c>
      <c r="Q67" s="111">
        <v>396970</v>
      </c>
      <c r="R67" s="1">
        <v>86.96</v>
      </c>
      <c r="S67" s="1">
        <v>86.72</v>
      </c>
      <c r="T67" s="111">
        <v>32240</v>
      </c>
      <c r="U67" s="111">
        <v>113197</v>
      </c>
      <c r="V67" s="111">
        <v>33759</v>
      </c>
      <c r="W67" s="111">
        <v>118584</v>
      </c>
      <c r="X67" s="1">
        <v>95.5</v>
      </c>
      <c r="Y67" s="1">
        <v>95.46</v>
      </c>
      <c r="Z67" s="111">
        <v>90343</v>
      </c>
      <c r="AA67" s="111">
        <v>768256</v>
      </c>
      <c r="AB67" s="111">
        <v>115555</v>
      </c>
      <c r="AC67" s="111">
        <v>899292</v>
      </c>
      <c r="AD67" s="1">
        <v>78.180000000000007</v>
      </c>
      <c r="AE67" s="1">
        <v>85.43</v>
      </c>
      <c r="AF67" s="111">
        <v>32837</v>
      </c>
      <c r="AG67" s="111">
        <v>167672</v>
      </c>
      <c r="AH67" s="111">
        <v>52742</v>
      </c>
      <c r="AI67" s="111">
        <v>225677</v>
      </c>
      <c r="AJ67" s="1">
        <v>62.26</v>
      </c>
      <c r="AK67" s="1">
        <v>74.3</v>
      </c>
      <c r="AL67" s="111">
        <v>57506</v>
      </c>
      <c r="AM67" s="111">
        <v>600584</v>
      </c>
      <c r="AN67" s="111">
        <v>62814</v>
      </c>
      <c r="AO67" s="111">
        <v>673615</v>
      </c>
      <c r="AP67" s="1">
        <v>91.55</v>
      </c>
      <c r="AQ67" s="1">
        <v>89.16</v>
      </c>
      <c r="AR67" s="111"/>
      <c r="AS67" s="111">
        <v>45.64</v>
      </c>
      <c r="AT67" s="111">
        <v>25.09</v>
      </c>
      <c r="AU67" s="111"/>
      <c r="AV67" s="1"/>
      <c r="AW67" s="111">
        <v>-90343</v>
      </c>
      <c r="AX67" s="1"/>
      <c r="AY67" s="1"/>
      <c r="AZ67" s="111">
        <v>-115555</v>
      </c>
      <c r="BD67" s="1"/>
      <c r="BE67" s="1"/>
      <c r="BH67" s="111"/>
      <c r="BK67" s="111"/>
    </row>
    <row r="68" spans="1:71" ht="12.5" x14ac:dyDescent="0.25">
      <c r="A68" s="1" t="s">
        <v>15</v>
      </c>
      <c r="B68" s="111">
        <v>9450</v>
      </c>
      <c r="C68" s="111">
        <v>177122</v>
      </c>
      <c r="D68" s="111">
        <v>12595</v>
      </c>
      <c r="E68" s="111">
        <v>238272</v>
      </c>
      <c r="F68" s="1">
        <v>75.03</v>
      </c>
      <c r="G68" s="1">
        <v>74.34</v>
      </c>
      <c r="H68" s="1">
        <v>0</v>
      </c>
      <c r="I68" s="111">
        <v>143132</v>
      </c>
      <c r="J68" s="1">
        <v>0</v>
      </c>
      <c r="K68" s="111">
        <v>158061</v>
      </c>
      <c r="L68" s="1" t="e">
        <v>#DIV/0!</v>
      </c>
      <c r="M68" s="1">
        <v>90.55</v>
      </c>
      <c r="N68" s="111">
        <v>17424</v>
      </c>
      <c r="O68" s="111">
        <v>361680</v>
      </c>
      <c r="P68" s="111">
        <v>20037</v>
      </c>
      <c r="Q68" s="111">
        <v>417007</v>
      </c>
      <c r="R68" s="1">
        <v>86.96</v>
      </c>
      <c r="S68" s="1">
        <v>86.73</v>
      </c>
      <c r="T68" s="111">
        <v>30618</v>
      </c>
      <c r="U68" s="111">
        <v>143815</v>
      </c>
      <c r="V68" s="111">
        <v>32060</v>
      </c>
      <c r="W68" s="111">
        <v>150645</v>
      </c>
      <c r="X68" s="1">
        <v>95.5</v>
      </c>
      <c r="Y68" s="1">
        <v>95.47</v>
      </c>
      <c r="Z68" s="111">
        <v>57492</v>
      </c>
      <c r="AA68" s="111">
        <v>825747</v>
      </c>
      <c r="AB68" s="111">
        <v>64692</v>
      </c>
      <c r="AC68" s="111">
        <v>963985</v>
      </c>
      <c r="AD68" s="1">
        <v>88.87</v>
      </c>
      <c r="AE68" s="1">
        <v>85.66</v>
      </c>
      <c r="AF68" s="111">
        <v>9450</v>
      </c>
      <c r="AG68" s="111">
        <v>177122</v>
      </c>
      <c r="AH68" s="111">
        <v>12595</v>
      </c>
      <c r="AI68" s="111">
        <v>238272</v>
      </c>
      <c r="AJ68" s="1">
        <v>75.03</v>
      </c>
      <c r="AK68" s="1">
        <v>74.34</v>
      </c>
      <c r="AL68" s="111">
        <v>48042</v>
      </c>
      <c r="AM68" s="111">
        <v>648626</v>
      </c>
      <c r="AN68" s="111">
        <v>52098</v>
      </c>
      <c r="AO68" s="111">
        <v>725713</v>
      </c>
      <c r="AP68" s="1">
        <v>92.22</v>
      </c>
      <c r="AQ68" s="1">
        <v>89.38</v>
      </c>
      <c r="AR68" s="111"/>
      <c r="AS68" s="111">
        <v>19.47</v>
      </c>
      <c r="AT68" s="111">
        <v>24.72</v>
      </c>
      <c r="AU68" s="111"/>
      <c r="AV68" s="1"/>
      <c r="AW68" s="111">
        <v>-57492</v>
      </c>
      <c r="AX68" s="1"/>
      <c r="AY68" s="1"/>
      <c r="AZ68" s="111">
        <v>-64692</v>
      </c>
      <c r="BD68" s="1"/>
      <c r="BE68" s="1"/>
      <c r="BH68" s="111"/>
      <c r="BK68" s="111"/>
    </row>
    <row r="69" spans="1:71" ht="12.5" x14ac:dyDescent="0.25">
      <c r="A69" s="1"/>
      <c r="B69" s="111"/>
      <c r="C69" s="111"/>
      <c r="D69" s="111"/>
      <c r="E69" s="112">
        <v>0.25</v>
      </c>
      <c r="F69" s="1"/>
      <c r="G69" s="1"/>
      <c r="H69" s="1"/>
      <c r="I69" s="111"/>
      <c r="J69" s="1"/>
      <c r="K69" s="112">
        <v>0.16</v>
      </c>
      <c r="L69" s="1"/>
      <c r="M69" s="1"/>
      <c r="N69" s="111"/>
      <c r="O69" s="111"/>
      <c r="P69" s="111"/>
      <c r="Q69" s="112">
        <v>0.43</v>
      </c>
      <c r="R69" s="1"/>
      <c r="S69" s="1"/>
      <c r="T69" s="1"/>
      <c r="U69" s="111"/>
      <c r="V69" s="1"/>
      <c r="W69" s="112">
        <v>0.16</v>
      </c>
      <c r="X69" s="1"/>
      <c r="Y69" s="1"/>
      <c r="Z69" s="111"/>
      <c r="AA69" s="111"/>
      <c r="AB69" s="111"/>
      <c r="AC69" s="111"/>
      <c r="AD69" s="1"/>
      <c r="AE69" s="1"/>
      <c r="AF69" s="111"/>
      <c r="AG69" s="111"/>
      <c r="AH69" s="111"/>
      <c r="AI69" s="111"/>
      <c r="AJ69" s="1"/>
      <c r="AK69" s="1"/>
      <c r="AL69" s="111"/>
      <c r="AM69" s="111"/>
      <c r="AN69" s="111"/>
      <c r="AO69" s="111"/>
      <c r="AP69" s="1"/>
      <c r="AQ69" s="1"/>
      <c r="AR69" s="111"/>
      <c r="AS69" s="111"/>
      <c r="AT69" s="111"/>
      <c r="AU69" s="111"/>
      <c r="AV69" s="1"/>
      <c r="AW69" s="1"/>
      <c r="AX69" s="1"/>
      <c r="AY69" s="1"/>
      <c r="BD69" s="1"/>
      <c r="BE69" s="1"/>
      <c r="BH69" s="111"/>
      <c r="BK69" s="111"/>
    </row>
    <row r="70" spans="1:71" ht="12.5" x14ac:dyDescent="0.25">
      <c r="A70" s="1"/>
      <c r="B70" s="111"/>
      <c r="C70" s="111"/>
      <c r="D70" s="111"/>
      <c r="E70" s="111"/>
      <c r="F70" s="1"/>
      <c r="G70" s="1"/>
      <c r="H70" s="1"/>
      <c r="I70" s="111"/>
      <c r="J70" s="1"/>
      <c r="K70" s="111"/>
      <c r="L70" s="1"/>
      <c r="M70" s="1"/>
      <c r="N70" s="111"/>
      <c r="O70" s="111"/>
      <c r="P70" s="111"/>
      <c r="Q70" s="111"/>
      <c r="R70" s="1"/>
      <c r="S70" s="1"/>
      <c r="T70" s="1"/>
      <c r="U70" s="111"/>
      <c r="V70" s="1"/>
      <c r="W70" s="111"/>
      <c r="X70" s="1"/>
      <c r="Y70" s="1"/>
      <c r="Z70" s="111"/>
      <c r="AA70" s="111"/>
      <c r="AB70" s="111"/>
      <c r="AC70" s="111"/>
      <c r="AD70" s="1"/>
      <c r="AE70" s="1"/>
      <c r="AF70" s="111"/>
      <c r="AG70" s="111"/>
      <c r="AH70" s="111"/>
      <c r="AI70" s="111"/>
      <c r="AJ70" s="1"/>
      <c r="AK70" s="1"/>
      <c r="AL70" s="111"/>
      <c r="AM70" s="111"/>
      <c r="AN70" s="111"/>
      <c r="AO70" s="111"/>
      <c r="AP70" s="1"/>
      <c r="AQ70" s="1"/>
      <c r="AR70" s="111"/>
      <c r="AS70" s="111"/>
      <c r="AT70" s="111"/>
      <c r="AU70" s="111"/>
      <c r="AV70" s="1"/>
      <c r="AW70" s="1"/>
      <c r="AX70" s="1"/>
      <c r="AY70" s="1"/>
      <c r="BD70" s="1"/>
      <c r="BE70" s="1"/>
      <c r="BH70" s="111"/>
      <c r="BK70" s="111"/>
    </row>
    <row r="71" spans="1:71" ht="12.5" x14ac:dyDescent="0.25">
      <c r="A71" s="1" t="s">
        <v>170</v>
      </c>
      <c r="B71" s="111"/>
      <c r="C71" s="111"/>
      <c r="D71" s="111"/>
      <c r="E71" s="111"/>
      <c r="F71" s="1"/>
      <c r="G71" s="1"/>
      <c r="H71" s="1"/>
      <c r="I71" s="111"/>
      <c r="J71" s="1"/>
      <c r="K71" s="111"/>
      <c r="L71" s="1"/>
      <c r="M71" s="1"/>
      <c r="N71" s="111" t="s">
        <v>157</v>
      </c>
      <c r="O71" s="111"/>
      <c r="P71" s="111"/>
      <c r="Q71" s="111"/>
      <c r="R71" s="1"/>
      <c r="S71" s="1"/>
      <c r="T71" s="1" t="s">
        <v>122</v>
      </c>
      <c r="U71" s="111"/>
      <c r="V71" s="1"/>
      <c r="W71" s="111"/>
      <c r="X71" s="1"/>
      <c r="Y71" s="1"/>
      <c r="Z71" s="111" t="s">
        <v>95</v>
      </c>
      <c r="AA71" s="111"/>
      <c r="AB71" s="111"/>
      <c r="AC71" s="111"/>
      <c r="AD71" s="1"/>
      <c r="AE71" s="1"/>
      <c r="AF71" s="111" t="s">
        <v>116</v>
      </c>
      <c r="AG71" s="111"/>
      <c r="AH71" s="111"/>
      <c r="AI71" s="111"/>
      <c r="AJ71" s="1"/>
      <c r="AK71" s="1"/>
      <c r="AL71" s="111" t="s">
        <v>123</v>
      </c>
      <c r="AM71" s="111"/>
      <c r="AN71" s="111"/>
      <c r="AO71" s="111"/>
      <c r="AP71" s="1"/>
      <c r="AQ71" s="1"/>
      <c r="AR71" s="111" t="s">
        <v>124</v>
      </c>
      <c r="AS71" s="111"/>
      <c r="AT71" s="111"/>
      <c r="AU71" s="111"/>
      <c r="AV71" s="1"/>
      <c r="AW71" s="1"/>
      <c r="AX71" s="1"/>
      <c r="AY71" s="1"/>
      <c r="BD71" s="1" t="s">
        <v>101</v>
      </c>
      <c r="BE71" s="1"/>
      <c r="BH71" s="111"/>
      <c r="BK71" s="111"/>
      <c r="BR71" s="1" t="s">
        <v>125</v>
      </c>
    </row>
    <row r="72" spans="1:71" ht="12.5" x14ac:dyDescent="0.25">
      <c r="A72" s="1" t="s">
        <v>102</v>
      </c>
      <c r="B72" s="111" t="s">
        <v>2</v>
      </c>
      <c r="C72" s="111"/>
      <c r="D72" s="111" t="s">
        <v>3</v>
      </c>
      <c r="E72" s="111"/>
      <c r="F72" s="1" t="s">
        <v>103</v>
      </c>
      <c r="G72" s="1"/>
      <c r="H72" s="1" t="s">
        <v>2</v>
      </c>
      <c r="I72" s="111"/>
      <c r="J72" s="1" t="s">
        <v>3</v>
      </c>
      <c r="K72" s="111"/>
      <c r="L72" s="1" t="s">
        <v>103</v>
      </c>
      <c r="M72" s="1"/>
      <c r="N72" s="111" t="s">
        <v>2</v>
      </c>
      <c r="O72" s="111"/>
      <c r="P72" s="111" t="s">
        <v>3</v>
      </c>
      <c r="Q72" s="111"/>
      <c r="R72" s="1" t="s">
        <v>103</v>
      </c>
      <c r="S72" s="1"/>
      <c r="T72" s="1" t="s">
        <v>2</v>
      </c>
      <c r="U72" s="111"/>
      <c r="V72" s="1" t="s">
        <v>3</v>
      </c>
      <c r="W72" s="111"/>
      <c r="X72" s="1" t="s">
        <v>103</v>
      </c>
      <c r="Y72" s="1"/>
      <c r="Z72" s="111" t="s">
        <v>2</v>
      </c>
      <c r="AA72" s="111"/>
      <c r="AB72" s="111" t="s">
        <v>3</v>
      </c>
      <c r="AC72" s="111"/>
      <c r="AD72" s="1" t="s">
        <v>103</v>
      </c>
      <c r="AE72" s="1"/>
      <c r="AF72" s="111" t="s">
        <v>2</v>
      </c>
      <c r="AG72" s="111"/>
      <c r="AH72" s="111" t="s">
        <v>3</v>
      </c>
      <c r="AI72" s="111"/>
      <c r="AJ72" s="1" t="s">
        <v>103</v>
      </c>
      <c r="AK72" s="1"/>
      <c r="AL72" s="111" t="s">
        <v>2</v>
      </c>
      <c r="AM72" s="111"/>
      <c r="AN72" s="111" t="s">
        <v>3</v>
      </c>
      <c r="AO72" s="111"/>
      <c r="AP72" s="1" t="s">
        <v>103</v>
      </c>
      <c r="AQ72" s="1"/>
      <c r="AR72" s="111" t="s">
        <v>2</v>
      </c>
      <c r="AS72" s="111"/>
      <c r="AT72" s="111" t="s">
        <v>3</v>
      </c>
      <c r="AU72" s="111"/>
      <c r="AV72" s="1" t="s">
        <v>103</v>
      </c>
      <c r="AW72" s="1"/>
      <c r="AX72" s="1" t="s">
        <v>126</v>
      </c>
      <c r="AY72" s="1"/>
      <c r="BD72" s="1">
        <v>100</v>
      </c>
      <c r="BE72" s="1"/>
      <c r="BG72" s="1" t="s">
        <v>104</v>
      </c>
      <c r="BH72" s="111"/>
      <c r="BJ72" s="1" t="s">
        <v>105</v>
      </c>
      <c r="BK72" s="111"/>
      <c r="BR72" s="1" t="s">
        <v>127</v>
      </c>
    </row>
    <row r="73" spans="1:71" ht="12.5" x14ac:dyDescent="0.25">
      <c r="A73" s="1"/>
      <c r="B73" s="111" t="s">
        <v>106</v>
      </c>
      <c r="C73" s="111" t="s">
        <v>107</v>
      </c>
      <c r="D73" s="111" t="s">
        <v>106</v>
      </c>
      <c r="E73" s="111" t="s">
        <v>107</v>
      </c>
      <c r="F73" s="1" t="s">
        <v>106</v>
      </c>
      <c r="G73" s="1" t="s">
        <v>107</v>
      </c>
      <c r="H73" s="1" t="s">
        <v>106</v>
      </c>
      <c r="I73" s="111" t="s">
        <v>107</v>
      </c>
      <c r="J73" s="1" t="s">
        <v>106</v>
      </c>
      <c r="K73" s="111" t="s">
        <v>107</v>
      </c>
      <c r="L73" s="1" t="s">
        <v>106</v>
      </c>
      <c r="M73" s="1" t="s">
        <v>107</v>
      </c>
      <c r="N73" s="111" t="s">
        <v>106</v>
      </c>
      <c r="O73" s="111" t="s">
        <v>107</v>
      </c>
      <c r="P73" s="111" t="s">
        <v>106</v>
      </c>
      <c r="Q73" s="111" t="s">
        <v>107</v>
      </c>
      <c r="R73" s="1" t="s">
        <v>106</v>
      </c>
      <c r="S73" s="1" t="s">
        <v>107</v>
      </c>
      <c r="T73" s="1" t="s">
        <v>106</v>
      </c>
      <c r="U73" s="111" t="s">
        <v>107</v>
      </c>
      <c r="V73" s="1" t="s">
        <v>106</v>
      </c>
      <c r="W73" s="111" t="s">
        <v>107</v>
      </c>
      <c r="X73" s="1" t="s">
        <v>106</v>
      </c>
      <c r="Y73" s="1" t="s">
        <v>107</v>
      </c>
      <c r="Z73" s="111" t="s">
        <v>106</v>
      </c>
      <c r="AA73" s="111" t="s">
        <v>107</v>
      </c>
      <c r="AB73" s="111" t="s">
        <v>106</v>
      </c>
      <c r="AC73" s="111" t="s">
        <v>107</v>
      </c>
      <c r="AD73" s="1" t="s">
        <v>106</v>
      </c>
      <c r="AE73" s="1" t="s">
        <v>107</v>
      </c>
      <c r="AF73" s="111" t="s">
        <v>106</v>
      </c>
      <c r="AG73" s="111" t="s">
        <v>107</v>
      </c>
      <c r="AH73" s="111" t="s">
        <v>106</v>
      </c>
      <c r="AI73" s="111" t="s">
        <v>107</v>
      </c>
      <c r="AJ73" s="1" t="s">
        <v>106</v>
      </c>
      <c r="AK73" s="1" t="s">
        <v>107</v>
      </c>
      <c r="AL73" s="111" t="s">
        <v>106</v>
      </c>
      <c r="AM73" s="111" t="s">
        <v>107</v>
      </c>
      <c r="AN73" s="111" t="s">
        <v>106</v>
      </c>
      <c r="AO73" s="111" t="s">
        <v>107</v>
      </c>
      <c r="AP73" s="1" t="s">
        <v>106</v>
      </c>
      <c r="AQ73" s="1" t="s">
        <v>107</v>
      </c>
      <c r="AR73" s="111" t="s">
        <v>106</v>
      </c>
      <c r="AS73" s="111" t="s">
        <v>107</v>
      </c>
      <c r="AT73" s="111" t="s">
        <v>106</v>
      </c>
      <c r="AU73" s="111" t="s">
        <v>107</v>
      </c>
      <c r="AV73" s="1" t="s">
        <v>106</v>
      </c>
      <c r="AW73" s="1" t="s">
        <v>107</v>
      </c>
      <c r="AX73" s="1" t="s">
        <v>128</v>
      </c>
      <c r="AY73" s="1" t="s">
        <v>129</v>
      </c>
      <c r="BD73" s="1" t="s">
        <v>106</v>
      </c>
      <c r="BE73" s="1" t="s">
        <v>107</v>
      </c>
      <c r="BH73" s="111"/>
      <c r="BK73" s="111"/>
      <c r="BR73" s="1" t="s">
        <v>130</v>
      </c>
      <c r="BS73" s="1" t="s">
        <v>129</v>
      </c>
    </row>
    <row r="74" spans="1:71" ht="12.5" x14ac:dyDescent="0.25">
      <c r="A74" s="1" t="s">
        <v>4</v>
      </c>
      <c r="B74" s="111">
        <v>38661</v>
      </c>
      <c r="C74" s="111">
        <v>38661</v>
      </c>
      <c r="D74" s="111">
        <v>66156</v>
      </c>
      <c r="E74" s="111">
        <v>66156</v>
      </c>
      <c r="F74" s="1">
        <v>58.44</v>
      </c>
      <c r="G74" s="1">
        <v>58.44</v>
      </c>
      <c r="H74" s="111"/>
      <c r="I74" s="111">
        <v>0</v>
      </c>
      <c r="J74" s="111"/>
      <c r="K74" s="111">
        <v>0</v>
      </c>
      <c r="L74" s="1" t="e">
        <v>#DIV/0!</v>
      </c>
      <c r="M74" s="1" t="e">
        <v>#DIV/0!</v>
      </c>
      <c r="N74" s="111">
        <v>38661</v>
      </c>
      <c r="O74" s="111">
        <v>38661</v>
      </c>
      <c r="P74" s="111">
        <v>66156</v>
      </c>
      <c r="Q74" s="111">
        <v>66156</v>
      </c>
      <c r="R74" s="1">
        <v>58.44</v>
      </c>
      <c r="S74" s="1">
        <v>58.44</v>
      </c>
      <c r="T74" s="111">
        <v>2909</v>
      </c>
      <c r="U74" s="111">
        <v>2909</v>
      </c>
      <c r="V74" s="111">
        <v>3063</v>
      </c>
      <c r="W74" s="111">
        <v>3063</v>
      </c>
      <c r="X74" s="1">
        <v>94.96</v>
      </c>
      <c r="Y74" s="1">
        <v>94.96</v>
      </c>
      <c r="Z74" s="1">
        <v>813</v>
      </c>
      <c r="AA74" s="1">
        <v>813</v>
      </c>
      <c r="AB74" s="1">
        <v>934</v>
      </c>
      <c r="AC74" s="1">
        <v>934</v>
      </c>
      <c r="AD74" s="1">
        <v>86.98</v>
      </c>
      <c r="AE74" s="1">
        <v>86.98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11">
        <v>42383</v>
      </c>
      <c r="AM74" s="111">
        <v>42383</v>
      </c>
      <c r="AN74" s="111">
        <v>70153</v>
      </c>
      <c r="AO74" s="111">
        <v>70153</v>
      </c>
      <c r="AP74" s="1">
        <v>60.41</v>
      </c>
      <c r="AQ74" s="1">
        <v>60.41</v>
      </c>
      <c r="AR74" s="111">
        <v>142962</v>
      </c>
      <c r="AS74" s="111">
        <v>142962</v>
      </c>
      <c r="AT74" s="111">
        <v>184960</v>
      </c>
      <c r="AU74" s="111">
        <v>184960</v>
      </c>
      <c r="AV74" s="1">
        <v>77.290000000000006</v>
      </c>
      <c r="AW74" s="1">
        <v>77.290000000000006</v>
      </c>
      <c r="AX74" s="1">
        <v>0</v>
      </c>
      <c r="AY74" s="1">
        <v>0</v>
      </c>
      <c r="BD74" s="1">
        <v>94.3</v>
      </c>
      <c r="BE74" s="1">
        <v>94.3</v>
      </c>
      <c r="BH74" s="111">
        <v>42383</v>
      </c>
      <c r="BK74" s="111">
        <v>-70153</v>
      </c>
      <c r="BR74" s="111">
        <v>-38661</v>
      </c>
      <c r="BS74" s="1" t="e">
        <v>#REF!</v>
      </c>
    </row>
    <row r="75" spans="1:71" ht="12.5" x14ac:dyDescent="0.25">
      <c r="A75" s="1" t="s">
        <v>5</v>
      </c>
      <c r="B75" s="111">
        <v>39101</v>
      </c>
      <c r="C75" s="111">
        <v>77762</v>
      </c>
      <c r="D75" s="111">
        <v>67357</v>
      </c>
      <c r="E75" s="111">
        <v>133513</v>
      </c>
      <c r="F75" s="1">
        <v>58.05</v>
      </c>
      <c r="G75" s="1">
        <v>58.24</v>
      </c>
      <c r="H75" s="111"/>
      <c r="I75" s="111">
        <v>0</v>
      </c>
      <c r="J75" s="111"/>
      <c r="K75" s="111">
        <v>0</v>
      </c>
      <c r="L75" s="1" t="e">
        <v>#DIV/0!</v>
      </c>
      <c r="M75" s="1" t="e">
        <v>#DIV/0!</v>
      </c>
      <c r="N75" s="111">
        <v>39101</v>
      </c>
      <c r="O75" s="111">
        <v>77762</v>
      </c>
      <c r="P75" s="111">
        <v>67357</v>
      </c>
      <c r="Q75" s="111">
        <v>133513</v>
      </c>
      <c r="R75" s="1">
        <v>58.05</v>
      </c>
      <c r="S75" s="1">
        <v>58.24</v>
      </c>
      <c r="T75" s="1">
        <v>0</v>
      </c>
      <c r="U75" s="111">
        <v>2909</v>
      </c>
      <c r="V75" s="1">
        <v>0</v>
      </c>
      <c r="W75" s="111">
        <v>3063</v>
      </c>
      <c r="X75" s="1">
        <v>0</v>
      </c>
      <c r="Y75" s="1">
        <v>94.96</v>
      </c>
      <c r="Z75" s="1">
        <v>492</v>
      </c>
      <c r="AA75" s="111">
        <v>1305</v>
      </c>
      <c r="AB75" s="1">
        <v>569</v>
      </c>
      <c r="AC75" s="111">
        <v>1504</v>
      </c>
      <c r="AD75" s="1">
        <v>86.49</v>
      </c>
      <c r="AE75" s="1">
        <v>86.8</v>
      </c>
      <c r="AF75" s="111">
        <v>2828</v>
      </c>
      <c r="AG75" s="111">
        <v>2828</v>
      </c>
      <c r="AH75" s="111">
        <v>3105</v>
      </c>
      <c r="AI75" s="111">
        <v>3105</v>
      </c>
      <c r="AJ75" s="1">
        <v>91.09</v>
      </c>
      <c r="AK75" s="1">
        <v>91.09</v>
      </c>
      <c r="AL75" s="111">
        <v>42421</v>
      </c>
      <c r="AM75" s="111">
        <v>84804</v>
      </c>
      <c r="AN75" s="111">
        <v>71031</v>
      </c>
      <c r="AO75" s="111">
        <v>141185</v>
      </c>
      <c r="AP75" s="1">
        <v>59.72</v>
      </c>
      <c r="AQ75" s="1">
        <v>60.07</v>
      </c>
      <c r="AR75" s="111">
        <v>129322</v>
      </c>
      <c r="AS75" s="111">
        <v>272284</v>
      </c>
      <c r="AT75" s="111">
        <v>168648</v>
      </c>
      <c r="AU75" s="111">
        <v>353608</v>
      </c>
      <c r="AV75" s="1">
        <v>76.680000000000007</v>
      </c>
      <c r="AW75" s="1">
        <v>77</v>
      </c>
      <c r="AX75" s="1">
        <v>0</v>
      </c>
      <c r="AY75" s="1">
        <v>0</v>
      </c>
      <c r="BD75" s="1">
        <v>94.83</v>
      </c>
      <c r="BE75" s="1">
        <v>94.57</v>
      </c>
      <c r="BH75" s="111">
        <v>42421</v>
      </c>
      <c r="BK75" s="111">
        <v>-71031</v>
      </c>
      <c r="BR75" s="111">
        <v>-39101</v>
      </c>
      <c r="BS75" s="1" t="e">
        <v>#REF!</v>
      </c>
    </row>
    <row r="76" spans="1:71" ht="12.5" x14ac:dyDescent="0.25">
      <c r="A76" s="1" t="s">
        <v>6</v>
      </c>
      <c r="B76" s="111">
        <v>40876</v>
      </c>
      <c r="C76" s="111">
        <v>118638</v>
      </c>
      <c r="D76" s="111">
        <v>67483</v>
      </c>
      <c r="E76" s="111">
        <v>200997</v>
      </c>
      <c r="F76" s="1">
        <v>60.57</v>
      </c>
      <c r="G76" s="1">
        <v>59.02</v>
      </c>
      <c r="H76" s="1"/>
      <c r="I76" s="111">
        <v>0</v>
      </c>
      <c r="J76" s="1"/>
      <c r="K76" s="111">
        <v>0</v>
      </c>
      <c r="L76" s="1" t="e">
        <v>#DIV/0!</v>
      </c>
      <c r="M76" s="1" t="e">
        <v>#DIV/0!</v>
      </c>
      <c r="N76" s="111">
        <v>40876</v>
      </c>
      <c r="O76" s="111">
        <v>118638</v>
      </c>
      <c r="P76" s="111">
        <v>67483</v>
      </c>
      <c r="Q76" s="111">
        <v>200997</v>
      </c>
      <c r="R76" s="1">
        <v>60.57</v>
      </c>
      <c r="S76" s="1">
        <v>59.02</v>
      </c>
      <c r="T76" s="111">
        <v>1153</v>
      </c>
      <c r="U76" s="111">
        <v>4062</v>
      </c>
      <c r="V76" s="111">
        <v>1216</v>
      </c>
      <c r="W76" s="111">
        <v>4279</v>
      </c>
      <c r="X76" s="1">
        <v>94.8</v>
      </c>
      <c r="Y76" s="1">
        <v>94.92</v>
      </c>
      <c r="Z76" s="111">
        <v>7767</v>
      </c>
      <c r="AA76" s="111">
        <v>9072</v>
      </c>
      <c r="AB76" s="111">
        <v>8743</v>
      </c>
      <c r="AC76" s="111">
        <v>10247</v>
      </c>
      <c r="AD76" s="1">
        <v>88.83</v>
      </c>
      <c r="AE76" s="1">
        <v>88.53</v>
      </c>
      <c r="AF76" s="111">
        <v>1659</v>
      </c>
      <c r="AG76" s="111">
        <v>4487</v>
      </c>
      <c r="AH76" s="111">
        <v>1814</v>
      </c>
      <c r="AI76" s="111">
        <v>4919</v>
      </c>
      <c r="AJ76" s="1">
        <v>91.45</v>
      </c>
      <c r="AK76" s="1">
        <v>91.22</v>
      </c>
      <c r="AL76" s="111">
        <v>51454</v>
      </c>
      <c r="AM76" s="111">
        <v>136259</v>
      </c>
      <c r="AN76" s="111">
        <v>79257</v>
      </c>
      <c r="AO76" s="111">
        <v>220441</v>
      </c>
      <c r="AP76" s="1">
        <v>64.92</v>
      </c>
      <c r="AQ76" s="1">
        <v>61.81</v>
      </c>
      <c r="AR76" s="111">
        <v>127242</v>
      </c>
      <c r="AS76" s="111">
        <v>399527</v>
      </c>
      <c r="AT76" s="111">
        <v>163748</v>
      </c>
      <c r="AU76" s="111">
        <v>517357</v>
      </c>
      <c r="AV76" s="1">
        <v>77.709999999999994</v>
      </c>
      <c r="AW76" s="1">
        <v>77.22</v>
      </c>
      <c r="AX76" s="1">
        <v>0</v>
      </c>
      <c r="AY76" s="1">
        <v>0</v>
      </c>
      <c r="BD76" s="1">
        <v>85.15</v>
      </c>
      <c r="BE76" s="1">
        <v>91.18</v>
      </c>
      <c r="BH76" s="111">
        <v>51454</v>
      </c>
      <c r="BK76" s="111">
        <v>-79257</v>
      </c>
      <c r="BR76" s="111">
        <v>-40876</v>
      </c>
      <c r="BS76" s="1" t="e">
        <v>#REF!</v>
      </c>
    </row>
    <row r="77" spans="1:71" ht="12.5" x14ac:dyDescent="0.25">
      <c r="A77" s="1" t="s">
        <v>7</v>
      </c>
      <c r="B77" s="111">
        <v>44021</v>
      </c>
      <c r="C77" s="111">
        <v>162660</v>
      </c>
      <c r="D77" s="111">
        <v>74209</v>
      </c>
      <c r="E77" s="111">
        <v>275206</v>
      </c>
      <c r="F77" s="1">
        <v>59.32</v>
      </c>
      <c r="G77" s="1">
        <v>59.1</v>
      </c>
      <c r="H77" s="1"/>
      <c r="I77" s="111">
        <v>0</v>
      </c>
      <c r="J77" s="1"/>
      <c r="K77" s="111">
        <v>0</v>
      </c>
      <c r="L77" s="1" t="e">
        <v>#DIV/0!</v>
      </c>
      <c r="M77" s="1" t="e">
        <v>#DIV/0!</v>
      </c>
      <c r="N77" s="111">
        <v>44021</v>
      </c>
      <c r="O77" s="111">
        <v>162660</v>
      </c>
      <c r="P77" s="111">
        <v>74209</v>
      </c>
      <c r="Q77" s="111">
        <v>275206</v>
      </c>
      <c r="R77" s="1">
        <v>59.32</v>
      </c>
      <c r="S77" s="1">
        <v>59.1</v>
      </c>
      <c r="T77" s="111">
        <v>4322</v>
      </c>
      <c r="U77" s="111">
        <v>8384</v>
      </c>
      <c r="V77" s="111">
        <v>4561</v>
      </c>
      <c r="W77" s="111">
        <v>8840</v>
      </c>
      <c r="X77" s="1">
        <v>94.77</v>
      </c>
      <c r="Y77" s="1">
        <v>94.84</v>
      </c>
      <c r="Z77" s="111">
        <v>582</v>
      </c>
      <c r="AA77" s="111">
        <v>9654</v>
      </c>
      <c r="AB77" s="111">
        <v>668</v>
      </c>
      <c r="AC77" s="111">
        <v>10915</v>
      </c>
      <c r="AD77" s="1">
        <v>87.21</v>
      </c>
      <c r="AE77" s="1">
        <v>88.45</v>
      </c>
      <c r="AF77" s="111">
        <v>573</v>
      </c>
      <c r="AG77" s="111">
        <v>5059</v>
      </c>
      <c r="AH77" s="111">
        <v>632</v>
      </c>
      <c r="AI77" s="111">
        <v>5550</v>
      </c>
      <c r="AJ77" s="1">
        <v>90.66</v>
      </c>
      <c r="AK77" s="1">
        <v>91.16</v>
      </c>
      <c r="AL77" s="111">
        <v>49498</v>
      </c>
      <c r="AM77" s="111">
        <v>185757</v>
      </c>
      <c r="AN77" s="111">
        <v>80069</v>
      </c>
      <c r="AO77" s="111">
        <v>300510</v>
      </c>
      <c r="AP77" s="1">
        <v>61.82</v>
      </c>
      <c r="AQ77" s="1">
        <v>61.81</v>
      </c>
      <c r="AR77" s="111">
        <v>124767</v>
      </c>
      <c r="AS77" s="111">
        <v>524293</v>
      </c>
      <c r="AT77" s="111">
        <v>165466</v>
      </c>
      <c r="AU77" s="111">
        <v>682823</v>
      </c>
      <c r="AV77" s="1">
        <v>75.400000000000006</v>
      </c>
      <c r="AW77" s="1">
        <v>76.78</v>
      </c>
      <c r="AX77" s="1">
        <v>0</v>
      </c>
      <c r="AY77" s="1">
        <v>0</v>
      </c>
      <c r="BD77" s="1">
        <v>92.68</v>
      </c>
      <c r="BE77" s="1">
        <v>91.58</v>
      </c>
      <c r="BH77" s="111">
        <v>49498</v>
      </c>
      <c r="BK77" s="111">
        <v>-80069</v>
      </c>
      <c r="BR77" s="111">
        <v>-44021</v>
      </c>
      <c r="BS77" s="1" t="e">
        <v>#REF!</v>
      </c>
    </row>
    <row r="78" spans="1:71" ht="12.5" x14ac:dyDescent="0.25">
      <c r="A78" s="1" t="s">
        <v>8</v>
      </c>
      <c r="B78" s="111">
        <v>67510</v>
      </c>
      <c r="C78" s="111">
        <v>230170</v>
      </c>
      <c r="D78" s="111">
        <v>114808</v>
      </c>
      <c r="E78" s="111">
        <v>390014</v>
      </c>
      <c r="F78" s="1">
        <v>58.8</v>
      </c>
      <c r="G78" s="1">
        <v>59.02</v>
      </c>
      <c r="H78" s="1"/>
      <c r="I78" s="111">
        <v>0</v>
      </c>
      <c r="J78" s="1"/>
      <c r="K78" s="111">
        <v>0</v>
      </c>
      <c r="L78" s="1" t="e">
        <v>#DIV/0!</v>
      </c>
      <c r="M78" s="1" t="e">
        <v>#DIV/0!</v>
      </c>
      <c r="N78" s="111">
        <v>67510</v>
      </c>
      <c r="O78" s="111">
        <v>230170</v>
      </c>
      <c r="P78" s="111">
        <v>114808</v>
      </c>
      <c r="Q78" s="111">
        <v>390014</v>
      </c>
      <c r="R78" s="1">
        <v>58.8</v>
      </c>
      <c r="S78" s="1">
        <v>59.02</v>
      </c>
      <c r="T78" s="111">
        <v>1875</v>
      </c>
      <c r="U78" s="111">
        <v>10259</v>
      </c>
      <c r="V78" s="111">
        <v>1978</v>
      </c>
      <c r="W78" s="111">
        <v>10818</v>
      </c>
      <c r="X78" s="1">
        <v>94.8</v>
      </c>
      <c r="Y78" s="1">
        <v>94.84</v>
      </c>
      <c r="Z78" s="111">
        <v>5005</v>
      </c>
      <c r="AA78" s="111">
        <v>14659</v>
      </c>
      <c r="AB78" s="111">
        <v>5661</v>
      </c>
      <c r="AC78" s="111">
        <v>16575</v>
      </c>
      <c r="AD78" s="1">
        <v>88.42</v>
      </c>
      <c r="AE78" s="1">
        <v>88.44</v>
      </c>
      <c r="AF78" s="111">
        <v>2780</v>
      </c>
      <c r="AG78" s="111">
        <v>7839</v>
      </c>
      <c r="AH78" s="111">
        <v>3051</v>
      </c>
      <c r="AI78" s="111">
        <v>8601</v>
      </c>
      <c r="AJ78" s="1">
        <v>91.12</v>
      </c>
      <c r="AK78" s="1">
        <v>91.14</v>
      </c>
      <c r="AL78" s="111">
        <v>77170</v>
      </c>
      <c r="AM78" s="111">
        <v>262927</v>
      </c>
      <c r="AN78" s="111">
        <v>125498</v>
      </c>
      <c r="AO78" s="111">
        <v>426008</v>
      </c>
      <c r="AP78" s="1">
        <v>61.49</v>
      </c>
      <c r="AQ78" s="1">
        <v>61.72</v>
      </c>
      <c r="AR78" s="111">
        <v>175050</v>
      </c>
      <c r="AS78" s="111">
        <v>699343</v>
      </c>
      <c r="AT78" s="111">
        <v>236707</v>
      </c>
      <c r="AU78" s="111">
        <v>919530</v>
      </c>
      <c r="AV78" s="1">
        <v>73.95</v>
      </c>
      <c r="AW78" s="1">
        <v>76.05</v>
      </c>
      <c r="AX78" s="1">
        <v>0</v>
      </c>
      <c r="AY78" s="1">
        <v>0</v>
      </c>
      <c r="BD78" s="1">
        <v>91.48</v>
      </c>
      <c r="BE78" s="1">
        <v>91.55</v>
      </c>
      <c r="BH78" s="111">
        <v>77170</v>
      </c>
      <c r="BK78" s="111">
        <v>-125498</v>
      </c>
      <c r="BR78" s="111">
        <v>-67510</v>
      </c>
      <c r="BS78" s="1" t="e">
        <v>#REF!</v>
      </c>
    </row>
    <row r="79" spans="1:71" ht="12.5" x14ac:dyDescent="0.25">
      <c r="A79" s="1" t="s">
        <v>9</v>
      </c>
      <c r="B79" s="111">
        <v>15568</v>
      </c>
      <c r="C79" s="111">
        <v>245737</v>
      </c>
      <c r="D79" s="111">
        <v>22032</v>
      </c>
      <c r="E79" s="111">
        <v>412047</v>
      </c>
      <c r="F79" s="1">
        <v>70.66</v>
      </c>
      <c r="G79" s="1">
        <v>59.64</v>
      </c>
      <c r="H79" s="111"/>
      <c r="I79" s="111">
        <v>0</v>
      </c>
      <c r="J79" s="111"/>
      <c r="K79" s="111">
        <v>0</v>
      </c>
      <c r="L79" s="1" t="e">
        <v>#DIV/0!</v>
      </c>
      <c r="M79" s="1" t="e">
        <v>#DIV/0!</v>
      </c>
      <c r="N79" s="111">
        <v>15568</v>
      </c>
      <c r="O79" s="111">
        <v>245737</v>
      </c>
      <c r="P79" s="111">
        <v>22032</v>
      </c>
      <c r="Q79" s="111">
        <v>412047</v>
      </c>
      <c r="R79" s="1">
        <v>70.66</v>
      </c>
      <c r="S79" s="1">
        <v>59.64</v>
      </c>
      <c r="T79" s="1">
        <v>0</v>
      </c>
      <c r="U79" s="111">
        <v>10259</v>
      </c>
      <c r="V79" s="1">
        <v>0</v>
      </c>
      <c r="W79" s="111">
        <v>10818</v>
      </c>
      <c r="X79" s="1">
        <v>0</v>
      </c>
      <c r="Y79" s="111">
        <v>94.84</v>
      </c>
      <c r="Z79" s="111">
        <v>12445</v>
      </c>
      <c r="AA79" s="111">
        <v>27104</v>
      </c>
      <c r="AB79" s="111">
        <v>14311</v>
      </c>
      <c r="AC79" s="111">
        <v>30886</v>
      </c>
      <c r="AD79" s="1">
        <v>86.96</v>
      </c>
      <c r="AE79" s="1">
        <v>87.75</v>
      </c>
      <c r="AF79" s="111">
        <v>23580</v>
      </c>
      <c r="AG79" s="111">
        <v>31419</v>
      </c>
      <c r="AH79" s="111">
        <v>25880</v>
      </c>
      <c r="AI79" s="111">
        <v>34480</v>
      </c>
      <c r="AJ79" s="1">
        <v>91.12</v>
      </c>
      <c r="AK79" s="1">
        <v>91.12</v>
      </c>
      <c r="AL79" s="111">
        <v>51593</v>
      </c>
      <c r="AM79" s="111">
        <v>314520</v>
      </c>
      <c r="AN79" s="111">
        <v>62223</v>
      </c>
      <c r="AO79" s="111">
        <v>488231</v>
      </c>
      <c r="AP79" s="1">
        <v>82.92</v>
      </c>
      <c r="AQ79" s="1">
        <v>64.42</v>
      </c>
      <c r="AR79" s="111">
        <v>102523</v>
      </c>
      <c r="AS79" s="111">
        <v>801866</v>
      </c>
      <c r="AT79" s="111">
        <v>135999</v>
      </c>
      <c r="AU79" s="111">
        <v>1055529</v>
      </c>
      <c r="AV79" s="1">
        <v>75.39</v>
      </c>
      <c r="AW79" s="1">
        <v>75.97</v>
      </c>
      <c r="AX79" s="1">
        <v>0</v>
      </c>
      <c r="AY79" s="1">
        <v>0</v>
      </c>
      <c r="BD79" s="1">
        <v>35.409999999999997</v>
      </c>
      <c r="BE79" s="1">
        <v>84.4</v>
      </c>
      <c r="BH79" s="111">
        <v>51593</v>
      </c>
      <c r="BK79" s="111">
        <v>-62223</v>
      </c>
    </row>
    <row r="80" spans="1:71" ht="12.5" x14ac:dyDescent="0.25">
      <c r="A80" s="1" t="s">
        <v>10</v>
      </c>
      <c r="B80" s="111">
        <v>40928</v>
      </c>
      <c r="C80" s="111">
        <v>286665</v>
      </c>
      <c r="D80" s="111">
        <v>65241</v>
      </c>
      <c r="E80" s="111">
        <v>477288</v>
      </c>
      <c r="F80" s="1">
        <v>62.73</v>
      </c>
      <c r="G80" s="1">
        <v>60.06</v>
      </c>
      <c r="H80" s="111"/>
      <c r="I80" s="111">
        <v>0</v>
      </c>
      <c r="J80" s="111"/>
      <c r="K80" s="111">
        <v>0</v>
      </c>
      <c r="L80" s="1">
        <v>0</v>
      </c>
      <c r="M80" s="1" t="e">
        <v>#DIV/0!</v>
      </c>
      <c r="N80" s="111">
        <v>40928</v>
      </c>
      <c r="O80" s="111">
        <v>286665</v>
      </c>
      <c r="P80" s="111">
        <v>65241</v>
      </c>
      <c r="Q80" s="111">
        <v>477288</v>
      </c>
      <c r="R80" s="1">
        <v>62.73</v>
      </c>
      <c r="S80" s="1">
        <v>60.06</v>
      </c>
      <c r="T80" s="1">
        <v>0</v>
      </c>
      <c r="U80" s="111">
        <v>10259</v>
      </c>
      <c r="V80" s="1">
        <v>0</v>
      </c>
      <c r="W80" s="111">
        <v>10818</v>
      </c>
      <c r="X80" s="1">
        <v>0</v>
      </c>
      <c r="Y80" s="111">
        <v>94.84</v>
      </c>
      <c r="Z80" s="111">
        <v>18252</v>
      </c>
      <c r="AA80" s="111">
        <v>45356</v>
      </c>
      <c r="AB80" s="111">
        <v>20989</v>
      </c>
      <c r="AC80" s="111">
        <v>51875</v>
      </c>
      <c r="AD80" s="1">
        <v>86.96</v>
      </c>
      <c r="AE80" s="1">
        <v>87.43</v>
      </c>
      <c r="AF80" s="111">
        <v>25480</v>
      </c>
      <c r="AG80" s="111">
        <v>56899</v>
      </c>
      <c r="AH80" s="111">
        <v>27964</v>
      </c>
      <c r="AI80" s="111">
        <v>62444</v>
      </c>
      <c r="AJ80" s="1">
        <v>91.12</v>
      </c>
      <c r="AK80" s="1">
        <v>91.12</v>
      </c>
      <c r="AL80" s="111">
        <v>84659</v>
      </c>
      <c r="AM80" s="111">
        <v>399179</v>
      </c>
      <c r="AN80" s="111">
        <v>114194</v>
      </c>
      <c r="AO80" s="111">
        <v>602425</v>
      </c>
      <c r="AP80" s="1">
        <v>74.14</v>
      </c>
      <c r="AQ80" s="1">
        <v>66.260000000000005</v>
      </c>
      <c r="AR80" s="111">
        <v>116589</v>
      </c>
      <c r="AS80" s="111">
        <v>918455</v>
      </c>
      <c r="AT80" s="111">
        <v>150614</v>
      </c>
      <c r="AU80" s="111">
        <v>1206143</v>
      </c>
      <c r="AV80" s="1">
        <v>77.41</v>
      </c>
      <c r="AW80" s="1">
        <v>76.150000000000006</v>
      </c>
      <c r="AX80" s="1">
        <v>0</v>
      </c>
      <c r="AY80" s="1">
        <v>0</v>
      </c>
      <c r="BD80" s="1">
        <v>57.13</v>
      </c>
      <c r="BE80" s="1">
        <v>79.23</v>
      </c>
      <c r="BH80" s="111">
        <v>84659</v>
      </c>
      <c r="BK80" s="111">
        <v>-114194</v>
      </c>
    </row>
    <row r="81" spans="1:63" ht="12.5" x14ac:dyDescent="0.25">
      <c r="A81" s="1" t="s">
        <v>11</v>
      </c>
      <c r="B81" s="111">
        <v>40145</v>
      </c>
      <c r="C81" s="111">
        <v>326811</v>
      </c>
      <c r="D81" s="111">
        <v>64881</v>
      </c>
      <c r="E81" s="111">
        <v>542169</v>
      </c>
      <c r="F81" s="1">
        <v>61.88</v>
      </c>
      <c r="G81" s="1">
        <v>60.28</v>
      </c>
      <c r="H81" s="111"/>
      <c r="I81" s="111">
        <v>0</v>
      </c>
      <c r="J81" s="111"/>
      <c r="K81" s="111">
        <v>0</v>
      </c>
      <c r="L81" s="1">
        <v>0</v>
      </c>
      <c r="M81" s="1" t="e">
        <v>#DIV/0!</v>
      </c>
      <c r="N81" s="111">
        <v>40145</v>
      </c>
      <c r="O81" s="111">
        <v>326811</v>
      </c>
      <c r="P81" s="111">
        <v>64881</v>
      </c>
      <c r="Q81" s="111">
        <v>542169</v>
      </c>
      <c r="R81" s="1">
        <v>61.88</v>
      </c>
      <c r="S81" s="1">
        <v>60.28</v>
      </c>
      <c r="T81" s="1">
        <v>0</v>
      </c>
      <c r="U81" s="111">
        <v>10259</v>
      </c>
      <c r="V81" s="1">
        <v>0</v>
      </c>
      <c r="W81" s="111">
        <v>10818</v>
      </c>
      <c r="X81" s="1">
        <v>0</v>
      </c>
      <c r="Y81" s="111">
        <v>94.84</v>
      </c>
      <c r="Z81" s="111">
        <v>18550</v>
      </c>
      <c r="AA81" s="111">
        <v>63906</v>
      </c>
      <c r="AB81" s="111">
        <v>21331</v>
      </c>
      <c r="AC81" s="111">
        <v>73207</v>
      </c>
      <c r="AD81" s="1">
        <v>86.96</v>
      </c>
      <c r="AE81" s="1">
        <v>87.3</v>
      </c>
      <c r="AF81" s="111">
        <v>20728</v>
      </c>
      <c r="AG81" s="111">
        <v>77627</v>
      </c>
      <c r="AH81" s="111">
        <v>22749</v>
      </c>
      <c r="AI81" s="111">
        <v>85193</v>
      </c>
      <c r="AJ81" s="1">
        <v>91.12</v>
      </c>
      <c r="AK81" s="1">
        <v>91.12</v>
      </c>
      <c r="AL81" s="111">
        <v>79423</v>
      </c>
      <c r="AM81" s="111">
        <v>478602</v>
      </c>
      <c r="AN81" s="111">
        <v>108961</v>
      </c>
      <c r="AO81" s="111">
        <v>711386</v>
      </c>
      <c r="AP81" s="1">
        <v>72.89</v>
      </c>
      <c r="AQ81" s="1">
        <v>67.28</v>
      </c>
      <c r="AR81" s="111">
        <v>101085</v>
      </c>
      <c r="AS81" s="111">
        <v>1019540</v>
      </c>
      <c r="AT81" s="111">
        <v>133646</v>
      </c>
      <c r="AU81" s="111">
        <v>1339789</v>
      </c>
      <c r="AV81" s="1">
        <v>75.64</v>
      </c>
      <c r="AW81" s="1">
        <v>76.099999999999994</v>
      </c>
      <c r="AX81" s="1">
        <v>0</v>
      </c>
      <c r="AY81" s="1">
        <v>0</v>
      </c>
      <c r="BD81" s="1">
        <v>59.54</v>
      </c>
      <c r="BE81" s="1">
        <v>76.209999999999994</v>
      </c>
      <c r="BH81" s="111">
        <v>79423</v>
      </c>
      <c r="BK81" s="111">
        <v>-108961</v>
      </c>
    </row>
    <row r="82" spans="1:63" ht="12.5" x14ac:dyDescent="0.25">
      <c r="A82" s="1" t="s">
        <v>12</v>
      </c>
      <c r="B82" s="111">
        <v>38738</v>
      </c>
      <c r="C82" s="111">
        <v>365549</v>
      </c>
      <c r="D82" s="111">
        <v>62510</v>
      </c>
      <c r="E82" s="111">
        <v>604679</v>
      </c>
      <c r="F82" s="1">
        <v>61.97</v>
      </c>
      <c r="G82" s="1">
        <v>60.45</v>
      </c>
      <c r="H82" s="111"/>
      <c r="I82" s="111">
        <v>0</v>
      </c>
      <c r="J82" s="111"/>
      <c r="K82" s="111">
        <v>0</v>
      </c>
      <c r="L82" s="1">
        <v>0</v>
      </c>
      <c r="M82" s="1" t="e">
        <v>#DIV/0!</v>
      </c>
      <c r="N82" s="111">
        <v>38738</v>
      </c>
      <c r="O82" s="111">
        <v>365549</v>
      </c>
      <c r="P82" s="111">
        <v>62510</v>
      </c>
      <c r="Q82" s="111">
        <v>604679</v>
      </c>
      <c r="R82" s="1">
        <v>61.97</v>
      </c>
      <c r="S82" s="1">
        <v>60.45</v>
      </c>
      <c r="T82" s="1">
        <v>0</v>
      </c>
      <c r="U82" s="111">
        <v>10259</v>
      </c>
      <c r="V82" s="1">
        <v>0</v>
      </c>
      <c r="W82" s="111">
        <v>10818</v>
      </c>
      <c r="X82" s="1">
        <v>0</v>
      </c>
      <c r="Y82" s="111">
        <v>94.84</v>
      </c>
      <c r="Z82" s="111">
        <v>12254</v>
      </c>
      <c r="AA82" s="111">
        <v>76159</v>
      </c>
      <c r="AB82" s="111">
        <v>14091</v>
      </c>
      <c r="AC82" s="111">
        <v>87298</v>
      </c>
      <c r="AD82" s="1">
        <v>86.96</v>
      </c>
      <c r="AE82" s="1">
        <v>87.24</v>
      </c>
      <c r="AF82" s="111">
        <v>20731</v>
      </c>
      <c r="AG82" s="111">
        <v>98358</v>
      </c>
      <c r="AH82" s="111">
        <v>22753</v>
      </c>
      <c r="AI82" s="111">
        <v>107946</v>
      </c>
      <c r="AJ82" s="1">
        <v>91.12</v>
      </c>
      <c r="AK82" s="1">
        <v>91.12</v>
      </c>
      <c r="AL82" s="111">
        <v>71723</v>
      </c>
      <c r="AM82" s="111">
        <v>550325</v>
      </c>
      <c r="AN82" s="111">
        <v>99354</v>
      </c>
      <c r="AO82" s="111">
        <v>810740</v>
      </c>
      <c r="AP82" s="1">
        <v>72.19</v>
      </c>
      <c r="AQ82" s="1">
        <v>67.88</v>
      </c>
      <c r="AR82" s="111">
        <v>130181</v>
      </c>
      <c r="AS82" s="111">
        <v>1149721</v>
      </c>
      <c r="AT82" s="111">
        <v>162904</v>
      </c>
      <c r="AU82" s="111">
        <v>1502693</v>
      </c>
      <c r="AV82" s="1">
        <v>79.91</v>
      </c>
      <c r="AW82" s="1">
        <v>76.510000000000005</v>
      </c>
      <c r="AX82" s="1">
        <v>0</v>
      </c>
      <c r="AY82" s="1">
        <v>0</v>
      </c>
      <c r="BD82" s="1">
        <v>62.92</v>
      </c>
      <c r="BE82" s="1">
        <v>74.58</v>
      </c>
      <c r="BH82" s="111">
        <v>71723</v>
      </c>
      <c r="BK82" s="111">
        <v>-99354</v>
      </c>
    </row>
    <row r="83" spans="1:63" ht="12.5" x14ac:dyDescent="0.25">
      <c r="A83" s="1" t="s">
        <v>13</v>
      </c>
      <c r="B83" s="111">
        <v>39492</v>
      </c>
      <c r="C83" s="111">
        <v>405041</v>
      </c>
      <c r="D83" s="111">
        <v>62347</v>
      </c>
      <c r="E83" s="111">
        <v>667026</v>
      </c>
      <c r="F83" s="1">
        <v>63.34</v>
      </c>
      <c r="G83" s="1">
        <v>60.72</v>
      </c>
      <c r="H83" s="111"/>
      <c r="I83" s="111">
        <v>0</v>
      </c>
      <c r="J83" s="111"/>
      <c r="K83" s="111">
        <v>0</v>
      </c>
      <c r="L83" s="1">
        <v>0</v>
      </c>
      <c r="M83" s="1" t="e">
        <v>#DIV/0!</v>
      </c>
      <c r="N83" s="111">
        <v>39492</v>
      </c>
      <c r="O83" s="111">
        <v>405041</v>
      </c>
      <c r="P83" s="111">
        <v>62347</v>
      </c>
      <c r="Q83" s="111">
        <v>667026</v>
      </c>
      <c r="R83" s="1">
        <v>63.34</v>
      </c>
      <c r="S83" s="1">
        <v>60.72</v>
      </c>
      <c r="T83" s="1">
        <v>0</v>
      </c>
      <c r="U83" s="111">
        <v>10259</v>
      </c>
      <c r="V83" s="1">
        <v>0</v>
      </c>
      <c r="W83" s="111">
        <v>10818</v>
      </c>
      <c r="X83" s="1">
        <v>0</v>
      </c>
      <c r="Y83" s="111">
        <v>94.84</v>
      </c>
      <c r="Z83" s="111">
        <v>22080</v>
      </c>
      <c r="AA83" s="111">
        <v>98239</v>
      </c>
      <c r="AB83" s="111">
        <v>25391</v>
      </c>
      <c r="AC83" s="111">
        <v>112689</v>
      </c>
      <c r="AD83" s="1">
        <v>86.96</v>
      </c>
      <c r="AE83" s="1">
        <v>87.18</v>
      </c>
      <c r="AF83" s="111">
        <v>27160</v>
      </c>
      <c r="AG83" s="111">
        <v>125518</v>
      </c>
      <c r="AH83" s="111">
        <v>29808</v>
      </c>
      <c r="AI83" s="111">
        <v>137754</v>
      </c>
      <c r="AJ83" s="1">
        <v>91.12</v>
      </c>
      <c r="AK83" s="1">
        <v>91.12</v>
      </c>
      <c r="AL83" s="111">
        <v>88732</v>
      </c>
      <c r="AM83" s="111">
        <v>639057</v>
      </c>
      <c r="AN83" s="111">
        <v>117546</v>
      </c>
      <c r="AO83" s="111">
        <v>928286</v>
      </c>
      <c r="AP83" s="1">
        <v>75.489999999999995</v>
      </c>
      <c r="AQ83" s="1">
        <v>68.84</v>
      </c>
      <c r="AR83" s="111">
        <v>167248</v>
      </c>
      <c r="AS83" s="111">
        <v>1316969</v>
      </c>
      <c r="AT83" s="111">
        <v>209330</v>
      </c>
      <c r="AU83" s="111">
        <v>1712023</v>
      </c>
      <c r="AV83" s="1">
        <v>79.900000000000006</v>
      </c>
      <c r="AW83" s="1">
        <v>76.92</v>
      </c>
      <c r="AX83" s="1">
        <v>0</v>
      </c>
      <c r="AY83" s="1">
        <v>0</v>
      </c>
      <c r="BD83" s="1">
        <v>53.04</v>
      </c>
      <c r="BE83" s="1">
        <v>71.86</v>
      </c>
      <c r="BH83" s="111">
        <v>88732</v>
      </c>
      <c r="BK83" s="111">
        <v>-117546</v>
      </c>
    </row>
    <row r="84" spans="1:63" ht="12.5" x14ac:dyDescent="0.25">
      <c r="A84" s="1" t="s">
        <v>14</v>
      </c>
      <c r="B84" s="111">
        <v>16953</v>
      </c>
      <c r="C84" s="111">
        <v>421994</v>
      </c>
      <c r="D84" s="111">
        <v>24379</v>
      </c>
      <c r="E84" s="111">
        <v>691404</v>
      </c>
      <c r="F84" s="1">
        <v>69.540000000000006</v>
      </c>
      <c r="G84" s="1">
        <v>61.03</v>
      </c>
      <c r="H84" s="111"/>
      <c r="I84" s="111">
        <v>0</v>
      </c>
      <c r="J84" s="111"/>
      <c r="K84" s="111">
        <v>0</v>
      </c>
      <c r="L84" s="1">
        <v>0</v>
      </c>
      <c r="M84" s="1" t="e">
        <v>#DIV/0!</v>
      </c>
      <c r="N84" s="111">
        <v>16953</v>
      </c>
      <c r="O84" s="111">
        <v>421994</v>
      </c>
      <c r="P84" s="111">
        <v>24379</v>
      </c>
      <c r="Q84" s="111">
        <v>691404</v>
      </c>
      <c r="R84" s="1">
        <v>69.540000000000006</v>
      </c>
      <c r="S84" s="1">
        <v>61.03</v>
      </c>
      <c r="T84" s="1">
        <v>0</v>
      </c>
      <c r="U84" s="111">
        <v>10259</v>
      </c>
      <c r="V84" s="1">
        <v>0</v>
      </c>
      <c r="W84" s="111">
        <v>10818</v>
      </c>
      <c r="X84" s="1">
        <v>0</v>
      </c>
      <c r="Y84" s="111">
        <v>94.84</v>
      </c>
      <c r="Z84" s="111">
        <v>16569</v>
      </c>
      <c r="AA84" s="111">
        <v>114809</v>
      </c>
      <c r="AB84" s="111">
        <v>19054</v>
      </c>
      <c r="AC84" s="111">
        <v>131743</v>
      </c>
      <c r="AD84" s="1">
        <v>86.96</v>
      </c>
      <c r="AE84" s="1">
        <v>87.15</v>
      </c>
      <c r="AF84" s="111">
        <v>23167</v>
      </c>
      <c r="AG84" s="111">
        <v>148685</v>
      </c>
      <c r="AH84" s="111">
        <v>25427</v>
      </c>
      <c r="AI84" s="111">
        <v>163181</v>
      </c>
      <c r="AJ84" s="1">
        <v>91.12</v>
      </c>
      <c r="AK84" s="1">
        <v>91.12</v>
      </c>
      <c r="AL84" s="111">
        <v>56690</v>
      </c>
      <c r="AM84" s="111">
        <v>695747</v>
      </c>
      <c r="AN84" s="111">
        <v>68859</v>
      </c>
      <c r="AO84" s="111">
        <v>997145</v>
      </c>
      <c r="AP84" s="1">
        <v>82.33</v>
      </c>
      <c r="AQ84" s="1">
        <v>69.77</v>
      </c>
      <c r="AR84" s="111">
        <v>147033</v>
      </c>
      <c r="AS84" s="111">
        <v>1464003</v>
      </c>
      <c r="AT84" s="111">
        <v>184414</v>
      </c>
      <c r="AU84" s="111">
        <v>1896438</v>
      </c>
      <c r="AV84" s="1">
        <v>79.73</v>
      </c>
      <c r="AW84" s="1">
        <v>77.2</v>
      </c>
      <c r="AX84" s="1">
        <v>0</v>
      </c>
      <c r="AY84" s="1">
        <v>0</v>
      </c>
      <c r="BD84" s="1">
        <v>35.4</v>
      </c>
      <c r="BE84" s="1">
        <v>69.34</v>
      </c>
      <c r="BH84" s="111">
        <v>56690</v>
      </c>
      <c r="BK84" s="111">
        <v>-68859</v>
      </c>
    </row>
    <row r="85" spans="1:63" ht="12.5" x14ac:dyDescent="0.25">
      <c r="A85" s="1" t="s">
        <v>15</v>
      </c>
      <c r="B85" s="111">
        <v>52062</v>
      </c>
      <c r="C85" s="111">
        <v>474056</v>
      </c>
      <c r="D85" s="111">
        <v>85233</v>
      </c>
      <c r="E85" s="111">
        <v>776638</v>
      </c>
      <c r="F85" s="1">
        <v>61.08</v>
      </c>
      <c r="G85" s="1">
        <v>61.04</v>
      </c>
      <c r="H85" s="111"/>
      <c r="I85" s="111">
        <v>0</v>
      </c>
      <c r="J85" s="111"/>
      <c r="K85" s="111">
        <v>0</v>
      </c>
      <c r="L85" s="1">
        <v>0</v>
      </c>
      <c r="M85" s="1" t="e">
        <v>#DIV/0!</v>
      </c>
      <c r="N85" s="111">
        <v>52062</v>
      </c>
      <c r="O85" s="111">
        <v>474056</v>
      </c>
      <c r="P85" s="111">
        <v>85233</v>
      </c>
      <c r="Q85" s="111">
        <v>776638</v>
      </c>
      <c r="R85" s="1">
        <v>61.08</v>
      </c>
      <c r="S85" s="1">
        <v>61.04</v>
      </c>
      <c r="T85" s="1">
        <v>0</v>
      </c>
      <c r="U85" s="111">
        <v>10259</v>
      </c>
      <c r="V85" s="1">
        <v>0</v>
      </c>
      <c r="W85" s="111">
        <v>10818</v>
      </c>
      <c r="X85" s="1">
        <v>0</v>
      </c>
      <c r="Y85" s="111">
        <v>94.84</v>
      </c>
      <c r="Z85" s="111">
        <v>23578</v>
      </c>
      <c r="AA85" s="111">
        <v>138387</v>
      </c>
      <c r="AB85" s="111">
        <v>27114</v>
      </c>
      <c r="AC85" s="111">
        <v>158857</v>
      </c>
      <c r="AD85" s="1">
        <v>86.96</v>
      </c>
      <c r="AE85" s="1">
        <v>87.11</v>
      </c>
      <c r="AF85" s="111">
        <v>21475</v>
      </c>
      <c r="AG85" s="111">
        <v>170160</v>
      </c>
      <c r="AH85" s="111">
        <v>23569</v>
      </c>
      <c r="AI85" s="111">
        <v>186749</v>
      </c>
      <c r="AJ85" s="1">
        <v>91.12</v>
      </c>
      <c r="AK85" s="1">
        <v>91.12</v>
      </c>
      <c r="AL85" s="111">
        <v>97115</v>
      </c>
      <c r="AM85" s="111">
        <v>792862</v>
      </c>
      <c r="AN85" s="111">
        <v>135916</v>
      </c>
      <c r="AO85" s="111">
        <v>1133062</v>
      </c>
      <c r="AP85" s="1">
        <v>71.45</v>
      </c>
      <c r="AQ85" s="1">
        <v>69.98</v>
      </c>
      <c r="AR85" s="111">
        <v>154607</v>
      </c>
      <c r="AS85" s="111">
        <v>1618610</v>
      </c>
      <c r="AT85" s="111">
        <v>200609</v>
      </c>
      <c r="AU85" s="111">
        <v>2097046</v>
      </c>
      <c r="AV85" s="1">
        <v>77.069999999999993</v>
      </c>
      <c r="AW85" s="1">
        <v>77.19</v>
      </c>
      <c r="AX85" s="1">
        <v>0</v>
      </c>
      <c r="AY85" s="1">
        <v>0</v>
      </c>
      <c r="BD85" s="1">
        <v>62.71</v>
      </c>
      <c r="BE85" s="1">
        <v>68.540000000000006</v>
      </c>
      <c r="BH85" s="111">
        <v>97115</v>
      </c>
      <c r="BK85" s="111">
        <v>-135916</v>
      </c>
    </row>
    <row r="86" spans="1:63" ht="12.5" x14ac:dyDescent="0.25">
      <c r="A86" s="1"/>
      <c r="B86" s="111"/>
      <c r="C86" s="111"/>
      <c r="D86" s="111"/>
      <c r="E86" s="111"/>
      <c r="F86" s="1"/>
      <c r="G86" s="1"/>
      <c r="H86" s="111"/>
      <c r="I86" s="111"/>
      <c r="J86" s="111"/>
      <c r="K86" s="111"/>
      <c r="L86" s="1"/>
      <c r="M86" s="1"/>
      <c r="N86" s="111"/>
      <c r="O86" s="111"/>
      <c r="P86" s="111"/>
      <c r="Q86" s="111"/>
      <c r="R86" s="1"/>
      <c r="S86" s="1"/>
      <c r="U86" s="1"/>
      <c r="V86" s="1"/>
      <c r="Y86" s="111"/>
      <c r="AB86" s="111"/>
    </row>
    <row r="87" spans="1:63" ht="12.5" x14ac:dyDescent="0.25">
      <c r="A87" s="1"/>
      <c r="B87" s="111"/>
      <c r="C87" s="111"/>
      <c r="D87" s="111"/>
      <c r="E87" s="111"/>
      <c r="F87" s="1"/>
      <c r="G87" s="1"/>
      <c r="H87" s="111"/>
      <c r="I87" s="111"/>
      <c r="J87" s="111"/>
      <c r="K87" s="111"/>
      <c r="L87" s="1"/>
      <c r="M87" s="1"/>
      <c r="N87" s="111"/>
      <c r="O87" s="111"/>
      <c r="P87" s="111"/>
      <c r="Q87" s="111"/>
      <c r="R87" s="1"/>
      <c r="S87" s="1"/>
      <c r="U87" s="1"/>
      <c r="V87" s="1"/>
      <c r="Y87" s="111"/>
      <c r="AB87" s="111"/>
    </row>
    <row r="88" spans="1:63" ht="12.5" x14ac:dyDescent="0.25">
      <c r="A88" s="1" t="s">
        <v>171</v>
      </c>
      <c r="H88" s="1" t="s">
        <v>172</v>
      </c>
      <c r="N88" s="1" t="s">
        <v>131</v>
      </c>
      <c r="U88" s="1" t="s">
        <v>101</v>
      </c>
    </row>
    <row r="89" spans="1:63" ht="12.5" x14ac:dyDescent="0.25">
      <c r="A89" s="1" t="s">
        <v>102</v>
      </c>
      <c r="B89" s="1" t="s">
        <v>2</v>
      </c>
      <c r="D89" s="1" t="s">
        <v>3</v>
      </c>
      <c r="F89" s="1" t="s">
        <v>103</v>
      </c>
      <c r="H89" s="1" t="s">
        <v>2</v>
      </c>
      <c r="J89" s="1" t="s">
        <v>3</v>
      </c>
      <c r="L89" s="1" t="s">
        <v>103</v>
      </c>
      <c r="N89" s="1" t="s">
        <v>2</v>
      </c>
      <c r="P89" s="1" t="s">
        <v>3</v>
      </c>
      <c r="R89" s="1" t="s">
        <v>103</v>
      </c>
      <c r="T89" s="1"/>
      <c r="X89" s="1" t="s">
        <v>104</v>
      </c>
      <c r="Z89" s="1"/>
      <c r="AA89" s="1" t="s">
        <v>105</v>
      </c>
      <c r="AF89" s="1"/>
      <c r="AL89" s="1"/>
    </row>
    <row r="90" spans="1:63" ht="12.5" x14ac:dyDescent="0.25">
      <c r="A90" s="1"/>
      <c r="B90" s="1" t="s">
        <v>106</v>
      </c>
      <c r="C90" s="1" t="s">
        <v>107</v>
      </c>
      <c r="D90" s="1" t="s">
        <v>106</v>
      </c>
      <c r="E90" s="1" t="s">
        <v>107</v>
      </c>
      <c r="F90" s="1" t="s">
        <v>106</v>
      </c>
      <c r="G90" s="1" t="s">
        <v>107</v>
      </c>
      <c r="H90" s="1" t="s">
        <v>106</v>
      </c>
      <c r="I90" s="1" t="s">
        <v>107</v>
      </c>
      <c r="J90" s="1" t="s">
        <v>106</v>
      </c>
      <c r="K90" s="1" t="s">
        <v>107</v>
      </c>
      <c r="L90" s="1" t="s">
        <v>106</v>
      </c>
      <c r="M90" s="1" t="s">
        <v>107</v>
      </c>
      <c r="N90" s="1" t="s">
        <v>106</v>
      </c>
      <c r="O90" s="1" t="s">
        <v>107</v>
      </c>
      <c r="P90" s="1" t="s">
        <v>106</v>
      </c>
      <c r="Q90" s="1" t="s">
        <v>107</v>
      </c>
      <c r="R90" s="1" t="s">
        <v>106</v>
      </c>
      <c r="S90" s="1" t="s">
        <v>107</v>
      </c>
      <c r="T90" s="1"/>
      <c r="U90" s="1" t="s">
        <v>106</v>
      </c>
      <c r="V90" s="1" t="s">
        <v>107</v>
      </c>
      <c r="X90" s="1"/>
      <c r="Z90" s="1"/>
      <c r="AB90" s="1"/>
      <c r="AD90" s="1"/>
      <c r="AF90" s="1"/>
      <c r="AH90" s="1"/>
      <c r="AJ90" s="1"/>
      <c r="AL90" s="1"/>
      <c r="AN90" s="1"/>
      <c r="AP90" s="1"/>
      <c r="AS90" s="1"/>
      <c r="AU90" s="1"/>
      <c r="AW90" s="1"/>
      <c r="AY90" s="1"/>
      <c r="BE90" s="1"/>
      <c r="BH90" s="1"/>
    </row>
    <row r="91" spans="1:63" ht="12.5" x14ac:dyDescent="0.25">
      <c r="A91" s="1" t="s">
        <v>4</v>
      </c>
      <c r="B91" s="111">
        <v>42911</v>
      </c>
      <c r="C91" s="111">
        <v>42911</v>
      </c>
      <c r="D91" s="111">
        <v>74038</v>
      </c>
      <c r="E91" s="111">
        <v>74038</v>
      </c>
      <c r="F91" s="1">
        <v>57.96</v>
      </c>
      <c r="G91" s="1">
        <v>57.96</v>
      </c>
      <c r="H91" s="111">
        <v>15733</v>
      </c>
      <c r="I91" s="111">
        <v>15733</v>
      </c>
      <c r="J91" s="111">
        <v>18387</v>
      </c>
      <c r="K91" s="111">
        <v>18387</v>
      </c>
      <c r="L91" s="1">
        <v>85.56</v>
      </c>
      <c r="M91" s="1">
        <v>85.56</v>
      </c>
      <c r="N91" s="111">
        <v>58644</v>
      </c>
      <c r="O91" s="111">
        <v>58644</v>
      </c>
      <c r="P91" s="111">
        <v>92425</v>
      </c>
      <c r="Q91" s="111">
        <v>92425</v>
      </c>
      <c r="R91" s="1">
        <v>63.45</v>
      </c>
      <c r="S91" s="1">
        <v>63.45</v>
      </c>
      <c r="T91" s="1"/>
      <c r="U91" s="1">
        <v>80.11</v>
      </c>
      <c r="V91" s="1">
        <v>80.11</v>
      </c>
      <c r="W91" s="1"/>
      <c r="X91" s="1"/>
      <c r="Y91" s="111">
        <v>-58644</v>
      </c>
      <c r="Z91" s="1"/>
      <c r="AA91" s="1"/>
      <c r="AB91" s="111">
        <v>-92425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  <c r="AW91" s="1"/>
      <c r="AX91" s="1"/>
      <c r="AY91" s="1"/>
      <c r="AZ91" s="1"/>
      <c r="BB91" s="1"/>
      <c r="BC91" s="1"/>
      <c r="BE91" s="1"/>
      <c r="BF91" s="1"/>
    </row>
    <row r="92" spans="1:63" ht="12.5" x14ac:dyDescent="0.25">
      <c r="A92" s="1" t="s">
        <v>5</v>
      </c>
      <c r="B92" s="111">
        <v>43596</v>
      </c>
      <c r="C92" s="111">
        <v>86507</v>
      </c>
      <c r="D92" s="111">
        <v>75270</v>
      </c>
      <c r="E92" s="111">
        <v>149308</v>
      </c>
      <c r="F92" s="1">
        <v>57.92</v>
      </c>
      <c r="G92" s="1">
        <v>57.94</v>
      </c>
      <c r="H92" s="111">
        <v>11120</v>
      </c>
      <c r="I92" s="111">
        <v>26852</v>
      </c>
      <c r="J92" s="111">
        <v>12949</v>
      </c>
      <c r="K92" s="111">
        <v>31336</v>
      </c>
      <c r="L92" s="1">
        <v>85.87</v>
      </c>
      <c r="M92" s="1">
        <v>85.69</v>
      </c>
      <c r="N92" s="111">
        <v>54716</v>
      </c>
      <c r="O92" s="111">
        <v>113360</v>
      </c>
      <c r="P92" s="111">
        <v>88219</v>
      </c>
      <c r="Q92" s="111">
        <v>180644</v>
      </c>
      <c r="R92" s="1">
        <v>62.02</v>
      </c>
      <c r="S92" s="1">
        <v>62.75</v>
      </c>
      <c r="T92" s="111"/>
      <c r="U92" s="111">
        <v>85.32</v>
      </c>
      <c r="V92" s="111">
        <v>82.65</v>
      </c>
      <c r="W92" s="111"/>
      <c r="X92" s="1"/>
      <c r="Y92" s="111">
        <v>-54716</v>
      </c>
      <c r="Z92" s="111"/>
      <c r="AA92" s="111"/>
      <c r="AB92" s="111">
        <v>-88219</v>
      </c>
      <c r="AC92" s="111"/>
      <c r="AD92" s="1"/>
      <c r="AE92" s="1"/>
      <c r="AF92" s="111"/>
      <c r="AG92" s="111"/>
      <c r="AH92" s="111"/>
      <c r="AI92" s="111"/>
      <c r="AJ92" s="1"/>
      <c r="AK92" s="1"/>
      <c r="AL92" s="111"/>
      <c r="AM92" s="111"/>
      <c r="AN92" s="111"/>
      <c r="AO92" s="111"/>
      <c r="AP92" s="1"/>
      <c r="AQ92" s="1"/>
      <c r="AR92" s="113"/>
      <c r="AS92" s="1"/>
      <c r="AT92" s="1"/>
      <c r="AU92" s="1"/>
      <c r="AV92" s="1"/>
      <c r="AW92" s="1"/>
      <c r="AX92" s="1"/>
      <c r="AY92" s="1"/>
      <c r="AZ92" s="1"/>
      <c r="BC92" s="1"/>
      <c r="BE92" s="1"/>
      <c r="BF92" s="1"/>
      <c r="BH92" s="1"/>
      <c r="BI92" s="1"/>
    </row>
    <row r="93" spans="1:63" ht="12.5" x14ac:dyDescent="0.25">
      <c r="A93" s="1" t="s">
        <v>6</v>
      </c>
      <c r="B93" s="111">
        <v>33799</v>
      </c>
      <c r="C93" s="111">
        <v>120306</v>
      </c>
      <c r="D93" s="111">
        <v>57776</v>
      </c>
      <c r="E93" s="111">
        <v>207084</v>
      </c>
      <c r="F93" s="1">
        <v>58.5</v>
      </c>
      <c r="G93" s="1">
        <v>58.1</v>
      </c>
      <c r="H93" s="111">
        <v>13847</v>
      </c>
      <c r="I93" s="111">
        <v>40699</v>
      </c>
      <c r="J93" s="111">
        <v>16195</v>
      </c>
      <c r="K93" s="111">
        <v>47531</v>
      </c>
      <c r="L93" s="1">
        <v>85.5</v>
      </c>
      <c r="M93" s="1">
        <v>85.63</v>
      </c>
      <c r="N93" s="111">
        <v>47646</v>
      </c>
      <c r="O93" s="111">
        <v>161006</v>
      </c>
      <c r="P93" s="111">
        <v>73971</v>
      </c>
      <c r="Q93" s="111">
        <v>254615</v>
      </c>
      <c r="R93" s="1">
        <v>64.41</v>
      </c>
      <c r="S93" s="1">
        <v>63.23</v>
      </c>
      <c r="T93" s="111"/>
      <c r="U93" s="111">
        <v>78.11</v>
      </c>
      <c r="V93" s="111">
        <v>81.33</v>
      </c>
      <c r="W93" s="111"/>
      <c r="X93" s="1"/>
      <c r="Y93" s="111">
        <v>-47646</v>
      </c>
      <c r="Z93" s="111"/>
      <c r="AA93" s="111"/>
      <c r="AB93" s="111">
        <v>-73971</v>
      </c>
      <c r="AC93" s="111"/>
      <c r="AD93" s="1"/>
      <c r="AE93" s="1"/>
      <c r="AF93" s="111"/>
      <c r="AG93" s="111"/>
      <c r="AH93" s="111"/>
      <c r="AI93" s="111"/>
      <c r="AJ93" s="1"/>
      <c r="AK93" s="1"/>
      <c r="AL93" s="111"/>
      <c r="AM93" s="111"/>
      <c r="AN93" s="111"/>
      <c r="AO93" s="111"/>
      <c r="AP93" s="1"/>
      <c r="AQ93" s="1"/>
      <c r="AR93" s="114"/>
      <c r="AS93" s="1"/>
      <c r="AT93" s="1"/>
      <c r="AU93" s="1"/>
      <c r="AV93" s="1"/>
      <c r="AW93" s="1"/>
      <c r="AX93" s="1"/>
      <c r="AY93" s="1"/>
      <c r="AZ93" s="1"/>
      <c r="BC93" s="1"/>
      <c r="BE93" s="1"/>
      <c r="BF93" s="1"/>
      <c r="BH93" s="1"/>
      <c r="BI93" s="1"/>
    </row>
    <row r="94" spans="1:63" ht="12.5" x14ac:dyDescent="0.25">
      <c r="A94" s="1" t="s">
        <v>7</v>
      </c>
      <c r="B94" s="111">
        <v>45764</v>
      </c>
      <c r="C94" s="111">
        <v>166070</v>
      </c>
      <c r="D94" s="111">
        <v>78229</v>
      </c>
      <c r="E94" s="111">
        <v>285313</v>
      </c>
      <c r="F94" s="1">
        <v>58.5</v>
      </c>
      <c r="G94" s="1">
        <v>58.21</v>
      </c>
      <c r="H94" s="111">
        <v>16971</v>
      </c>
      <c r="I94" s="111">
        <v>57670</v>
      </c>
      <c r="J94" s="111">
        <v>19849</v>
      </c>
      <c r="K94" s="111">
        <v>67380</v>
      </c>
      <c r="L94" s="1">
        <v>85.5</v>
      </c>
      <c r="M94" s="1">
        <v>85.59</v>
      </c>
      <c r="N94" s="111">
        <v>62735</v>
      </c>
      <c r="O94" s="111">
        <v>223741</v>
      </c>
      <c r="P94" s="111">
        <v>98078</v>
      </c>
      <c r="Q94" s="111">
        <v>352693</v>
      </c>
      <c r="R94" s="1">
        <v>63.96</v>
      </c>
      <c r="S94" s="1">
        <v>63.44</v>
      </c>
      <c r="T94" s="111"/>
      <c r="U94" s="111">
        <v>79.760000000000005</v>
      </c>
      <c r="V94" s="111">
        <v>80.900000000000006</v>
      </c>
      <c r="W94" s="111"/>
      <c r="X94" s="1"/>
      <c r="Y94" s="111">
        <v>-62735</v>
      </c>
      <c r="Z94" s="111"/>
      <c r="AA94" s="111"/>
      <c r="AB94" s="111">
        <v>-98078</v>
      </c>
      <c r="AC94" s="111"/>
      <c r="AD94" s="1"/>
      <c r="AE94" s="1"/>
      <c r="AF94" s="111"/>
      <c r="AG94" s="111"/>
      <c r="AH94" s="111"/>
      <c r="AI94" s="111"/>
      <c r="AJ94" s="1"/>
      <c r="AK94" s="1"/>
      <c r="AL94" s="111"/>
      <c r="AM94" s="111"/>
      <c r="AN94" s="111"/>
      <c r="AO94" s="111"/>
      <c r="AP94" s="1"/>
      <c r="AQ94" s="1"/>
      <c r="AR94" s="113"/>
      <c r="AS94" s="1"/>
      <c r="AT94" s="1"/>
      <c r="AU94" s="1"/>
      <c r="AV94" s="1"/>
      <c r="AW94" s="1"/>
      <c r="AX94" s="1"/>
      <c r="AY94" s="1"/>
      <c r="AZ94" s="1"/>
      <c r="BC94" s="1"/>
      <c r="BE94" s="1"/>
      <c r="BF94" s="1"/>
      <c r="BH94" s="1"/>
      <c r="BI94" s="1"/>
    </row>
    <row r="95" spans="1:63" ht="12.5" x14ac:dyDescent="0.25">
      <c r="A95" s="1" t="s">
        <v>8</v>
      </c>
      <c r="B95" s="111">
        <v>58032</v>
      </c>
      <c r="C95" s="111">
        <v>224102</v>
      </c>
      <c r="D95" s="111">
        <v>99201</v>
      </c>
      <c r="E95" s="111">
        <v>384514</v>
      </c>
      <c r="F95" s="1">
        <v>58.5</v>
      </c>
      <c r="G95" s="1">
        <v>58.28</v>
      </c>
      <c r="H95" s="111">
        <v>26014</v>
      </c>
      <c r="I95" s="111">
        <v>83684</v>
      </c>
      <c r="J95" s="111">
        <v>30426</v>
      </c>
      <c r="K95" s="111">
        <v>97806</v>
      </c>
      <c r="L95" s="1">
        <v>85.5</v>
      </c>
      <c r="M95" s="1">
        <v>85.56</v>
      </c>
      <c r="N95" s="111">
        <v>84046</v>
      </c>
      <c r="O95" s="111">
        <v>307787</v>
      </c>
      <c r="P95" s="111">
        <v>129627</v>
      </c>
      <c r="Q95" s="111">
        <v>482320</v>
      </c>
      <c r="R95" s="1">
        <v>64.84</v>
      </c>
      <c r="S95" s="1">
        <v>63.81</v>
      </c>
      <c r="T95" s="111"/>
      <c r="U95" s="111">
        <v>76.53</v>
      </c>
      <c r="V95" s="111">
        <v>79.72</v>
      </c>
      <c r="W95" s="111"/>
      <c r="X95" s="1"/>
      <c r="Y95" s="111">
        <v>-84046</v>
      </c>
      <c r="Z95" s="111"/>
      <c r="AA95" s="111"/>
      <c r="AB95" s="111">
        <v>-129627</v>
      </c>
      <c r="AC95" s="111"/>
      <c r="AD95" s="1"/>
      <c r="AE95" s="1"/>
      <c r="AF95" s="111"/>
      <c r="AG95" s="111"/>
      <c r="AH95" s="111"/>
      <c r="AI95" s="111"/>
      <c r="AJ95" s="1"/>
      <c r="AK95" s="1"/>
      <c r="AL95" s="111"/>
      <c r="AM95" s="111"/>
      <c r="AN95" s="111"/>
      <c r="AO95" s="111"/>
      <c r="AP95" s="1"/>
      <c r="AQ95" s="1"/>
      <c r="AR95" s="113"/>
      <c r="AS95" s="1"/>
      <c r="AT95" s="1"/>
      <c r="AU95" s="1"/>
      <c r="AV95" s="1"/>
      <c r="AW95" s="1"/>
      <c r="AX95" s="1"/>
      <c r="AY95" s="1"/>
      <c r="AZ95" s="1"/>
      <c r="BC95" s="1"/>
      <c r="BE95" s="1"/>
      <c r="BF95" s="1"/>
      <c r="BH95" s="1"/>
      <c r="BI95" s="1"/>
    </row>
    <row r="96" spans="1:63" ht="12.5" x14ac:dyDescent="0.25">
      <c r="A96" s="1" t="s">
        <v>9</v>
      </c>
      <c r="B96" s="111">
        <v>48704</v>
      </c>
      <c r="C96" s="111">
        <v>272806</v>
      </c>
      <c r="D96" s="111">
        <v>83254</v>
      </c>
      <c r="E96" s="111">
        <v>467768</v>
      </c>
      <c r="F96" s="1">
        <v>58.5</v>
      </c>
      <c r="G96" s="1">
        <v>58.32</v>
      </c>
      <c r="H96" s="111">
        <v>24308</v>
      </c>
      <c r="I96" s="111">
        <v>107992</v>
      </c>
      <c r="J96" s="111">
        <v>28431</v>
      </c>
      <c r="K96" s="111">
        <v>126237</v>
      </c>
      <c r="L96" s="1">
        <v>85.5</v>
      </c>
      <c r="M96" s="1">
        <v>85.55</v>
      </c>
      <c r="N96" s="111">
        <v>73012</v>
      </c>
      <c r="O96" s="111">
        <v>380799</v>
      </c>
      <c r="P96" s="111">
        <v>111685</v>
      </c>
      <c r="Q96" s="111">
        <v>594005</v>
      </c>
      <c r="R96" s="1">
        <v>65.37</v>
      </c>
      <c r="S96" s="1">
        <v>64.11</v>
      </c>
      <c r="T96" s="111"/>
      <c r="U96" s="111">
        <v>74.540000000000006</v>
      </c>
      <c r="V96" s="111">
        <v>78.75</v>
      </c>
      <c r="W96" s="111"/>
      <c r="X96" s="1"/>
      <c r="Y96" s="111">
        <v>-73012</v>
      </c>
      <c r="Z96" s="111"/>
      <c r="AA96" s="111"/>
      <c r="AB96" s="111">
        <v>-111685</v>
      </c>
      <c r="AC96" s="111"/>
      <c r="AD96" s="1"/>
      <c r="AE96" s="1"/>
      <c r="AF96" s="111"/>
      <c r="AG96" s="111"/>
      <c r="AH96" s="111"/>
      <c r="AI96" s="111"/>
      <c r="AJ96" s="1"/>
      <c r="AK96" s="1"/>
      <c r="AL96" s="111"/>
      <c r="AM96" s="111"/>
      <c r="AN96" s="111"/>
      <c r="AO96" s="111"/>
      <c r="AP96" s="1"/>
      <c r="AQ96" s="1"/>
      <c r="AR96" s="113"/>
      <c r="AS96" s="1"/>
      <c r="AT96" s="1"/>
      <c r="AU96" s="1"/>
      <c r="AV96" s="1"/>
      <c r="AW96" s="1"/>
      <c r="AX96" s="1"/>
      <c r="AY96" s="1"/>
      <c r="AZ96" s="1"/>
      <c r="BC96" s="1"/>
      <c r="BE96" s="1"/>
      <c r="BF96" s="1"/>
      <c r="BH96" s="1"/>
      <c r="BI96" s="1"/>
    </row>
    <row r="97" spans="1:61" ht="12.5" x14ac:dyDescent="0.25">
      <c r="A97" s="1" t="s">
        <v>10</v>
      </c>
      <c r="B97" s="111">
        <v>58533</v>
      </c>
      <c r="C97" s="111">
        <v>331339</v>
      </c>
      <c r="D97" s="111">
        <v>100056</v>
      </c>
      <c r="E97" s="111">
        <v>567824</v>
      </c>
      <c r="F97" s="1">
        <v>58.5</v>
      </c>
      <c r="G97" s="1">
        <v>58.35</v>
      </c>
      <c r="H97" s="111">
        <v>26875</v>
      </c>
      <c r="I97" s="111">
        <v>134867</v>
      </c>
      <c r="J97" s="111">
        <v>31432</v>
      </c>
      <c r="K97" s="111">
        <v>157669</v>
      </c>
      <c r="L97" s="1">
        <v>85.5</v>
      </c>
      <c r="M97" s="1">
        <v>85.54</v>
      </c>
      <c r="N97" s="111">
        <v>85408</v>
      </c>
      <c r="O97" s="111">
        <v>466207</v>
      </c>
      <c r="P97" s="111">
        <v>131488</v>
      </c>
      <c r="Q97" s="111">
        <v>725493</v>
      </c>
      <c r="R97" s="1">
        <v>64.95</v>
      </c>
      <c r="S97" s="1">
        <v>64.260000000000005</v>
      </c>
      <c r="T97" s="111"/>
      <c r="U97" s="111">
        <v>76.099999999999994</v>
      </c>
      <c r="V97" s="111">
        <v>78.27</v>
      </c>
      <c r="W97" s="111"/>
      <c r="X97" s="1"/>
      <c r="Y97" s="111">
        <v>-85408</v>
      </c>
      <c r="Z97" s="111"/>
      <c r="AA97" s="111"/>
      <c r="AB97" s="111">
        <v>-131488</v>
      </c>
      <c r="AC97" s="111"/>
      <c r="AD97" s="1"/>
      <c r="AE97" s="1"/>
      <c r="AF97" s="111"/>
      <c r="AG97" s="111"/>
      <c r="AH97" s="111"/>
      <c r="AI97" s="111"/>
      <c r="AJ97" s="1"/>
      <c r="AK97" s="1"/>
      <c r="AL97" s="111"/>
      <c r="AM97" s="111"/>
      <c r="AN97" s="111"/>
      <c r="AO97" s="111"/>
      <c r="AP97" s="1"/>
      <c r="AQ97" s="1"/>
      <c r="AR97" s="113"/>
      <c r="AS97" s="1"/>
      <c r="AT97" s="1"/>
      <c r="AU97" s="1"/>
      <c r="AV97" s="1"/>
      <c r="AW97" s="1"/>
      <c r="AX97" s="1"/>
      <c r="AY97" s="1"/>
      <c r="AZ97" s="1"/>
      <c r="BC97" s="1"/>
      <c r="BE97" s="1"/>
      <c r="BF97" s="1"/>
      <c r="BH97" s="1"/>
      <c r="BI97" s="1"/>
    </row>
    <row r="98" spans="1:61" ht="12.5" x14ac:dyDescent="0.25">
      <c r="A98" s="1" t="s">
        <v>11</v>
      </c>
      <c r="B98" s="111">
        <v>57548</v>
      </c>
      <c r="C98" s="111">
        <v>388887</v>
      </c>
      <c r="D98" s="111">
        <v>98373</v>
      </c>
      <c r="E98" s="111">
        <v>666197</v>
      </c>
      <c r="F98" s="1">
        <v>58.5</v>
      </c>
      <c r="G98" s="1">
        <v>58.37</v>
      </c>
      <c r="H98" s="111">
        <v>25859</v>
      </c>
      <c r="I98" s="111">
        <v>160726</v>
      </c>
      <c r="J98" s="111">
        <v>30245</v>
      </c>
      <c r="K98" s="111">
        <v>187914</v>
      </c>
      <c r="L98" s="1">
        <v>85.5</v>
      </c>
      <c r="M98" s="1">
        <v>85.53</v>
      </c>
      <c r="N98" s="111">
        <v>83407</v>
      </c>
      <c r="O98" s="111">
        <v>549614</v>
      </c>
      <c r="P98" s="111">
        <v>128618</v>
      </c>
      <c r="Q98" s="111">
        <v>854111</v>
      </c>
      <c r="R98" s="1">
        <v>64.849999999999994</v>
      </c>
      <c r="S98" s="1">
        <v>64.349999999999994</v>
      </c>
      <c r="T98" s="111"/>
      <c r="U98" s="111">
        <v>76.48</v>
      </c>
      <c r="V98" s="111">
        <v>78</v>
      </c>
      <c r="W98" s="111"/>
      <c r="X98" s="1"/>
      <c r="Y98" s="111">
        <v>-83407</v>
      </c>
      <c r="Z98" s="111"/>
      <c r="AA98" s="111"/>
      <c r="AB98" s="111">
        <v>-128618</v>
      </c>
      <c r="AC98" s="111"/>
      <c r="AD98" s="1"/>
      <c r="AE98" s="1"/>
      <c r="AF98" s="111"/>
      <c r="AG98" s="111"/>
      <c r="AH98" s="111"/>
      <c r="AI98" s="111"/>
      <c r="AJ98" s="1"/>
      <c r="AK98" s="1"/>
      <c r="AL98" s="111"/>
      <c r="AM98" s="111"/>
      <c r="AN98" s="111"/>
      <c r="AO98" s="111"/>
      <c r="AP98" s="1"/>
      <c r="AQ98" s="1"/>
      <c r="AR98" s="113"/>
      <c r="AS98" s="1"/>
      <c r="AT98" s="1"/>
      <c r="AU98" s="1"/>
      <c r="AV98" s="1"/>
      <c r="AW98" s="1"/>
      <c r="AX98" s="1"/>
      <c r="AY98" s="1"/>
      <c r="AZ98" s="1"/>
      <c r="BC98" s="1"/>
      <c r="BE98" s="1"/>
      <c r="BF98" s="1"/>
      <c r="BH98" s="1"/>
      <c r="BI98" s="1"/>
    </row>
    <row r="99" spans="1:61" ht="12.5" x14ac:dyDescent="0.25">
      <c r="A99" s="1" t="s">
        <v>12</v>
      </c>
      <c r="B99" s="111">
        <v>59548</v>
      </c>
      <c r="C99" s="111">
        <v>448435</v>
      </c>
      <c r="D99" s="111">
        <v>101791</v>
      </c>
      <c r="E99" s="111">
        <v>767988</v>
      </c>
      <c r="F99" s="1">
        <v>58.5</v>
      </c>
      <c r="G99" s="1">
        <v>58.39</v>
      </c>
      <c r="H99" s="111">
        <v>25865</v>
      </c>
      <c r="I99" s="111">
        <v>186591</v>
      </c>
      <c r="J99" s="111">
        <v>30251</v>
      </c>
      <c r="K99" s="111">
        <v>218165</v>
      </c>
      <c r="L99" s="1">
        <v>85.5</v>
      </c>
      <c r="M99" s="1">
        <v>85.53</v>
      </c>
      <c r="N99" s="111">
        <v>85413</v>
      </c>
      <c r="O99" s="111">
        <v>635027</v>
      </c>
      <c r="P99" s="111">
        <v>132042</v>
      </c>
      <c r="Q99" s="111">
        <v>986153</v>
      </c>
      <c r="R99" s="1">
        <v>64.69</v>
      </c>
      <c r="S99" s="1">
        <v>64.39</v>
      </c>
      <c r="T99" s="111"/>
      <c r="U99" s="111">
        <v>77.09</v>
      </c>
      <c r="V99" s="111">
        <v>77.88</v>
      </c>
      <c r="W99" s="111"/>
      <c r="X99" s="1"/>
      <c r="Y99" s="111">
        <v>-85413</v>
      </c>
      <c r="Z99" s="111"/>
      <c r="AA99" s="111"/>
      <c r="AB99" s="111">
        <v>-132042</v>
      </c>
      <c r="AC99" s="111"/>
      <c r="AD99" s="1"/>
      <c r="AE99" s="1"/>
      <c r="AF99" s="111"/>
      <c r="AG99" s="111"/>
      <c r="AH99" s="111"/>
      <c r="AI99" s="111"/>
      <c r="AJ99" s="1"/>
      <c r="AK99" s="1"/>
      <c r="AL99" s="111"/>
      <c r="AM99" s="111"/>
      <c r="AN99" s="111"/>
      <c r="AO99" s="111"/>
      <c r="AP99" s="1"/>
      <c r="AQ99" s="1"/>
      <c r="AR99" s="113"/>
      <c r="AS99" s="1"/>
      <c r="AT99" s="1"/>
      <c r="AU99" s="1"/>
      <c r="AV99" s="1"/>
      <c r="AW99" s="1"/>
      <c r="AX99" s="1"/>
      <c r="AY99" s="1"/>
      <c r="AZ99" s="1"/>
      <c r="BC99" s="1"/>
      <c r="BE99" s="1"/>
      <c r="BF99" s="1"/>
      <c r="BH99" s="1"/>
      <c r="BI99" s="1"/>
    </row>
    <row r="100" spans="1:61" ht="12.5" x14ac:dyDescent="0.25">
      <c r="A100" s="1" t="s">
        <v>13</v>
      </c>
      <c r="B100" s="111">
        <v>62926</v>
      </c>
      <c r="C100" s="111">
        <v>511361</v>
      </c>
      <c r="D100" s="111">
        <v>107565</v>
      </c>
      <c r="E100" s="111">
        <v>875553</v>
      </c>
      <c r="F100" s="1">
        <v>58.5</v>
      </c>
      <c r="G100" s="1">
        <v>58.4</v>
      </c>
      <c r="H100" s="111">
        <v>25743</v>
      </c>
      <c r="I100" s="111">
        <v>212334</v>
      </c>
      <c r="J100" s="111">
        <v>30109</v>
      </c>
      <c r="K100" s="111">
        <v>248274</v>
      </c>
      <c r="L100" s="1">
        <v>85.5</v>
      </c>
      <c r="M100" s="1">
        <v>85.52</v>
      </c>
      <c r="N100" s="111">
        <v>88669</v>
      </c>
      <c r="O100" s="111">
        <v>723696</v>
      </c>
      <c r="P100" s="111">
        <v>137674</v>
      </c>
      <c r="Q100" s="111">
        <v>1123827</v>
      </c>
      <c r="R100" s="1">
        <v>64.41</v>
      </c>
      <c r="S100" s="1">
        <v>64.400000000000006</v>
      </c>
      <c r="T100" s="111"/>
      <c r="U100" s="111">
        <v>78.13</v>
      </c>
      <c r="V100" s="111">
        <v>77.91</v>
      </c>
      <c r="W100" s="111"/>
      <c r="X100" s="1"/>
      <c r="Y100" s="111">
        <v>-88669</v>
      </c>
      <c r="Z100" s="111"/>
      <c r="AA100" s="111"/>
      <c r="AB100" s="111">
        <v>-137674</v>
      </c>
      <c r="AC100" s="111"/>
      <c r="AD100" s="1"/>
      <c r="AE100" s="1"/>
      <c r="AF100" s="111"/>
      <c r="AG100" s="111"/>
      <c r="AH100" s="111"/>
      <c r="AI100" s="111"/>
      <c r="AJ100" s="1"/>
      <c r="AK100" s="1"/>
      <c r="AL100" s="111"/>
      <c r="AM100" s="111"/>
      <c r="AN100" s="111"/>
      <c r="AO100" s="111"/>
      <c r="AP100" s="1"/>
      <c r="AQ100" s="1"/>
      <c r="AR100" s="113"/>
      <c r="AS100" s="1"/>
      <c r="AT100" s="1"/>
      <c r="AU100" s="1"/>
      <c r="AV100" s="1"/>
      <c r="AW100" s="1"/>
      <c r="AX100" s="1"/>
      <c r="AY100" s="1"/>
      <c r="AZ100" s="1"/>
      <c r="BC100" s="1"/>
      <c r="BE100" s="1"/>
      <c r="BF100" s="1"/>
      <c r="BH100" s="1"/>
      <c r="BI100" s="1"/>
    </row>
    <row r="101" spans="1:61" ht="12.5" x14ac:dyDescent="0.25">
      <c r="A101" s="1" t="s">
        <v>14</v>
      </c>
      <c r="B101" s="111">
        <v>53826</v>
      </c>
      <c r="C101" s="111">
        <v>565187</v>
      </c>
      <c r="D101" s="111">
        <v>92010</v>
      </c>
      <c r="E101" s="111">
        <v>967563</v>
      </c>
      <c r="F101" s="1">
        <v>58.5</v>
      </c>
      <c r="G101" s="1">
        <v>58.41</v>
      </c>
      <c r="H101" s="111">
        <v>28408</v>
      </c>
      <c r="I101" s="111">
        <v>240742</v>
      </c>
      <c r="J101" s="111">
        <v>33226</v>
      </c>
      <c r="K101" s="111">
        <v>281500</v>
      </c>
      <c r="L101" s="1">
        <v>85.5</v>
      </c>
      <c r="M101" s="1">
        <v>85.52</v>
      </c>
      <c r="N101" s="111">
        <v>82234</v>
      </c>
      <c r="O101" s="111">
        <v>805930</v>
      </c>
      <c r="P101" s="111">
        <v>125236</v>
      </c>
      <c r="Q101" s="111">
        <v>1249063</v>
      </c>
      <c r="R101" s="1">
        <v>65.66</v>
      </c>
      <c r="S101" s="1">
        <v>64.52</v>
      </c>
      <c r="U101" s="1">
        <v>73.47</v>
      </c>
      <c r="V101" s="1">
        <v>77.459999999999994</v>
      </c>
      <c r="Y101" s="111">
        <v>-82234</v>
      </c>
      <c r="AB101" s="111">
        <v>-125236</v>
      </c>
      <c r="AS101" s="1"/>
    </row>
    <row r="102" spans="1:61" ht="12.5" x14ac:dyDescent="0.25">
      <c r="A102" s="1" t="s">
        <v>15</v>
      </c>
      <c r="B102" s="111">
        <v>53145</v>
      </c>
      <c r="C102" s="111">
        <v>618332</v>
      </c>
      <c r="D102" s="111">
        <v>90846</v>
      </c>
      <c r="E102" s="111">
        <v>1058409</v>
      </c>
      <c r="F102" s="1">
        <v>58.5</v>
      </c>
      <c r="G102" s="1">
        <v>58.42</v>
      </c>
      <c r="H102" s="111">
        <v>27928</v>
      </c>
      <c r="I102" s="111">
        <v>268670</v>
      </c>
      <c r="J102" s="111">
        <v>32664</v>
      </c>
      <c r="K102" s="111">
        <v>314164</v>
      </c>
      <c r="L102" s="1">
        <v>85.5</v>
      </c>
      <c r="M102" s="1">
        <v>85.52</v>
      </c>
      <c r="N102" s="111">
        <v>81073</v>
      </c>
      <c r="O102" s="111">
        <v>887003</v>
      </c>
      <c r="P102" s="111">
        <v>123510</v>
      </c>
      <c r="Q102" s="111">
        <v>1372573</v>
      </c>
      <c r="R102" s="1">
        <v>65.64</v>
      </c>
      <c r="S102" s="1">
        <v>64.62</v>
      </c>
      <c r="U102" s="1">
        <v>73.55</v>
      </c>
      <c r="V102" s="1">
        <v>77.11</v>
      </c>
      <c r="Y102" s="111">
        <v>-81073</v>
      </c>
      <c r="AB102" s="111">
        <v>-123510</v>
      </c>
      <c r="AS102" s="1"/>
    </row>
    <row r="103" spans="1:61" ht="12.5" x14ac:dyDescent="0.25">
      <c r="I103" s="1"/>
      <c r="J103" s="1"/>
      <c r="P103" s="1"/>
      <c r="AS103" s="1"/>
    </row>
    <row r="104" spans="1:61" ht="12.5" x14ac:dyDescent="0.25">
      <c r="A104" s="1" t="s">
        <v>132</v>
      </c>
      <c r="H104" s="1" t="s">
        <v>159</v>
      </c>
      <c r="J104" s="1"/>
      <c r="K104" s="1"/>
      <c r="L104" s="1"/>
      <c r="N104" s="1" t="s">
        <v>160</v>
      </c>
      <c r="P104" s="1"/>
      <c r="Q104" s="1"/>
      <c r="R104" s="1"/>
      <c r="T104" s="1" t="s">
        <v>133</v>
      </c>
      <c r="Z104" s="1" t="s">
        <v>134</v>
      </c>
      <c r="AF104" s="1" t="s">
        <v>135</v>
      </c>
      <c r="AL104" s="1" t="s">
        <v>173</v>
      </c>
    </row>
    <row r="105" spans="1:61" ht="12.5" x14ac:dyDescent="0.25">
      <c r="A105" s="1" t="s">
        <v>102</v>
      </c>
      <c r="B105" s="1" t="s">
        <v>2</v>
      </c>
      <c r="D105" s="1" t="s">
        <v>3</v>
      </c>
      <c r="F105" s="1" t="s">
        <v>103</v>
      </c>
      <c r="H105" s="1" t="s">
        <v>2</v>
      </c>
      <c r="I105" s="1"/>
      <c r="J105" s="111" t="s">
        <v>3</v>
      </c>
      <c r="K105" s="111"/>
      <c r="L105" s="1" t="s">
        <v>103</v>
      </c>
      <c r="M105" s="1"/>
      <c r="N105" s="1" t="s">
        <v>2</v>
      </c>
      <c r="P105" s="111" t="s">
        <v>3</v>
      </c>
      <c r="Q105" s="111"/>
      <c r="R105" s="1" t="s">
        <v>103</v>
      </c>
      <c r="S105" s="1"/>
      <c r="T105" s="1" t="s">
        <v>2</v>
      </c>
      <c r="V105" s="1" t="s">
        <v>3</v>
      </c>
      <c r="X105" s="1" t="s">
        <v>103</v>
      </c>
      <c r="Z105" s="1" t="s">
        <v>2</v>
      </c>
      <c r="AB105" s="1" t="s">
        <v>3</v>
      </c>
      <c r="AD105" s="1" t="s">
        <v>103</v>
      </c>
      <c r="AF105" s="1" t="s">
        <v>2</v>
      </c>
      <c r="AH105" s="1" t="s">
        <v>3</v>
      </c>
      <c r="AJ105" s="1" t="s">
        <v>103</v>
      </c>
      <c r="AL105" s="1" t="s">
        <v>2</v>
      </c>
      <c r="AN105" s="1" t="s">
        <v>3</v>
      </c>
      <c r="AP105" s="1" t="s">
        <v>103</v>
      </c>
      <c r="AS105" s="1" t="s">
        <v>101</v>
      </c>
      <c r="AU105" s="1" t="s">
        <v>163</v>
      </c>
      <c r="AW105" s="1" t="s">
        <v>164</v>
      </c>
      <c r="AY105" s="1" t="s">
        <v>165</v>
      </c>
      <c r="BE105" s="1" t="s">
        <v>136</v>
      </c>
      <c r="BH105" s="1" t="s">
        <v>137</v>
      </c>
    </row>
    <row r="106" spans="1:61" ht="12.5" x14ac:dyDescent="0.25">
      <c r="B106" s="1" t="s">
        <v>106</v>
      </c>
      <c r="C106" s="1" t="s">
        <v>107</v>
      </c>
      <c r="D106" s="1" t="s">
        <v>106</v>
      </c>
      <c r="E106" s="1" t="s">
        <v>107</v>
      </c>
      <c r="F106" s="1" t="s">
        <v>106</v>
      </c>
      <c r="G106" s="1" t="s">
        <v>107</v>
      </c>
      <c r="H106" s="1" t="s">
        <v>106</v>
      </c>
      <c r="I106" s="1" t="s">
        <v>107</v>
      </c>
      <c r="J106" s="111" t="s">
        <v>106</v>
      </c>
      <c r="K106" s="111" t="s">
        <v>107</v>
      </c>
      <c r="L106" s="1" t="s">
        <v>106</v>
      </c>
      <c r="M106" s="1" t="s">
        <v>107</v>
      </c>
      <c r="N106" s="1" t="s">
        <v>106</v>
      </c>
      <c r="O106" s="1" t="s">
        <v>107</v>
      </c>
      <c r="P106" s="111" t="s">
        <v>106</v>
      </c>
      <c r="Q106" s="111" t="s">
        <v>107</v>
      </c>
      <c r="R106" s="1" t="s">
        <v>106</v>
      </c>
      <c r="S106" s="1" t="s">
        <v>107</v>
      </c>
      <c r="T106" s="1" t="s">
        <v>106</v>
      </c>
      <c r="U106" s="1" t="s">
        <v>107</v>
      </c>
      <c r="V106" s="1" t="s">
        <v>106</v>
      </c>
      <c r="W106" s="1" t="s">
        <v>107</v>
      </c>
      <c r="X106" s="1" t="s">
        <v>106</v>
      </c>
      <c r="Y106" s="1" t="s">
        <v>107</v>
      </c>
      <c r="Z106" s="1" t="s">
        <v>106</v>
      </c>
      <c r="AA106" s="1" t="s">
        <v>107</v>
      </c>
      <c r="AB106" s="1" t="s">
        <v>106</v>
      </c>
      <c r="AC106" s="1" t="s">
        <v>107</v>
      </c>
      <c r="AD106" s="1" t="s">
        <v>106</v>
      </c>
      <c r="AE106" s="1" t="s">
        <v>107</v>
      </c>
      <c r="AF106" s="1" t="s">
        <v>106</v>
      </c>
      <c r="AG106" s="1" t="s">
        <v>107</v>
      </c>
      <c r="AH106" s="1" t="s">
        <v>106</v>
      </c>
      <c r="AI106" s="1" t="s">
        <v>107</v>
      </c>
      <c r="AJ106" s="1" t="s">
        <v>106</v>
      </c>
      <c r="AK106" s="1" t="s">
        <v>107</v>
      </c>
      <c r="AL106" s="1" t="s">
        <v>106</v>
      </c>
      <c r="AM106" s="1" t="s">
        <v>107</v>
      </c>
      <c r="AN106" s="1" t="s">
        <v>106</v>
      </c>
      <c r="AO106" s="1" t="s">
        <v>107</v>
      </c>
      <c r="AP106" s="1" t="s">
        <v>106</v>
      </c>
      <c r="AQ106" s="1" t="s">
        <v>107</v>
      </c>
      <c r="AS106" s="1" t="s">
        <v>106</v>
      </c>
      <c r="AT106" s="1" t="s">
        <v>107</v>
      </c>
      <c r="AU106" s="1" t="s">
        <v>106</v>
      </c>
      <c r="AV106" s="1" t="s">
        <v>107</v>
      </c>
      <c r="AW106" s="1" t="s">
        <v>106</v>
      </c>
      <c r="AX106" s="1" t="s">
        <v>107</v>
      </c>
      <c r="AY106" s="1" t="s">
        <v>106</v>
      </c>
      <c r="AZ106" s="1" t="s">
        <v>107</v>
      </c>
      <c r="BB106" s="1" t="s">
        <v>106</v>
      </c>
      <c r="BC106" s="1" t="s">
        <v>107</v>
      </c>
      <c r="BE106" s="1" t="s">
        <v>106</v>
      </c>
      <c r="BF106" s="1" t="s">
        <v>107</v>
      </c>
    </row>
    <row r="107" spans="1:61" ht="12.5" x14ac:dyDescent="0.25">
      <c r="A107" s="1" t="s">
        <v>4</v>
      </c>
      <c r="B107" s="111">
        <v>568727</v>
      </c>
      <c r="C107" s="111">
        <v>568727</v>
      </c>
      <c r="D107" s="111">
        <v>817151</v>
      </c>
      <c r="E107" s="111">
        <v>817151</v>
      </c>
      <c r="F107" s="1">
        <v>69.599999999999994</v>
      </c>
      <c r="G107" s="1">
        <v>69.599999999999994</v>
      </c>
      <c r="H107" s="111">
        <v>225169</v>
      </c>
      <c r="I107" s="111">
        <v>225169</v>
      </c>
      <c r="J107" s="111">
        <v>254058</v>
      </c>
      <c r="K107" s="111">
        <v>254058</v>
      </c>
      <c r="L107" s="1">
        <v>88.63</v>
      </c>
      <c r="M107" s="1">
        <v>88.63</v>
      </c>
      <c r="N107" s="111">
        <v>343557</v>
      </c>
      <c r="O107" s="111">
        <v>343557</v>
      </c>
      <c r="P107" s="111">
        <v>563093</v>
      </c>
      <c r="Q107" s="111">
        <v>563093</v>
      </c>
      <c r="R107" s="1">
        <v>61.01</v>
      </c>
      <c r="S107" s="1">
        <v>61.01</v>
      </c>
      <c r="T107" s="111">
        <v>303548</v>
      </c>
      <c r="U107" s="111">
        <v>303548</v>
      </c>
      <c r="V107" s="111">
        <v>515218</v>
      </c>
      <c r="W107" s="111">
        <v>515218</v>
      </c>
      <c r="X107" s="1">
        <v>58.92</v>
      </c>
      <c r="Y107" s="1">
        <v>58.92</v>
      </c>
      <c r="Z107" s="111">
        <v>265179</v>
      </c>
      <c r="AA107" s="111">
        <v>265179</v>
      </c>
      <c r="AB107" s="111">
        <v>301933</v>
      </c>
      <c r="AC107" s="111">
        <v>301933</v>
      </c>
      <c r="AD107" s="1">
        <v>87.83</v>
      </c>
      <c r="AE107" s="1">
        <v>87.83</v>
      </c>
      <c r="AF107" s="111">
        <v>332643</v>
      </c>
      <c r="AG107" s="111">
        <v>332643</v>
      </c>
      <c r="AH107" s="111">
        <v>548090</v>
      </c>
      <c r="AI107" s="111">
        <v>548090</v>
      </c>
      <c r="AJ107" s="1">
        <v>60.69</v>
      </c>
      <c r="AK107" s="1">
        <v>60.69</v>
      </c>
      <c r="AL107" s="111">
        <v>343557</v>
      </c>
      <c r="AM107" s="111">
        <v>343557</v>
      </c>
      <c r="AN107" s="111">
        <v>563093</v>
      </c>
      <c r="AO107" s="111">
        <v>563093</v>
      </c>
      <c r="AP107" s="1">
        <v>61.01</v>
      </c>
      <c r="AQ107" s="1">
        <v>61.01</v>
      </c>
      <c r="AR107" s="113">
        <v>45682</v>
      </c>
      <c r="AS107" s="1">
        <v>68.91</v>
      </c>
      <c r="AT107" s="1">
        <v>68.91</v>
      </c>
      <c r="AU107" s="1">
        <v>31.09</v>
      </c>
      <c r="AV107" s="1">
        <v>31.09</v>
      </c>
      <c r="AW107" s="1">
        <v>36.950000000000003</v>
      </c>
      <c r="AX107" s="1">
        <v>36.950000000000003</v>
      </c>
      <c r="AY107" s="1">
        <v>63.05</v>
      </c>
      <c r="AZ107" s="1">
        <v>63.05</v>
      </c>
      <c r="BB107" s="1">
        <v>70</v>
      </c>
      <c r="BC107" s="1">
        <v>70</v>
      </c>
      <c r="BE107" s="1" t="s">
        <v>65</v>
      </c>
      <c r="BF107" s="1" t="s">
        <v>65</v>
      </c>
      <c r="BH107" s="1">
        <v>0</v>
      </c>
      <c r="BI107" s="1">
        <v>0</v>
      </c>
    </row>
    <row r="108" spans="1:61" ht="12.5" x14ac:dyDescent="0.25">
      <c r="A108" s="1" t="s">
        <v>5</v>
      </c>
      <c r="B108" s="111">
        <v>533949</v>
      </c>
      <c r="C108" s="111">
        <v>1102675</v>
      </c>
      <c r="D108" s="111">
        <v>764254</v>
      </c>
      <c r="E108" s="111">
        <v>1581405</v>
      </c>
      <c r="F108" s="1">
        <v>69.87</v>
      </c>
      <c r="G108" s="1">
        <v>69.73</v>
      </c>
      <c r="H108" s="111">
        <v>214849</v>
      </c>
      <c r="I108" s="111">
        <v>440018</v>
      </c>
      <c r="J108" s="111">
        <v>242823</v>
      </c>
      <c r="K108" s="111">
        <v>496880</v>
      </c>
      <c r="L108" s="1">
        <v>88.48</v>
      </c>
      <c r="M108" s="1">
        <v>88.56</v>
      </c>
      <c r="N108" s="111">
        <v>319100</v>
      </c>
      <c r="O108" s="111">
        <v>662657</v>
      </c>
      <c r="P108" s="111">
        <v>521432</v>
      </c>
      <c r="Q108" s="111">
        <v>1084525</v>
      </c>
      <c r="R108" s="1">
        <v>61.2</v>
      </c>
      <c r="S108" s="1">
        <v>61.1</v>
      </c>
      <c r="T108" s="111">
        <v>267471</v>
      </c>
      <c r="U108" s="111">
        <v>571019</v>
      </c>
      <c r="V108" s="111">
        <v>460549</v>
      </c>
      <c r="W108" s="111">
        <v>975767</v>
      </c>
      <c r="X108" s="1">
        <v>58.08</v>
      </c>
      <c r="Y108" s="1">
        <v>58.52</v>
      </c>
      <c r="Z108" s="111">
        <v>266478</v>
      </c>
      <c r="AA108" s="111">
        <v>531656</v>
      </c>
      <c r="AB108" s="111">
        <v>303706</v>
      </c>
      <c r="AC108" s="111">
        <v>605639</v>
      </c>
      <c r="AD108" s="1">
        <v>87.74</v>
      </c>
      <c r="AE108" s="1">
        <v>87.78</v>
      </c>
      <c r="AF108" s="111">
        <v>300401</v>
      </c>
      <c r="AG108" s="111">
        <v>633044</v>
      </c>
      <c r="AH108" s="111">
        <v>496189</v>
      </c>
      <c r="AI108" s="111">
        <v>1044279</v>
      </c>
      <c r="AJ108" s="1">
        <v>60.54</v>
      </c>
      <c r="AK108" s="1">
        <v>60.62</v>
      </c>
      <c r="AL108" s="111">
        <v>319100</v>
      </c>
      <c r="AM108" s="111">
        <v>662657</v>
      </c>
      <c r="AN108" s="111">
        <v>521432</v>
      </c>
      <c r="AO108" s="111">
        <v>1084525</v>
      </c>
      <c r="AP108" s="1">
        <v>61.2</v>
      </c>
      <c r="AQ108" s="1">
        <v>61.1</v>
      </c>
      <c r="AR108" s="113">
        <v>45713</v>
      </c>
      <c r="AS108" s="1">
        <v>68.23</v>
      </c>
      <c r="AT108" s="1">
        <v>68.58</v>
      </c>
      <c r="AU108" s="1">
        <v>31.77</v>
      </c>
      <c r="AV108" s="1">
        <v>31.42</v>
      </c>
      <c r="AW108" s="1">
        <v>39.74</v>
      </c>
      <c r="AX108" s="1">
        <v>38.299999999999997</v>
      </c>
      <c r="AY108" s="1">
        <v>60.26</v>
      </c>
      <c r="AZ108" s="1">
        <v>61.7</v>
      </c>
      <c r="BC108" s="1">
        <v>70</v>
      </c>
      <c r="BE108" s="1" t="e">
        <v>#VALUE!</v>
      </c>
      <c r="BF108" s="1">
        <v>0</v>
      </c>
      <c r="BH108" s="1">
        <v>0</v>
      </c>
      <c r="BI108" s="1">
        <v>0</v>
      </c>
    </row>
    <row r="109" spans="1:61" ht="12.5" x14ac:dyDescent="0.25">
      <c r="A109" s="1" t="s">
        <v>6</v>
      </c>
      <c r="B109" s="111">
        <v>454549</v>
      </c>
      <c r="C109" s="111">
        <v>1557224</v>
      </c>
      <c r="D109" s="111">
        <v>638839</v>
      </c>
      <c r="E109" s="111">
        <v>2220244</v>
      </c>
      <c r="F109" s="1">
        <v>71.150000000000006</v>
      </c>
      <c r="G109" s="1">
        <v>70.14</v>
      </c>
      <c r="H109" s="111">
        <v>214928</v>
      </c>
      <c r="I109" s="111">
        <v>654947</v>
      </c>
      <c r="J109" s="111">
        <v>242276</v>
      </c>
      <c r="K109" s="111">
        <v>739156</v>
      </c>
      <c r="L109" s="1">
        <v>88.71</v>
      </c>
      <c r="M109" s="1">
        <v>88.61</v>
      </c>
      <c r="N109" s="111">
        <v>239620</v>
      </c>
      <c r="O109" s="111">
        <v>902277</v>
      </c>
      <c r="P109" s="111">
        <v>396563</v>
      </c>
      <c r="Q109" s="111">
        <v>1481088</v>
      </c>
      <c r="R109" s="1">
        <v>60.42</v>
      </c>
      <c r="S109" s="1">
        <v>60.92</v>
      </c>
      <c r="T109" s="111">
        <v>217543</v>
      </c>
      <c r="U109" s="111">
        <v>788561</v>
      </c>
      <c r="V109" s="111">
        <v>369624</v>
      </c>
      <c r="W109" s="111">
        <v>1345390</v>
      </c>
      <c r="X109" s="1">
        <v>58.86</v>
      </c>
      <c r="Y109" s="1">
        <v>58.61</v>
      </c>
      <c r="Z109" s="111">
        <v>237006</v>
      </c>
      <c r="AA109" s="111">
        <v>768663</v>
      </c>
      <c r="AB109" s="111">
        <v>269215</v>
      </c>
      <c r="AC109" s="111">
        <v>874854</v>
      </c>
      <c r="AD109" s="1">
        <v>88.04</v>
      </c>
      <c r="AE109" s="1">
        <v>87.86</v>
      </c>
      <c r="AF109" s="111">
        <v>230025</v>
      </c>
      <c r="AG109" s="111">
        <v>863069</v>
      </c>
      <c r="AH109" s="111">
        <v>383368</v>
      </c>
      <c r="AI109" s="111">
        <v>1427647</v>
      </c>
      <c r="AJ109" s="1">
        <v>60</v>
      </c>
      <c r="AK109" s="1">
        <v>60.45</v>
      </c>
      <c r="AL109" s="111">
        <v>239620</v>
      </c>
      <c r="AM109" s="111">
        <v>902277</v>
      </c>
      <c r="AN109" s="111">
        <v>396563</v>
      </c>
      <c r="AO109" s="111">
        <v>1481088</v>
      </c>
      <c r="AP109" s="1">
        <v>60.42</v>
      </c>
      <c r="AQ109" s="1">
        <v>60.92</v>
      </c>
      <c r="AR109" s="113">
        <v>45741</v>
      </c>
      <c r="AS109" s="1">
        <v>62.08</v>
      </c>
      <c r="AT109" s="1">
        <v>66.709999999999994</v>
      </c>
      <c r="AU109" s="1">
        <v>37.92</v>
      </c>
      <c r="AV109" s="1">
        <v>33.29</v>
      </c>
      <c r="AW109" s="1">
        <v>42.14</v>
      </c>
      <c r="AX109" s="1">
        <v>39.4</v>
      </c>
      <c r="AY109" s="1">
        <v>57.86</v>
      </c>
      <c r="AZ109" s="1">
        <v>60.6</v>
      </c>
      <c r="BC109" s="1">
        <v>70</v>
      </c>
      <c r="BE109" s="1" t="e">
        <v>#VALUE!</v>
      </c>
      <c r="BF109" s="1">
        <v>0</v>
      </c>
      <c r="BH109" s="1">
        <v>0</v>
      </c>
      <c r="BI109" s="1">
        <v>0</v>
      </c>
    </row>
    <row r="110" spans="1:61" ht="12.5" x14ac:dyDescent="0.25">
      <c r="A110" s="1" t="s">
        <v>7</v>
      </c>
      <c r="B110" s="111">
        <v>446407</v>
      </c>
      <c r="C110" s="111">
        <v>2003631</v>
      </c>
      <c r="D110" s="111">
        <v>640699</v>
      </c>
      <c r="E110" s="111">
        <v>2860943</v>
      </c>
      <c r="F110" s="1">
        <v>69.680000000000007</v>
      </c>
      <c r="G110" s="1">
        <v>70.03</v>
      </c>
      <c r="H110" s="111">
        <v>178220</v>
      </c>
      <c r="I110" s="111">
        <v>833167</v>
      </c>
      <c r="J110" s="111">
        <v>202010</v>
      </c>
      <c r="K110" s="111">
        <v>941166</v>
      </c>
      <c r="L110" s="1">
        <v>88.22</v>
      </c>
      <c r="M110" s="1">
        <v>88.52</v>
      </c>
      <c r="N110" s="111">
        <v>268187</v>
      </c>
      <c r="O110" s="111">
        <v>1170464</v>
      </c>
      <c r="P110" s="111">
        <v>438688</v>
      </c>
      <c r="Q110" s="111">
        <v>1919776</v>
      </c>
      <c r="R110" s="1">
        <v>61.13</v>
      </c>
      <c r="S110" s="1">
        <v>60.97</v>
      </c>
      <c r="T110" s="111">
        <v>235431</v>
      </c>
      <c r="U110" s="111">
        <v>1023993</v>
      </c>
      <c r="V110" s="111">
        <v>400346</v>
      </c>
      <c r="W110" s="111">
        <v>1745736</v>
      </c>
      <c r="X110" s="1">
        <v>58.81</v>
      </c>
      <c r="Y110" s="1">
        <v>58.66</v>
      </c>
      <c r="Z110" s="111">
        <v>210976</v>
      </c>
      <c r="AA110" s="111">
        <v>979639</v>
      </c>
      <c r="AB110" s="111">
        <v>240353</v>
      </c>
      <c r="AC110" s="111">
        <v>1115207</v>
      </c>
      <c r="AD110" s="1">
        <v>87.78</v>
      </c>
      <c r="AE110" s="1">
        <v>87.84</v>
      </c>
      <c r="AF110" s="111">
        <v>259279</v>
      </c>
      <c r="AG110" s="111">
        <v>1122348</v>
      </c>
      <c r="AH110" s="111">
        <v>426867</v>
      </c>
      <c r="AI110" s="111">
        <v>1854514</v>
      </c>
      <c r="AJ110" s="1">
        <v>60.74</v>
      </c>
      <c r="AK110" s="1">
        <v>60.52</v>
      </c>
      <c r="AL110" s="111">
        <v>268187</v>
      </c>
      <c r="AM110" s="111">
        <v>1170464</v>
      </c>
      <c r="AN110" s="111">
        <v>438688</v>
      </c>
      <c r="AO110" s="111">
        <v>1919776</v>
      </c>
      <c r="AP110" s="1">
        <v>61.13</v>
      </c>
      <c r="AQ110" s="1">
        <v>60.97</v>
      </c>
      <c r="AR110" s="113">
        <v>45772</v>
      </c>
      <c r="AS110" s="1">
        <v>68.47</v>
      </c>
      <c r="AT110" s="1">
        <v>67.099999999999994</v>
      </c>
      <c r="AU110" s="1">
        <v>31.53</v>
      </c>
      <c r="AV110" s="1">
        <v>32.9</v>
      </c>
      <c r="AW110" s="1">
        <v>37.51</v>
      </c>
      <c r="AX110" s="1">
        <v>38.979999999999997</v>
      </c>
      <c r="AY110" s="1">
        <v>62.49</v>
      </c>
      <c r="AZ110" s="1">
        <v>61.02</v>
      </c>
      <c r="BC110" s="1">
        <v>70</v>
      </c>
      <c r="BE110" s="1" t="e">
        <v>#VALUE!</v>
      </c>
      <c r="BF110" s="1">
        <v>0</v>
      </c>
      <c r="BH110" s="1">
        <v>0</v>
      </c>
      <c r="BI110" s="1">
        <v>0</v>
      </c>
    </row>
    <row r="111" spans="1:61" ht="12.5" x14ac:dyDescent="0.25">
      <c r="A111" s="1" t="s">
        <v>8</v>
      </c>
      <c r="B111" s="111">
        <v>642154</v>
      </c>
      <c r="C111" s="111">
        <v>2645785</v>
      </c>
      <c r="D111" s="111">
        <v>916780</v>
      </c>
      <c r="E111" s="111">
        <v>3777723</v>
      </c>
      <c r="F111" s="1">
        <v>70.040000000000006</v>
      </c>
      <c r="G111" s="1">
        <v>70.040000000000006</v>
      </c>
      <c r="H111" s="111">
        <v>271604</v>
      </c>
      <c r="I111" s="111">
        <v>1104771</v>
      </c>
      <c r="J111" s="111">
        <v>310408</v>
      </c>
      <c r="K111" s="111">
        <v>1251574</v>
      </c>
      <c r="L111" s="1">
        <v>87.5</v>
      </c>
      <c r="M111" s="1">
        <v>88.27</v>
      </c>
      <c r="N111" s="111">
        <v>370550</v>
      </c>
      <c r="O111" s="111">
        <v>1541014</v>
      </c>
      <c r="P111" s="111">
        <v>606372</v>
      </c>
      <c r="Q111" s="111">
        <v>2526148</v>
      </c>
      <c r="R111" s="1">
        <v>61.11</v>
      </c>
      <c r="S111" s="1">
        <v>61</v>
      </c>
      <c r="T111" s="111">
        <v>339048</v>
      </c>
      <c r="U111" s="111">
        <v>1363041</v>
      </c>
      <c r="V111" s="111">
        <v>568732</v>
      </c>
      <c r="W111" s="111">
        <v>2314468</v>
      </c>
      <c r="X111" s="1">
        <v>59.61</v>
      </c>
      <c r="Y111" s="1">
        <v>58.89</v>
      </c>
      <c r="Z111" s="111">
        <v>303106</v>
      </c>
      <c r="AA111" s="111">
        <v>1282744</v>
      </c>
      <c r="AB111" s="111">
        <v>348048</v>
      </c>
      <c r="AC111" s="111">
        <v>1463255</v>
      </c>
      <c r="AD111" s="1">
        <v>87.09</v>
      </c>
      <c r="AE111" s="1">
        <v>87.66</v>
      </c>
      <c r="AF111" s="111">
        <v>362796</v>
      </c>
      <c r="AG111" s="111">
        <v>1485144</v>
      </c>
      <c r="AH111" s="111">
        <v>595652</v>
      </c>
      <c r="AI111" s="111">
        <v>2450166</v>
      </c>
      <c r="AJ111" s="1">
        <v>60.91</v>
      </c>
      <c r="AK111" s="1">
        <v>60.61</v>
      </c>
      <c r="AL111" s="111">
        <v>370550</v>
      </c>
      <c r="AM111" s="111">
        <v>1541014</v>
      </c>
      <c r="AN111" s="111">
        <v>606372</v>
      </c>
      <c r="AO111" s="111">
        <v>2526148</v>
      </c>
      <c r="AP111" s="1">
        <v>61.11</v>
      </c>
      <c r="AQ111" s="1">
        <v>61</v>
      </c>
      <c r="AR111" s="114">
        <v>45802</v>
      </c>
      <c r="AS111" s="1">
        <v>66.14</v>
      </c>
      <c r="AT111" s="1">
        <v>66.87</v>
      </c>
      <c r="AU111" s="1">
        <v>33.86</v>
      </c>
      <c r="AV111" s="1">
        <v>33.130000000000003</v>
      </c>
      <c r="AW111" s="1">
        <v>37.96</v>
      </c>
      <c r="AX111" s="1">
        <v>38.729999999999997</v>
      </c>
      <c r="AY111" s="1">
        <v>62.04</v>
      </c>
      <c r="AZ111" s="1">
        <v>61.27</v>
      </c>
      <c r="BC111" s="1">
        <v>70</v>
      </c>
      <c r="BE111" s="1" t="e">
        <v>#VALUE!</v>
      </c>
      <c r="BF111" s="1">
        <v>0</v>
      </c>
      <c r="BH111" s="1">
        <v>0</v>
      </c>
      <c r="BI111" s="1">
        <v>0</v>
      </c>
    </row>
    <row r="112" spans="1:61" ht="12.5" x14ac:dyDescent="0.25">
      <c r="A112" s="1" t="s">
        <v>9</v>
      </c>
      <c r="B112" s="111">
        <v>652315</v>
      </c>
      <c r="C112" s="111">
        <v>3298100</v>
      </c>
      <c r="D112" s="111">
        <v>963106</v>
      </c>
      <c r="E112" s="111">
        <v>4740829</v>
      </c>
      <c r="F112" s="1">
        <v>67.73</v>
      </c>
      <c r="G112" s="1">
        <v>69.569999999999993</v>
      </c>
      <c r="H112" s="111">
        <v>250044</v>
      </c>
      <c r="I112" s="111">
        <v>1354814</v>
      </c>
      <c r="J112" s="111">
        <v>281935</v>
      </c>
      <c r="K112" s="111">
        <v>1533509</v>
      </c>
      <c r="L112" s="1">
        <v>88.69</v>
      </c>
      <c r="M112" s="1">
        <v>88.35</v>
      </c>
      <c r="N112" s="111">
        <v>402271</v>
      </c>
      <c r="O112" s="111">
        <v>1943285</v>
      </c>
      <c r="P112" s="111">
        <v>681171</v>
      </c>
      <c r="Q112" s="111">
        <v>3207319</v>
      </c>
      <c r="R112" s="1">
        <v>59.06</v>
      </c>
      <c r="S112" s="1">
        <v>60.59</v>
      </c>
      <c r="T112" s="111">
        <v>353298</v>
      </c>
      <c r="U112" s="111">
        <v>1716339</v>
      </c>
      <c r="V112" s="111">
        <v>603608</v>
      </c>
      <c r="W112" s="111">
        <v>2918077</v>
      </c>
      <c r="X112" s="1">
        <v>58.53</v>
      </c>
      <c r="Y112" s="1">
        <v>58.82</v>
      </c>
      <c r="Z112" s="111">
        <v>299017</v>
      </c>
      <c r="AA112" s="111">
        <v>1581761</v>
      </c>
      <c r="AB112" s="111">
        <v>359497</v>
      </c>
      <c r="AC112" s="111">
        <v>1822752</v>
      </c>
      <c r="AD112" s="1">
        <v>83.18</v>
      </c>
      <c r="AE112" s="1">
        <v>86.78</v>
      </c>
      <c r="AF112" s="111">
        <v>381271</v>
      </c>
      <c r="AG112" s="111">
        <v>1866415</v>
      </c>
      <c r="AH112" s="111">
        <v>651171</v>
      </c>
      <c r="AI112" s="111">
        <v>3101337</v>
      </c>
      <c r="AJ112" s="1">
        <v>58.55</v>
      </c>
      <c r="AK112" s="1">
        <v>60.18</v>
      </c>
      <c r="AL112" s="111">
        <v>402271</v>
      </c>
      <c r="AM112" s="111">
        <v>1943285</v>
      </c>
      <c r="AN112" s="111">
        <v>681171</v>
      </c>
      <c r="AO112" s="111">
        <v>3207319</v>
      </c>
      <c r="AP112" s="1">
        <v>59.06</v>
      </c>
      <c r="AQ112" s="1">
        <v>60.59</v>
      </c>
      <c r="AR112" s="113">
        <v>45833</v>
      </c>
      <c r="AS112" s="1">
        <v>70.73</v>
      </c>
      <c r="AT112" s="1">
        <v>67.650000000000006</v>
      </c>
      <c r="AU112" s="1">
        <v>29.27</v>
      </c>
      <c r="AV112" s="1">
        <v>32.35</v>
      </c>
      <c r="AW112" s="1">
        <v>37.33</v>
      </c>
      <c r="AX112" s="1">
        <v>38.450000000000003</v>
      </c>
      <c r="AY112" s="1">
        <v>62.67</v>
      </c>
      <c r="AZ112" s="1">
        <v>61.55</v>
      </c>
      <c r="BC112" s="1">
        <v>70</v>
      </c>
      <c r="BE112" s="1" t="e">
        <v>#VALUE!</v>
      </c>
      <c r="BF112" s="1">
        <v>0</v>
      </c>
      <c r="BH112" s="1">
        <v>0</v>
      </c>
      <c r="BI112" s="1">
        <v>0</v>
      </c>
    </row>
    <row r="113" spans="1:61" ht="12.5" x14ac:dyDescent="0.25">
      <c r="A113" s="1" t="s">
        <v>10</v>
      </c>
      <c r="B113" s="111">
        <v>688483</v>
      </c>
      <c r="C113" s="111">
        <v>3986583</v>
      </c>
      <c r="D113" s="111">
        <v>1017502</v>
      </c>
      <c r="E113" s="111">
        <v>5758330</v>
      </c>
      <c r="F113" s="1">
        <v>67.66</v>
      </c>
      <c r="G113" s="1">
        <v>69.23</v>
      </c>
      <c r="H113" s="111">
        <v>260124</v>
      </c>
      <c r="I113" s="111">
        <v>1614939</v>
      </c>
      <c r="J113" s="111">
        <v>293149</v>
      </c>
      <c r="K113" s="111">
        <v>1826658</v>
      </c>
      <c r="L113" s="1">
        <v>88.73</v>
      </c>
      <c r="M113" s="1">
        <v>88.41</v>
      </c>
      <c r="N113" s="111">
        <v>428359</v>
      </c>
      <c r="O113" s="111">
        <v>2371644</v>
      </c>
      <c r="P113" s="111">
        <v>724353</v>
      </c>
      <c r="Q113" s="111">
        <v>3931672</v>
      </c>
      <c r="R113" s="1">
        <v>59.14</v>
      </c>
      <c r="S113" s="1">
        <v>60.32</v>
      </c>
      <c r="T113" s="111">
        <v>402801</v>
      </c>
      <c r="U113" s="111">
        <v>2119140</v>
      </c>
      <c r="V113" s="111">
        <v>688297</v>
      </c>
      <c r="W113" s="111">
        <v>3606374</v>
      </c>
      <c r="X113" s="1">
        <v>58.52</v>
      </c>
      <c r="Y113" s="1">
        <v>58.76</v>
      </c>
      <c r="Z113" s="111">
        <v>285683</v>
      </c>
      <c r="AA113" s="111">
        <v>1867443</v>
      </c>
      <c r="AB113" s="111">
        <v>329205</v>
      </c>
      <c r="AC113" s="111">
        <v>2151957</v>
      </c>
      <c r="AD113" s="1">
        <v>86.78</v>
      </c>
      <c r="AE113" s="1">
        <v>86.78</v>
      </c>
      <c r="AF113" s="111">
        <v>404559</v>
      </c>
      <c r="AG113" s="111">
        <v>2270974</v>
      </c>
      <c r="AH113" s="111">
        <v>690353</v>
      </c>
      <c r="AI113" s="111">
        <v>3791690</v>
      </c>
      <c r="AJ113" s="1">
        <v>58.6</v>
      </c>
      <c r="AK113" s="1">
        <v>59.89</v>
      </c>
      <c r="AL113" s="111">
        <v>428359</v>
      </c>
      <c r="AM113" s="111">
        <v>2371644</v>
      </c>
      <c r="AN113" s="111">
        <v>724353</v>
      </c>
      <c r="AO113" s="111">
        <v>3931672</v>
      </c>
      <c r="AP113" s="1">
        <v>59.14</v>
      </c>
      <c r="AQ113" s="1">
        <v>60.32</v>
      </c>
      <c r="AR113" s="113">
        <v>45863</v>
      </c>
      <c r="AS113" s="1">
        <v>71.19</v>
      </c>
      <c r="AT113" s="1">
        <v>68.28</v>
      </c>
      <c r="AU113" s="1">
        <v>28.81</v>
      </c>
      <c r="AV113" s="1">
        <v>31.72</v>
      </c>
      <c r="AW113" s="1">
        <v>32.35</v>
      </c>
      <c r="AX113" s="1">
        <v>37.369999999999997</v>
      </c>
      <c r="AY113" s="1">
        <v>67.650000000000006</v>
      </c>
      <c r="AZ113" s="1">
        <v>62.63</v>
      </c>
      <c r="BC113" s="1">
        <v>70</v>
      </c>
      <c r="BE113" s="1" t="e">
        <v>#VALUE!</v>
      </c>
      <c r="BF113" s="1">
        <v>0</v>
      </c>
      <c r="BH113" s="1">
        <v>0</v>
      </c>
      <c r="BI113" s="1">
        <v>0</v>
      </c>
    </row>
    <row r="114" spans="1:61" ht="12.5" x14ac:dyDescent="0.25">
      <c r="A114" s="1" t="s">
        <v>11</v>
      </c>
      <c r="B114" s="111">
        <v>653832</v>
      </c>
      <c r="C114" s="111">
        <v>4640415</v>
      </c>
      <c r="D114" s="111">
        <v>960015</v>
      </c>
      <c r="E114" s="111">
        <v>6718345</v>
      </c>
      <c r="F114" s="1">
        <v>68.11</v>
      </c>
      <c r="G114" s="1">
        <v>69.069999999999993</v>
      </c>
      <c r="H114" s="111">
        <v>264302</v>
      </c>
      <c r="I114" s="111">
        <v>1879241</v>
      </c>
      <c r="J114" s="111">
        <v>298046</v>
      </c>
      <c r="K114" s="111">
        <v>2124704</v>
      </c>
      <c r="L114" s="1">
        <v>88.68</v>
      </c>
      <c r="M114" s="1">
        <v>88.45</v>
      </c>
      <c r="N114" s="111">
        <v>389529</v>
      </c>
      <c r="O114" s="111">
        <v>2761174</v>
      </c>
      <c r="P114" s="111">
        <v>661969</v>
      </c>
      <c r="Q114" s="111">
        <v>4593642</v>
      </c>
      <c r="R114" s="1">
        <v>58.84</v>
      </c>
      <c r="S114" s="1">
        <v>60.11</v>
      </c>
      <c r="T114" s="111">
        <v>375717</v>
      </c>
      <c r="U114" s="111">
        <v>2494857</v>
      </c>
      <c r="V114" s="111">
        <v>642605</v>
      </c>
      <c r="W114" s="111">
        <v>4248978</v>
      </c>
      <c r="X114" s="1">
        <v>58.47</v>
      </c>
      <c r="Y114" s="1">
        <v>58.72</v>
      </c>
      <c r="Z114" s="111">
        <v>278115</v>
      </c>
      <c r="AA114" s="111">
        <v>2145558</v>
      </c>
      <c r="AB114" s="111">
        <v>317411</v>
      </c>
      <c r="AC114" s="111">
        <v>2469367</v>
      </c>
      <c r="AD114" s="1">
        <v>87.62</v>
      </c>
      <c r="AE114" s="1">
        <v>86.89</v>
      </c>
      <c r="AF114" s="111">
        <v>376929</v>
      </c>
      <c r="AG114" s="111">
        <v>2647904</v>
      </c>
      <c r="AH114" s="111">
        <v>643969</v>
      </c>
      <c r="AI114" s="111">
        <v>4435660</v>
      </c>
      <c r="AJ114" s="1">
        <v>58.53</v>
      </c>
      <c r="AK114" s="1">
        <v>59.7</v>
      </c>
      <c r="AL114" s="111">
        <v>389529</v>
      </c>
      <c r="AM114" s="111">
        <v>2761174</v>
      </c>
      <c r="AN114" s="111">
        <v>661969</v>
      </c>
      <c r="AO114" s="111">
        <v>4593642</v>
      </c>
      <c r="AP114" s="1">
        <v>58.84</v>
      </c>
      <c r="AQ114" s="1">
        <v>60.11</v>
      </c>
      <c r="AR114" s="113">
        <v>45894</v>
      </c>
      <c r="AS114" s="1">
        <v>68.95</v>
      </c>
      <c r="AT114" s="1">
        <v>68.37</v>
      </c>
      <c r="AU114" s="1">
        <v>31.05</v>
      </c>
      <c r="AV114" s="1">
        <v>31.63</v>
      </c>
      <c r="AW114" s="1">
        <v>33.06</v>
      </c>
      <c r="AX114" s="1">
        <v>36.76</v>
      </c>
      <c r="AY114" s="1">
        <v>66.94</v>
      </c>
      <c r="AZ114" s="1">
        <v>63.24</v>
      </c>
      <c r="BC114" s="1">
        <v>70</v>
      </c>
      <c r="BE114" s="1" t="e">
        <v>#VALUE!</v>
      </c>
      <c r="BF114" s="1">
        <v>0</v>
      </c>
      <c r="BH114" s="1">
        <v>0</v>
      </c>
      <c r="BI114" s="1">
        <v>0</v>
      </c>
    </row>
    <row r="115" spans="1:61" ht="12.5" x14ac:dyDescent="0.25">
      <c r="A115" s="1" t="s">
        <v>12</v>
      </c>
      <c r="B115" s="111">
        <v>685859</v>
      </c>
      <c r="C115" s="111">
        <v>5326273</v>
      </c>
      <c r="D115" s="111">
        <v>997477</v>
      </c>
      <c r="E115" s="111">
        <v>7715823</v>
      </c>
      <c r="F115" s="1">
        <v>68.760000000000005</v>
      </c>
      <c r="G115" s="1">
        <v>69.03</v>
      </c>
      <c r="H115" s="111">
        <v>285254</v>
      </c>
      <c r="I115" s="111">
        <v>2164495</v>
      </c>
      <c r="J115" s="111">
        <v>318951</v>
      </c>
      <c r="K115" s="111">
        <v>2443655</v>
      </c>
      <c r="L115" s="1">
        <v>89.44</v>
      </c>
      <c r="M115" s="1">
        <v>88.58</v>
      </c>
      <c r="N115" s="111">
        <v>400605</v>
      </c>
      <c r="O115" s="111">
        <v>3161778</v>
      </c>
      <c r="P115" s="111">
        <v>678526</v>
      </c>
      <c r="Q115" s="111">
        <v>5272168</v>
      </c>
      <c r="R115" s="1">
        <v>59.04</v>
      </c>
      <c r="S115" s="1">
        <v>59.97</v>
      </c>
      <c r="T115" s="111">
        <v>383664</v>
      </c>
      <c r="U115" s="111">
        <v>2878521</v>
      </c>
      <c r="V115" s="111">
        <v>656332</v>
      </c>
      <c r="W115" s="111">
        <v>4905310</v>
      </c>
      <c r="X115" s="1">
        <v>58.46</v>
      </c>
      <c r="Y115" s="1">
        <v>58.68</v>
      </c>
      <c r="Z115" s="111">
        <v>302194</v>
      </c>
      <c r="AA115" s="111">
        <v>2447752</v>
      </c>
      <c r="AB115" s="111">
        <v>341145</v>
      </c>
      <c r="AC115" s="111">
        <v>2810512</v>
      </c>
      <c r="AD115" s="1">
        <v>88.58</v>
      </c>
      <c r="AE115" s="1">
        <v>87.09</v>
      </c>
      <c r="AF115" s="111">
        <v>389405</v>
      </c>
      <c r="AG115" s="111">
        <v>3037308</v>
      </c>
      <c r="AH115" s="111">
        <v>662526</v>
      </c>
      <c r="AI115" s="111">
        <v>5098186</v>
      </c>
      <c r="AJ115" s="1">
        <v>58.78</v>
      </c>
      <c r="AK115" s="1">
        <v>59.58</v>
      </c>
      <c r="AL115" s="111">
        <v>400605</v>
      </c>
      <c r="AM115" s="111">
        <v>3161778</v>
      </c>
      <c r="AN115" s="111">
        <v>678526</v>
      </c>
      <c r="AO115" s="111">
        <v>5272168</v>
      </c>
      <c r="AP115" s="1">
        <v>59.04</v>
      </c>
      <c r="AQ115" s="1">
        <v>59.97</v>
      </c>
      <c r="AR115" s="113">
        <v>45925</v>
      </c>
      <c r="AS115" s="1">
        <v>68.02</v>
      </c>
      <c r="AT115" s="1">
        <v>68.33</v>
      </c>
      <c r="AU115" s="1">
        <v>31.98</v>
      </c>
      <c r="AV115" s="1">
        <v>31.67</v>
      </c>
      <c r="AW115" s="1">
        <v>34.200000000000003</v>
      </c>
      <c r="AX115" s="1">
        <v>36.43</v>
      </c>
      <c r="AY115" s="1">
        <v>65.8</v>
      </c>
      <c r="AZ115" s="1">
        <v>63.57</v>
      </c>
      <c r="BC115" s="1">
        <v>70</v>
      </c>
      <c r="BE115" s="1" t="e">
        <v>#VALUE!</v>
      </c>
      <c r="BF115" s="1">
        <v>0</v>
      </c>
      <c r="BH115" s="1">
        <v>0</v>
      </c>
      <c r="BI115" s="1">
        <v>0</v>
      </c>
    </row>
    <row r="116" spans="1:61" ht="12.5" x14ac:dyDescent="0.25">
      <c r="A116" s="1" t="s">
        <v>13</v>
      </c>
      <c r="B116" s="111">
        <v>751291</v>
      </c>
      <c r="C116" s="111">
        <v>6077565</v>
      </c>
      <c r="D116" s="111">
        <v>1085611</v>
      </c>
      <c r="E116" s="111">
        <v>8801434</v>
      </c>
      <c r="F116" s="1">
        <v>69.2</v>
      </c>
      <c r="G116" s="1">
        <v>69.05</v>
      </c>
      <c r="H116" s="111">
        <v>322498</v>
      </c>
      <c r="I116" s="111">
        <v>2486993</v>
      </c>
      <c r="J116" s="111">
        <v>361159</v>
      </c>
      <c r="K116" s="111">
        <v>2804813</v>
      </c>
      <c r="L116" s="1">
        <v>89.3</v>
      </c>
      <c r="M116" s="1">
        <v>88.67</v>
      </c>
      <c r="N116" s="111">
        <v>428793</v>
      </c>
      <c r="O116" s="111">
        <v>3590571</v>
      </c>
      <c r="P116" s="111">
        <v>724453</v>
      </c>
      <c r="Q116" s="111">
        <v>5996621</v>
      </c>
      <c r="R116" s="1">
        <v>59.19</v>
      </c>
      <c r="S116" s="1">
        <v>59.88</v>
      </c>
      <c r="T116" s="111">
        <v>399383</v>
      </c>
      <c r="U116" s="111">
        <v>3277903</v>
      </c>
      <c r="V116" s="111">
        <v>681920</v>
      </c>
      <c r="W116" s="111">
        <v>5587230</v>
      </c>
      <c r="X116" s="1">
        <v>58.57</v>
      </c>
      <c r="Y116" s="1">
        <v>58.67</v>
      </c>
      <c r="Z116" s="111">
        <v>351909</v>
      </c>
      <c r="AA116" s="111">
        <v>2799661</v>
      </c>
      <c r="AB116" s="111">
        <v>403692</v>
      </c>
      <c r="AC116" s="111">
        <v>3214204</v>
      </c>
      <c r="AD116" s="1">
        <v>87.17</v>
      </c>
      <c r="AE116" s="1">
        <v>87.1</v>
      </c>
      <c r="AF116" s="111">
        <v>414793</v>
      </c>
      <c r="AG116" s="111">
        <v>3452101</v>
      </c>
      <c r="AH116" s="111">
        <v>704453</v>
      </c>
      <c r="AI116" s="111">
        <v>5802639</v>
      </c>
      <c r="AJ116" s="1">
        <v>58.88</v>
      </c>
      <c r="AK116" s="1">
        <v>59.49</v>
      </c>
      <c r="AL116" s="111">
        <v>428793</v>
      </c>
      <c r="AM116" s="111">
        <v>3590571</v>
      </c>
      <c r="AN116" s="111">
        <v>724453</v>
      </c>
      <c r="AO116" s="111">
        <v>5996621</v>
      </c>
      <c r="AP116" s="1">
        <v>59.19</v>
      </c>
      <c r="AQ116" s="1">
        <v>59.88</v>
      </c>
      <c r="AR116" s="113">
        <v>45955</v>
      </c>
      <c r="AS116" s="1">
        <v>66.73</v>
      </c>
      <c r="AT116" s="1">
        <v>68.13</v>
      </c>
      <c r="AU116" s="1">
        <v>33.270000000000003</v>
      </c>
      <c r="AV116" s="1">
        <v>31.87</v>
      </c>
      <c r="AW116" s="1">
        <v>37.19</v>
      </c>
      <c r="AX116" s="1">
        <v>36.520000000000003</v>
      </c>
      <c r="AY116" s="1">
        <v>62.81</v>
      </c>
      <c r="AZ116" s="1">
        <v>63.48</v>
      </c>
      <c r="BC116" s="1">
        <v>70</v>
      </c>
      <c r="BE116" s="1" t="e">
        <v>#VALUE!</v>
      </c>
      <c r="BF116" s="1">
        <v>0</v>
      </c>
      <c r="BH116" s="1">
        <v>0</v>
      </c>
      <c r="BI116" s="1">
        <v>0</v>
      </c>
    </row>
    <row r="117" spans="1:61" ht="12.5" x14ac:dyDescent="0.25">
      <c r="A117" s="1" t="s">
        <v>14</v>
      </c>
      <c r="B117" s="111">
        <v>696073</v>
      </c>
      <c r="C117" s="111">
        <v>6773638</v>
      </c>
      <c r="D117" s="111">
        <v>1004439</v>
      </c>
      <c r="E117" s="111">
        <v>9805873</v>
      </c>
      <c r="F117" s="1">
        <v>69.3</v>
      </c>
      <c r="G117" s="1">
        <v>69.08</v>
      </c>
      <c r="H117" s="111">
        <v>301281</v>
      </c>
      <c r="I117" s="111">
        <v>2788275</v>
      </c>
      <c r="J117" s="111">
        <v>337420</v>
      </c>
      <c r="K117" s="111">
        <v>3142234</v>
      </c>
      <c r="L117" s="1">
        <v>89.29</v>
      </c>
      <c r="M117" s="1">
        <v>88.74</v>
      </c>
      <c r="N117" s="111">
        <v>394792</v>
      </c>
      <c r="O117" s="111">
        <v>3985363</v>
      </c>
      <c r="P117" s="111">
        <v>667019</v>
      </c>
      <c r="Q117" s="111">
        <v>6663640</v>
      </c>
      <c r="R117" s="1">
        <v>59.19</v>
      </c>
      <c r="S117" s="1">
        <v>59.81</v>
      </c>
      <c r="T117" s="111">
        <v>347955</v>
      </c>
      <c r="U117" s="111">
        <v>3625858</v>
      </c>
      <c r="V117" s="111">
        <v>594277</v>
      </c>
      <c r="W117" s="111">
        <v>6181507</v>
      </c>
      <c r="X117" s="1">
        <v>58.55</v>
      </c>
      <c r="Y117" s="1">
        <v>58.66</v>
      </c>
      <c r="Z117" s="111">
        <v>348119</v>
      </c>
      <c r="AA117" s="111">
        <v>3147780</v>
      </c>
      <c r="AB117" s="111">
        <v>410162</v>
      </c>
      <c r="AC117" s="111">
        <v>3624366</v>
      </c>
      <c r="AD117" s="1">
        <v>84.87</v>
      </c>
      <c r="AE117" s="1">
        <v>86.85</v>
      </c>
      <c r="AF117" s="111">
        <v>380792</v>
      </c>
      <c r="AG117" s="111">
        <v>3832894</v>
      </c>
      <c r="AH117" s="111">
        <v>647019</v>
      </c>
      <c r="AI117" s="111">
        <v>6449658</v>
      </c>
      <c r="AJ117" s="1">
        <v>58.85</v>
      </c>
      <c r="AK117" s="1">
        <v>59.43</v>
      </c>
      <c r="AL117" s="111">
        <v>394792</v>
      </c>
      <c r="AM117" s="111">
        <v>3985363</v>
      </c>
      <c r="AN117" s="111">
        <v>667019</v>
      </c>
      <c r="AO117" s="111">
        <v>6663640</v>
      </c>
      <c r="AP117" s="1">
        <v>59.19</v>
      </c>
      <c r="AQ117" s="1">
        <v>59.81</v>
      </c>
      <c r="AR117" s="113">
        <v>45986</v>
      </c>
      <c r="AS117" s="1">
        <v>66.41</v>
      </c>
      <c r="AT117" s="1">
        <v>67.959999999999994</v>
      </c>
      <c r="AU117" s="1">
        <v>33.590000000000003</v>
      </c>
      <c r="AV117" s="1">
        <v>32.04</v>
      </c>
      <c r="AW117" s="1">
        <v>40.83</v>
      </c>
      <c r="AX117" s="1">
        <v>36.96</v>
      </c>
      <c r="AY117" s="1">
        <v>59.17</v>
      </c>
      <c r="AZ117" s="1">
        <v>63.04</v>
      </c>
      <c r="BC117" s="1">
        <v>70</v>
      </c>
      <c r="BE117" s="1" t="e">
        <v>#VALUE!</v>
      </c>
      <c r="BF117" s="1" t="s">
        <v>65</v>
      </c>
      <c r="BH117" s="1">
        <v>0</v>
      </c>
      <c r="BI117" s="1">
        <v>0</v>
      </c>
    </row>
    <row r="118" spans="1:61" ht="12.5" x14ac:dyDescent="0.25">
      <c r="A118" s="1" t="s">
        <v>15</v>
      </c>
      <c r="B118" s="111">
        <v>703333</v>
      </c>
      <c r="C118" s="111">
        <v>7476971</v>
      </c>
      <c r="D118" s="111">
        <v>1012753</v>
      </c>
      <c r="E118" s="111">
        <v>10818627</v>
      </c>
      <c r="F118" s="1">
        <v>69.45</v>
      </c>
      <c r="G118" s="1">
        <v>69.11</v>
      </c>
      <c r="H118" s="111">
        <v>309546</v>
      </c>
      <c r="I118" s="111">
        <v>3097820</v>
      </c>
      <c r="J118" s="111">
        <v>346544</v>
      </c>
      <c r="K118" s="111">
        <v>3488778</v>
      </c>
      <c r="L118" s="1">
        <v>89.32</v>
      </c>
      <c r="M118" s="1">
        <v>88.79</v>
      </c>
      <c r="N118" s="111">
        <v>393787</v>
      </c>
      <c r="O118" s="111">
        <v>4379150</v>
      </c>
      <c r="P118" s="111">
        <v>666209</v>
      </c>
      <c r="Q118" s="111">
        <v>7329849</v>
      </c>
      <c r="R118" s="1">
        <v>59.11</v>
      </c>
      <c r="S118" s="1">
        <v>59.74</v>
      </c>
      <c r="T118" s="111">
        <v>371737</v>
      </c>
      <c r="U118" s="111">
        <v>3997595</v>
      </c>
      <c r="V118" s="111">
        <v>635614</v>
      </c>
      <c r="W118" s="111">
        <v>6817122</v>
      </c>
      <c r="X118" s="1">
        <v>58.48</v>
      </c>
      <c r="Y118" s="1">
        <v>58.64</v>
      </c>
      <c r="Z118" s="111">
        <v>331595</v>
      </c>
      <c r="AA118" s="111">
        <v>3479375</v>
      </c>
      <c r="AB118" s="111">
        <v>377139</v>
      </c>
      <c r="AC118" s="111">
        <v>4001505</v>
      </c>
      <c r="AD118" s="1">
        <v>87.92</v>
      </c>
      <c r="AE118" s="1">
        <v>86.95</v>
      </c>
      <c r="AF118" s="111">
        <v>381187</v>
      </c>
      <c r="AG118" s="111">
        <v>4214080</v>
      </c>
      <c r="AH118" s="111">
        <v>648209</v>
      </c>
      <c r="AI118" s="111">
        <v>7097867</v>
      </c>
      <c r="AJ118" s="1">
        <v>58.81</v>
      </c>
      <c r="AK118" s="1">
        <v>59.37</v>
      </c>
      <c r="AL118" s="111">
        <v>393787</v>
      </c>
      <c r="AM118" s="111">
        <v>4379150</v>
      </c>
      <c r="AN118" s="111">
        <v>666209</v>
      </c>
      <c r="AO118" s="111">
        <v>7329849</v>
      </c>
      <c r="AP118" s="1">
        <v>59.11</v>
      </c>
      <c r="AQ118" s="1">
        <v>59.74</v>
      </c>
      <c r="AR118" s="113">
        <v>46016</v>
      </c>
      <c r="AS118" s="1">
        <v>65.78</v>
      </c>
      <c r="AT118" s="1">
        <v>67.75</v>
      </c>
      <c r="AU118" s="1">
        <v>34.22</v>
      </c>
      <c r="AV118" s="1">
        <v>32.25</v>
      </c>
      <c r="AW118" s="1">
        <v>37.24</v>
      </c>
      <c r="AX118" s="1">
        <v>36.99</v>
      </c>
      <c r="AY118" s="1">
        <v>62.76</v>
      </c>
      <c r="AZ118" s="1">
        <v>63.01</v>
      </c>
      <c r="BC118" s="1">
        <v>70</v>
      </c>
      <c r="BE118" s="1" t="e">
        <v>#VALUE!</v>
      </c>
      <c r="BF118" s="1">
        <v>0</v>
      </c>
      <c r="BH118" s="1">
        <v>0</v>
      </c>
      <c r="BI118" s="1">
        <v>0</v>
      </c>
    </row>
    <row r="119" spans="1:61" ht="12.5" x14ac:dyDescent="0.25">
      <c r="AS119" s="1" t="s">
        <v>138</v>
      </c>
    </row>
    <row r="120" spans="1:61" ht="12.5" x14ac:dyDescent="0.25">
      <c r="I120" s="1" t="s">
        <v>139</v>
      </c>
      <c r="P120" s="1" t="s">
        <v>140</v>
      </c>
      <c r="AS120" s="1" t="s">
        <v>141</v>
      </c>
    </row>
    <row r="121" spans="1:61" ht="12.5" x14ac:dyDescent="0.25">
      <c r="I121" s="1" t="s">
        <v>102</v>
      </c>
      <c r="J121" s="1" t="s">
        <v>3</v>
      </c>
      <c r="P121" s="1" t="s">
        <v>3</v>
      </c>
      <c r="AS121" s="1" t="s">
        <v>142</v>
      </c>
    </row>
    <row r="122" spans="1:61" ht="12.5" x14ac:dyDescent="0.25">
      <c r="J122" s="1" t="s">
        <v>106</v>
      </c>
      <c r="K122" s="1" t="s">
        <v>107</v>
      </c>
      <c r="L122" s="1" t="s">
        <v>143</v>
      </c>
      <c r="P122" s="1" t="s">
        <v>106</v>
      </c>
      <c r="Q122" s="1" t="s">
        <v>107</v>
      </c>
      <c r="R122" s="1" t="s">
        <v>143</v>
      </c>
    </row>
    <row r="123" spans="1:61" ht="12.5" x14ac:dyDescent="0.25">
      <c r="I123" s="1" t="s">
        <v>4</v>
      </c>
      <c r="J123" s="111">
        <v>235671</v>
      </c>
      <c r="K123" s="111">
        <v>235671</v>
      </c>
      <c r="L123" s="1">
        <v>0</v>
      </c>
      <c r="M123" s="1">
        <v>0</v>
      </c>
      <c r="P123" s="111">
        <v>489056</v>
      </c>
      <c r="Q123" s="111">
        <v>489056</v>
      </c>
      <c r="R123" s="1">
        <v>0</v>
      </c>
      <c r="S123" s="1">
        <v>0</v>
      </c>
    </row>
    <row r="124" spans="1:61" ht="12.5" x14ac:dyDescent="0.25">
      <c r="I124" s="1" t="s">
        <v>5</v>
      </c>
      <c r="J124" s="111">
        <v>229874</v>
      </c>
      <c r="K124" s="111">
        <v>465544</v>
      </c>
      <c r="L124" s="1">
        <v>0</v>
      </c>
      <c r="M124" s="1">
        <v>0</v>
      </c>
      <c r="P124" s="111">
        <v>446162</v>
      </c>
      <c r="Q124" s="111">
        <v>935217</v>
      </c>
      <c r="R124" s="1">
        <v>0</v>
      </c>
      <c r="S124" s="1">
        <v>0</v>
      </c>
    </row>
    <row r="125" spans="1:61" ht="12.5" x14ac:dyDescent="0.25">
      <c r="I125" s="1" t="s">
        <v>6</v>
      </c>
      <c r="J125" s="111">
        <v>226081</v>
      </c>
      <c r="K125" s="111">
        <v>691625</v>
      </c>
      <c r="L125" s="1">
        <v>0</v>
      </c>
      <c r="M125" s="1">
        <v>0</v>
      </c>
      <c r="P125" s="111">
        <v>338787</v>
      </c>
      <c r="Q125" s="111">
        <v>1274004</v>
      </c>
      <c r="R125" s="1">
        <v>0</v>
      </c>
      <c r="S125" s="1">
        <v>0</v>
      </c>
    </row>
    <row r="126" spans="1:61" ht="12.5" x14ac:dyDescent="0.25">
      <c r="I126" s="1" t="s">
        <v>7</v>
      </c>
      <c r="J126" s="111">
        <v>182161</v>
      </c>
      <c r="K126" s="111">
        <v>873787</v>
      </c>
      <c r="L126" s="1">
        <v>0</v>
      </c>
      <c r="M126" s="1">
        <v>0</v>
      </c>
      <c r="P126" s="111">
        <v>360459</v>
      </c>
      <c r="Q126" s="111">
        <v>1634464</v>
      </c>
      <c r="R126" s="1">
        <v>0</v>
      </c>
      <c r="S126" s="1">
        <v>0</v>
      </c>
    </row>
    <row r="127" spans="1:61" ht="12.5" x14ac:dyDescent="0.25">
      <c r="I127" s="1" t="s">
        <v>8</v>
      </c>
      <c r="J127" s="111">
        <v>279982</v>
      </c>
      <c r="K127" s="111">
        <v>1153768</v>
      </c>
      <c r="L127" s="1">
        <v>0</v>
      </c>
      <c r="M127" s="1">
        <v>0</v>
      </c>
      <c r="P127" s="111">
        <v>507171</v>
      </c>
      <c r="Q127" s="111">
        <v>2141635</v>
      </c>
      <c r="R127" s="1">
        <v>0</v>
      </c>
      <c r="S127" s="1">
        <v>0</v>
      </c>
    </row>
    <row r="128" spans="1:61" ht="12.5" x14ac:dyDescent="0.25">
      <c r="I128" s="1" t="s">
        <v>9</v>
      </c>
      <c r="J128" s="111">
        <v>253504</v>
      </c>
      <c r="K128" s="111">
        <v>1407272</v>
      </c>
      <c r="L128" s="1">
        <v>0</v>
      </c>
      <c r="M128" s="1">
        <v>0</v>
      </c>
      <c r="P128" s="111">
        <v>597917</v>
      </c>
      <c r="Q128" s="111">
        <v>2739552</v>
      </c>
      <c r="R128" s="1">
        <v>0</v>
      </c>
      <c r="S128" s="1">
        <v>0</v>
      </c>
    </row>
    <row r="129" spans="9:19" ht="12.5" x14ac:dyDescent="0.25">
      <c r="I129" s="1" t="s">
        <v>10</v>
      </c>
      <c r="J129" s="111">
        <v>261717</v>
      </c>
      <c r="K129" s="111">
        <v>1668989</v>
      </c>
      <c r="L129" s="1">
        <v>0</v>
      </c>
      <c r="M129" s="1">
        <v>0</v>
      </c>
      <c r="P129" s="111">
        <v>624297</v>
      </c>
      <c r="Q129" s="111">
        <v>3363848</v>
      </c>
      <c r="R129" s="1">
        <v>0</v>
      </c>
      <c r="S129" s="1">
        <v>0</v>
      </c>
    </row>
    <row r="130" spans="9:19" ht="12.5" x14ac:dyDescent="0.25">
      <c r="I130" s="1" t="s">
        <v>11</v>
      </c>
      <c r="J130" s="111">
        <v>267801</v>
      </c>
      <c r="K130" s="111">
        <v>1936790</v>
      </c>
      <c r="L130" s="1">
        <v>0</v>
      </c>
      <c r="M130" s="1">
        <v>0</v>
      </c>
      <c r="P130" s="111">
        <v>563596</v>
      </c>
      <c r="Q130" s="111">
        <v>3927445</v>
      </c>
      <c r="R130" s="1">
        <v>0</v>
      </c>
      <c r="S130" s="1">
        <v>0</v>
      </c>
    </row>
    <row r="131" spans="9:19" ht="12.5" x14ac:dyDescent="0.25">
      <c r="I131" s="1" t="s">
        <v>12</v>
      </c>
      <c r="J131" s="111">
        <v>288700</v>
      </c>
      <c r="K131" s="111">
        <v>2225490</v>
      </c>
      <c r="L131" s="1">
        <v>0</v>
      </c>
      <c r="M131" s="1">
        <v>0</v>
      </c>
      <c r="P131" s="111">
        <v>576735</v>
      </c>
      <c r="Q131" s="111">
        <v>4504180</v>
      </c>
      <c r="R131" s="1">
        <v>0</v>
      </c>
      <c r="S131" s="1">
        <v>0</v>
      </c>
    </row>
    <row r="132" spans="9:19" ht="12.5" x14ac:dyDescent="0.25">
      <c r="I132" s="1" t="s">
        <v>13</v>
      </c>
      <c r="J132" s="111">
        <v>331050</v>
      </c>
      <c r="K132" s="111">
        <v>2556539</v>
      </c>
      <c r="L132" s="1">
        <v>0</v>
      </c>
      <c r="M132" s="1">
        <v>0</v>
      </c>
      <c r="P132" s="111">
        <v>616888</v>
      </c>
      <c r="Q132" s="111">
        <v>5121068</v>
      </c>
      <c r="R132" s="1">
        <v>0</v>
      </c>
      <c r="S132" s="1">
        <v>0</v>
      </c>
    </row>
    <row r="133" spans="9:19" ht="12.5" x14ac:dyDescent="0.25">
      <c r="I133" s="1" t="s">
        <v>14</v>
      </c>
      <c r="J133" s="111">
        <v>304194</v>
      </c>
      <c r="K133" s="111">
        <v>2860734</v>
      </c>
      <c r="L133" s="1">
        <v>0</v>
      </c>
      <c r="M133" s="1">
        <v>0</v>
      </c>
      <c r="P133" s="111">
        <v>575009</v>
      </c>
      <c r="Q133" s="111">
        <v>5696077</v>
      </c>
      <c r="R133" s="1">
        <v>0</v>
      </c>
      <c r="S133" s="1">
        <v>0</v>
      </c>
    </row>
    <row r="134" spans="9:19" ht="12.5" x14ac:dyDescent="0.25">
      <c r="I134" s="1" t="s">
        <v>15</v>
      </c>
      <c r="J134" s="111">
        <v>313880</v>
      </c>
      <c r="K134" s="111">
        <v>3174614</v>
      </c>
      <c r="L134" s="1">
        <v>0</v>
      </c>
      <c r="M134" s="1">
        <v>0</v>
      </c>
      <c r="P134" s="111">
        <v>575363</v>
      </c>
      <c r="Q134" s="111">
        <v>6271440</v>
      </c>
      <c r="R134" s="1">
        <v>0</v>
      </c>
      <c r="S13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72"/>
  <sheetViews>
    <sheetView showGridLines="0" workbookViewId="0">
      <pane xSplit="1" topLeftCell="B1" activePane="topRight" state="frozen"/>
      <selection pane="topRight" activeCell="C2" sqref="C2"/>
    </sheetView>
  </sheetViews>
  <sheetFormatPr defaultColWidth="12.6328125" defaultRowHeight="15.75" customHeight="1" x14ac:dyDescent="0.25"/>
  <cols>
    <col min="1" max="1" width="47.08984375" customWidth="1"/>
    <col min="6" max="13" width="12.6328125" hidden="1"/>
    <col min="15" max="15" width="6.453125" customWidth="1"/>
    <col min="16" max="16" width="13.36328125" customWidth="1"/>
    <col min="17" max="17" width="10.453125" customWidth="1"/>
    <col min="18" max="18" width="10.90625" customWidth="1"/>
    <col min="19" max="19" width="17.36328125" customWidth="1"/>
    <col min="20" max="20" width="18.7265625" customWidth="1"/>
    <col min="21" max="21" width="19.7265625" customWidth="1"/>
    <col min="22" max="22" width="12.26953125" customWidth="1"/>
    <col min="23" max="23" width="12.6328125" customWidth="1"/>
    <col min="24" max="26" width="12.90625" customWidth="1"/>
    <col min="27" max="27" width="11.7265625" customWidth="1"/>
    <col min="31" max="38" width="12.7265625" customWidth="1"/>
    <col min="39" max="39" width="46.6328125" customWidth="1"/>
    <col min="40" max="40" width="12.7265625" customWidth="1"/>
  </cols>
  <sheetData>
    <row r="1" spans="1:40" ht="15.75" customHeight="1" x14ac:dyDescent="0.35">
      <c r="B1" s="115" t="s">
        <v>106</v>
      </c>
      <c r="Q1" s="116" t="s">
        <v>8</v>
      </c>
      <c r="W1" s="218" t="s">
        <v>174</v>
      </c>
      <c r="X1" s="219"/>
      <c r="Y1" s="219"/>
      <c r="Z1" s="1"/>
    </row>
    <row r="2" spans="1:40" ht="15.75" customHeight="1" x14ac:dyDescent="0.3">
      <c r="A2" s="116" t="s">
        <v>1</v>
      </c>
      <c r="B2" s="116" t="s">
        <v>4</v>
      </c>
      <c r="C2" s="116" t="s">
        <v>5</v>
      </c>
      <c r="D2" s="116" t="s">
        <v>6</v>
      </c>
      <c r="E2" s="116" t="s">
        <v>7</v>
      </c>
      <c r="F2" s="116" t="s">
        <v>8</v>
      </c>
      <c r="G2" s="116" t="s">
        <v>9</v>
      </c>
      <c r="H2" s="116" t="s">
        <v>10</v>
      </c>
      <c r="I2" s="116" t="s">
        <v>11</v>
      </c>
      <c r="J2" s="116" t="s">
        <v>12</v>
      </c>
      <c r="K2" s="116" t="s">
        <v>13</v>
      </c>
      <c r="L2" s="116" t="s">
        <v>14</v>
      </c>
      <c r="M2" s="116" t="s">
        <v>15</v>
      </c>
      <c r="N2" s="116" t="s">
        <v>175</v>
      </c>
      <c r="O2" s="1">
        <v>1</v>
      </c>
      <c r="P2" s="117" t="s">
        <v>176</v>
      </c>
      <c r="Q2" s="117" t="s">
        <v>177</v>
      </c>
      <c r="R2" s="117" t="s">
        <v>178</v>
      </c>
      <c r="S2" s="117" t="s">
        <v>179</v>
      </c>
      <c r="T2" s="118" t="s">
        <v>180</v>
      </c>
      <c r="U2" s="117" t="s">
        <v>181</v>
      </c>
      <c r="V2" s="118" t="s">
        <v>182</v>
      </c>
      <c r="W2" s="117" t="s">
        <v>130</v>
      </c>
      <c r="X2" s="117" t="s">
        <v>129</v>
      </c>
      <c r="Y2" s="117" t="s">
        <v>183</v>
      </c>
      <c r="Z2" s="119" t="s">
        <v>184</v>
      </c>
      <c r="AB2" s="120"/>
      <c r="AC2" s="120"/>
      <c r="AD2" s="120"/>
      <c r="AE2" s="1" t="s">
        <v>185</v>
      </c>
      <c r="AF2" s="120"/>
      <c r="AG2" s="120"/>
      <c r="AH2" s="120"/>
      <c r="AI2" s="120"/>
      <c r="AJ2" s="117" t="s">
        <v>183</v>
      </c>
      <c r="AK2" s="117" t="s">
        <v>177</v>
      </c>
      <c r="AL2" s="117" t="s">
        <v>186</v>
      </c>
      <c r="AM2" s="117"/>
      <c r="AN2" s="117"/>
    </row>
    <row r="3" spans="1:40" ht="15.75" customHeight="1" x14ac:dyDescent="0.3">
      <c r="A3" s="121" t="s">
        <v>145</v>
      </c>
      <c r="B3" s="122" t="e">
        <f>VLOOKUP(B$2,#REF!,54,)</f>
        <v>#REF!</v>
      </c>
      <c r="C3" s="122" t="e">
        <f>VLOOKUP(C$2,#REF!,54,)</f>
        <v>#REF!</v>
      </c>
      <c r="D3" s="122" t="e">
        <f>VLOOKUP(D$2,#REF!,54,)</f>
        <v>#REF!</v>
      </c>
      <c r="E3" s="122" t="e">
        <f>VLOOKUP(E$2,#REF!,54,)</f>
        <v>#REF!</v>
      </c>
      <c r="F3" s="122" t="e">
        <f>VLOOKUP(F$2,#REF!,54,)</f>
        <v>#REF!</v>
      </c>
      <c r="G3" s="122" t="e">
        <f>VLOOKUP(G$2,#REF!,54,)</f>
        <v>#REF!</v>
      </c>
      <c r="H3" s="122" t="e">
        <f>VLOOKUP(H$2,#REF!,54,)</f>
        <v>#REF!</v>
      </c>
      <c r="I3" s="122" t="e">
        <f>VLOOKUP(I$2,#REF!,54,)</f>
        <v>#REF!</v>
      </c>
      <c r="J3" s="122" t="e">
        <f>VLOOKUP(J$2,#REF!,54,)</f>
        <v>#REF!</v>
      </c>
      <c r="K3" s="122" t="e">
        <f>VLOOKUP(K$2,#REF!,54,)</f>
        <v>#REF!</v>
      </c>
      <c r="L3" s="122" t="e">
        <f>VLOOKUP(L$2,#REF!,54,)</f>
        <v>#REF!</v>
      </c>
      <c r="M3" s="122" t="e">
        <f>VLOOKUP(M$2,#REF!,54,)</f>
        <v>#REF!</v>
      </c>
      <c r="N3" s="123">
        <f>RKAP!$BC$17</f>
        <v>87.6</v>
      </c>
      <c r="O3" s="1">
        <v>2</v>
      </c>
      <c r="S3" s="124" t="str">
        <f t="shared" ref="S3:S29" si="0">IF(P3="","",P3/100*R3)</f>
        <v/>
      </c>
      <c r="T3" s="125"/>
      <c r="U3" s="41" t="str">
        <f>IF(P3="","",#REF!)</f>
        <v/>
      </c>
      <c r="V3" s="126" t="str">
        <f t="shared" ref="V3:V29" si="1">IF(U3="","",U3*(1-$T$31))</f>
        <v/>
      </c>
      <c r="W3" s="127" t="e">
        <f t="shared" ref="W3:X3" si="2">SUM(W4:W10)</f>
        <v>#REF!</v>
      </c>
      <c r="X3" s="127" t="e">
        <f t="shared" si="2"/>
        <v>#REF!</v>
      </c>
      <c r="Y3" s="128" t="str">
        <f t="shared" ref="Y3:Y29" si="3">IFERROR(W3/X3*100,"")</f>
        <v/>
      </c>
      <c r="Z3" s="128" t="e">
        <f t="shared" ref="Z3:Z29" si="4">IF(Y3-HLOOKUP(Q$1,$B$2:$M$30,O3,)=0,"",Y3-HLOOKUP(Q$1,$B$2:$M$30,O3,))</f>
        <v>#VALUE!</v>
      </c>
      <c r="AA3" s="1" t="s">
        <v>187</v>
      </c>
      <c r="AF3" s="1" t="s">
        <v>188</v>
      </c>
      <c r="AG3" s="1"/>
      <c r="AH3" s="1"/>
      <c r="AI3" s="1"/>
      <c r="AJ3" s="1"/>
      <c r="AK3" s="129" t="e">
        <f t="shared" ref="AK3:AL3" si="5">SUM(AK4:AK10)</f>
        <v>#REF!</v>
      </c>
      <c r="AL3" s="129" t="e">
        <f t="shared" si="5"/>
        <v>#REF!</v>
      </c>
      <c r="AM3" s="130" t="e">
        <f>A3&amp;" = "&amp;ROUNDUP((AK3/AL3*100),2)</f>
        <v>#REF!</v>
      </c>
      <c r="AN3" s="1"/>
    </row>
    <row r="4" spans="1:40" ht="15.75" customHeight="1" x14ac:dyDescent="0.3">
      <c r="A4" s="1" t="s">
        <v>189</v>
      </c>
      <c r="B4" s="128" t="e">
        <f>VLOOKUP(B$2,#REF!,6,)</f>
        <v>#REF!</v>
      </c>
      <c r="C4" s="128" t="e">
        <f>VLOOKUP(C$2,#REF!,6,)</f>
        <v>#REF!</v>
      </c>
      <c r="D4" s="128" t="e">
        <f>VLOOKUP(D$2,#REF!,6,)</f>
        <v>#REF!</v>
      </c>
      <c r="E4" s="128" t="e">
        <f>VLOOKUP(E$2,#REF!,6,)</f>
        <v>#REF!</v>
      </c>
      <c r="F4" s="128" t="e">
        <f>VLOOKUP(F$2,#REF!,6,)</f>
        <v>#REF!</v>
      </c>
      <c r="G4" s="128" t="e">
        <f>VLOOKUP(G$2,#REF!,6,)</f>
        <v>#REF!</v>
      </c>
      <c r="H4" s="128" t="e">
        <f>VLOOKUP(H$2,#REF!,6,)</f>
        <v>#REF!</v>
      </c>
      <c r="I4" s="128" t="e">
        <f>VLOOKUP(I$2,#REF!,6,)</f>
        <v>#REF!</v>
      </c>
      <c r="J4" s="128" t="e">
        <f>VLOOKUP(J$2,#REF!,6,)</f>
        <v>#REF!</v>
      </c>
      <c r="K4" s="128" t="e">
        <f>VLOOKUP(K$2,#REF!,6,)</f>
        <v>#REF!</v>
      </c>
      <c r="L4" s="128" t="e">
        <f>VLOOKUP(L$2,#REF!,6,)</f>
        <v>#REF!</v>
      </c>
      <c r="M4" s="128" t="e">
        <f>VLOOKUP(M$2,#REF!,6,)</f>
        <v>#REF!</v>
      </c>
      <c r="N4" s="128">
        <f>RKAP!$G$17</f>
        <v>85</v>
      </c>
      <c r="O4" s="1">
        <v>3</v>
      </c>
      <c r="P4" s="128" t="e">
        <f t="shared" ref="P4:P10" si="6">IF(HLOOKUP(Q$1,$B$2:$M$30,O4,)-N4&lt;=0,"",HLOOKUP(Q$1,$B$2:$M$30,O4,)-N4)</f>
        <v>#REF!</v>
      </c>
      <c r="Q4" s="131" t="e">
        <f>VLOOKUP(Q$1,#REF!,2,)</f>
        <v>#REF!</v>
      </c>
      <c r="R4" s="131" t="e">
        <f>VLOOKUP(Q$1,#REF!,4,)</f>
        <v>#REF!</v>
      </c>
      <c r="S4" s="124" t="e">
        <f t="shared" si="0"/>
        <v>#REF!</v>
      </c>
      <c r="T4" s="129"/>
      <c r="U4" s="131"/>
      <c r="V4" s="132" t="str">
        <f t="shared" si="1"/>
        <v/>
      </c>
      <c r="W4" s="131" t="e">
        <f t="shared" ref="W4:W10" si="7">IF(T4="Yes",V4,Q4)</f>
        <v>#REF!</v>
      </c>
      <c r="X4" s="131" t="e">
        <f t="shared" ref="X4:X10" si="8">R4</f>
        <v>#REF!</v>
      </c>
      <c r="Y4" s="128" t="str">
        <f t="shared" si="3"/>
        <v/>
      </c>
      <c r="Z4" s="128" t="e">
        <f t="shared" si="4"/>
        <v>#VALUE!</v>
      </c>
      <c r="AA4" s="133" t="e">
        <f>R4/SUM(R4:R10)</f>
        <v>#REF!</v>
      </c>
      <c r="AC4" s="134" t="e">
        <f>Q4/R4*AD4</f>
        <v>#REF!</v>
      </c>
      <c r="AD4" s="134" t="e">
        <f>AF4/100*X3</f>
        <v>#REF!</v>
      </c>
      <c r="AF4" s="135">
        <v>5</v>
      </c>
      <c r="AH4" s="1"/>
      <c r="AI4" s="1"/>
      <c r="AJ4" s="136" t="e">
        <f t="shared" ref="AJ4:AJ5" si="9">IF(D4&gt;N4,N4,D4)</f>
        <v>#REF!</v>
      </c>
      <c r="AK4" s="129" t="e">
        <f t="shared" ref="AK4:AK10" si="10">AJ4/100*AL4</f>
        <v>#REF!</v>
      </c>
      <c r="AL4" s="129" t="e">
        <f t="shared" ref="AL4:AL10" si="11">R4</f>
        <v>#REF!</v>
      </c>
      <c r="AM4" s="1" t="str">
        <f t="shared" ref="AM4:AM10" si="12">A4</f>
        <v>Dynamix/EzPro/PCC (Transisi)</v>
      </c>
      <c r="AN4" s="1"/>
    </row>
    <row r="5" spans="1:40" ht="15.75" customHeight="1" x14ac:dyDescent="0.25">
      <c r="A5" s="137" t="s">
        <v>190</v>
      </c>
      <c r="B5" s="128" t="e">
        <f>VLOOKUP(B$2,#REF!,77,)</f>
        <v>#REF!</v>
      </c>
      <c r="C5" s="128" t="e">
        <f>VLOOKUP(C$2,#REF!,77,)</f>
        <v>#REF!</v>
      </c>
      <c r="D5" s="128" t="e">
        <f>VLOOKUP(D$2,#REF!,77,)</f>
        <v>#REF!</v>
      </c>
      <c r="E5" s="128" t="e">
        <f>VLOOKUP(E$2,#REF!,77,)</f>
        <v>#REF!</v>
      </c>
      <c r="F5" s="128" t="e">
        <f>VLOOKUP(F$2,#REF!,77,)</f>
        <v>#REF!</v>
      </c>
      <c r="G5" s="128" t="e">
        <f>VLOOKUP(G$2,#REF!,77,)</f>
        <v>#REF!</v>
      </c>
      <c r="H5" s="128" t="e">
        <f>VLOOKUP(H$2,#REF!,77,)</f>
        <v>#REF!</v>
      </c>
      <c r="I5" s="128" t="e">
        <f>VLOOKUP(I$2,#REF!,77,)</f>
        <v>#REF!</v>
      </c>
      <c r="J5" s="128" t="e">
        <f>VLOOKUP(J$2,#REF!,77,)</f>
        <v>#REF!</v>
      </c>
      <c r="K5" s="128" t="e">
        <f>VLOOKUP(K$2,#REF!,77,)</f>
        <v>#REF!</v>
      </c>
      <c r="L5" s="128" t="e">
        <f>VLOOKUP(L$2,#REF!,77,)</f>
        <v>#REF!</v>
      </c>
      <c r="M5" s="128" t="e">
        <f>VLOOKUP(M$2,#REF!,77,)</f>
        <v>#REF!</v>
      </c>
      <c r="N5" s="128">
        <f>RKAP!$BZ$17</f>
        <v>95.5</v>
      </c>
      <c r="O5" s="1">
        <v>4</v>
      </c>
      <c r="P5" s="41" t="e">
        <f t="shared" si="6"/>
        <v>#REF!</v>
      </c>
      <c r="Q5" s="131" t="e">
        <f>VLOOKUP(Q$1,#REF!,73,)</f>
        <v>#REF!</v>
      </c>
      <c r="R5" s="131" t="e">
        <f>VLOOKUP(Q$1,#REF!,75,)</f>
        <v>#REF!</v>
      </c>
      <c r="S5" s="124" t="e">
        <f t="shared" si="0"/>
        <v>#REF!</v>
      </c>
      <c r="T5" s="129" t="s">
        <v>191</v>
      </c>
      <c r="U5" s="131" t="e">
        <f t="shared" ref="U5:U16" si="13">IF(T5="Yes",Q5,"")</f>
        <v>#REF!</v>
      </c>
      <c r="V5" s="132" t="e">
        <f t="shared" si="1"/>
        <v>#REF!</v>
      </c>
      <c r="W5" s="138" t="e">
        <f t="shared" si="7"/>
        <v>#REF!</v>
      </c>
      <c r="X5" s="131" t="e">
        <f t="shared" si="8"/>
        <v>#REF!</v>
      </c>
      <c r="Y5" s="128" t="str">
        <f t="shared" si="3"/>
        <v/>
      </c>
      <c r="Z5" s="128" t="e">
        <f t="shared" si="4"/>
        <v>#VALUE!</v>
      </c>
      <c r="AC5" s="139">
        <f t="shared" ref="AC5:AC10" si="14">IFERROR(IF(Q5/R5*100&gt;=N5,N5/100*R5,Q5),0)</f>
        <v>0</v>
      </c>
      <c r="AD5" s="139" t="e">
        <f t="shared" ref="AD5:AD10" si="15">X5</f>
        <v>#REF!</v>
      </c>
      <c r="AE5" s="140" t="e">
        <f t="shared" ref="AE5:AE10" si="16">C5</f>
        <v>#REF!</v>
      </c>
      <c r="AJ5" s="136" t="e">
        <f t="shared" si="9"/>
        <v>#REF!</v>
      </c>
      <c r="AK5" s="129" t="e">
        <f t="shared" si="10"/>
        <v>#REF!</v>
      </c>
      <c r="AL5" s="129" t="e">
        <f t="shared" si="11"/>
        <v>#REF!</v>
      </c>
      <c r="AM5" s="1" t="str">
        <f t="shared" si="12"/>
        <v>OPC (Type 1 General)/UltraPro (DLH, DJabes &amp; non-DJabes)</v>
      </c>
      <c r="AN5" s="1"/>
    </row>
    <row r="6" spans="1:40" ht="15.75" customHeight="1" x14ac:dyDescent="0.25">
      <c r="A6" s="137" t="s">
        <v>192</v>
      </c>
      <c r="B6" s="128" t="e">
        <f>VLOOKUP(B$2,#REF!,83,)</f>
        <v>#REF!</v>
      </c>
      <c r="C6" s="128" t="e">
        <f>VLOOKUP(C$2,#REF!,83,)</f>
        <v>#REF!</v>
      </c>
      <c r="D6" s="128" t="e">
        <f>VLOOKUP(D$2,#REF!,83,)</f>
        <v>#REF!</v>
      </c>
      <c r="E6" s="128" t="e">
        <f>VLOOKUP(E$2,#REF!,83,)</f>
        <v>#REF!</v>
      </c>
      <c r="F6" s="128" t="e">
        <f>VLOOKUP(F$2,#REF!,83,)</f>
        <v>#REF!</v>
      </c>
      <c r="G6" s="128" t="e">
        <f>VLOOKUP(G$2,#REF!,83,)</f>
        <v>#REF!</v>
      </c>
      <c r="H6" s="128" t="e">
        <f>VLOOKUP(H$2,#REF!,83,)</f>
        <v>#REF!</v>
      </c>
      <c r="I6" s="128" t="e">
        <f>VLOOKUP(I$2,#REF!,83,)</f>
        <v>#REF!</v>
      </c>
      <c r="J6" s="128" t="e">
        <f>VLOOKUP(J$2,#REF!,83,)</f>
        <v>#REF!</v>
      </c>
      <c r="K6" s="128" t="e">
        <f>VLOOKUP(K$2,#REF!,83,)</f>
        <v>#REF!</v>
      </c>
      <c r="L6" s="128" t="e">
        <f>VLOOKUP(L$2,#REF!,83,)</f>
        <v>#REF!</v>
      </c>
      <c r="M6" s="128" t="e">
        <f>VLOOKUP(M$2,#REF!,83,)</f>
        <v>#REF!</v>
      </c>
      <c r="N6" s="128">
        <f>RKAP!$CF$17</f>
        <v>88.4</v>
      </c>
      <c r="O6" s="1">
        <v>5</v>
      </c>
      <c r="P6" s="41" t="e">
        <f t="shared" si="6"/>
        <v>#REF!</v>
      </c>
      <c r="Q6" s="131" t="e">
        <f>VLOOKUP(Q$1,#REF!,79,)</f>
        <v>#REF!</v>
      </c>
      <c r="R6" s="131" t="e">
        <f>VLOOKUP(Q$1,#REF!,81,)</f>
        <v>#REF!</v>
      </c>
      <c r="S6" s="124" t="e">
        <f t="shared" si="0"/>
        <v>#REF!</v>
      </c>
      <c r="T6" s="129" t="s">
        <v>191</v>
      </c>
      <c r="U6" s="131" t="e">
        <f t="shared" si="13"/>
        <v>#REF!</v>
      </c>
      <c r="V6" s="132" t="e">
        <f t="shared" si="1"/>
        <v>#REF!</v>
      </c>
      <c r="W6" s="138" t="e">
        <f t="shared" si="7"/>
        <v>#REF!</v>
      </c>
      <c r="X6" s="131" t="e">
        <f t="shared" si="8"/>
        <v>#REF!</v>
      </c>
      <c r="Y6" s="128" t="str">
        <f t="shared" si="3"/>
        <v/>
      </c>
      <c r="Z6" s="128" t="e">
        <f t="shared" si="4"/>
        <v>#VALUE!</v>
      </c>
      <c r="AC6" s="139">
        <f t="shared" si="14"/>
        <v>0</v>
      </c>
      <c r="AD6" s="139" t="e">
        <f t="shared" si="15"/>
        <v>#REF!</v>
      </c>
      <c r="AE6" s="140" t="e">
        <f t="shared" si="16"/>
        <v>#REF!</v>
      </c>
      <c r="AJ6" s="141" t="e">
        <f>D6</f>
        <v>#REF!</v>
      </c>
      <c r="AK6" s="129" t="e">
        <f t="shared" si="10"/>
        <v>#REF!</v>
      </c>
      <c r="AL6" s="129" t="e">
        <f t="shared" si="11"/>
        <v>#REF!</v>
      </c>
      <c r="AM6" s="1" t="str">
        <f t="shared" si="12"/>
        <v>OPC (Type 1 General)/UltraPro - SG</v>
      </c>
      <c r="AN6" s="1"/>
    </row>
    <row r="7" spans="1:40" ht="15.75" customHeight="1" x14ac:dyDescent="0.25">
      <c r="A7" s="137" t="s">
        <v>95</v>
      </c>
      <c r="B7" s="128" t="e">
        <f>VLOOKUP(B$2,#REF!,18,)</f>
        <v>#REF!</v>
      </c>
      <c r="C7" s="128" t="e">
        <f>VLOOKUP(C$2,#REF!,18,)</f>
        <v>#REF!</v>
      </c>
      <c r="D7" s="128" t="e">
        <f>VLOOKUP(D$2,#REF!,18,)</f>
        <v>#REF!</v>
      </c>
      <c r="E7" s="128" t="e">
        <f>VLOOKUP(E$2,#REF!,18,)</f>
        <v>#REF!</v>
      </c>
      <c r="F7" s="128" t="e">
        <f>VLOOKUP(F$2,#REF!,18,)</f>
        <v>#REF!</v>
      </c>
      <c r="G7" s="128" t="e">
        <f>VLOOKUP(G$2,#REF!,18,)</f>
        <v>#REF!</v>
      </c>
      <c r="H7" s="128" t="e">
        <f>VLOOKUP(H$2,#REF!,18,)</f>
        <v>#REF!</v>
      </c>
      <c r="I7" s="128" t="e">
        <f>VLOOKUP(I$2,#REF!,18,)</f>
        <v>#REF!</v>
      </c>
      <c r="J7" s="128" t="e">
        <f>VLOOKUP(J$2,#REF!,18,)</f>
        <v>#REF!</v>
      </c>
      <c r="K7" s="128" t="e">
        <f>VLOOKUP(K$2,#REF!,18,)</f>
        <v>#REF!</v>
      </c>
      <c r="L7" s="128" t="e">
        <f>VLOOKUP(L$2,#REF!,18,)</f>
        <v>#REF!</v>
      </c>
      <c r="M7" s="128" t="e">
        <f>VLOOKUP(M$2,#REF!,18,)</f>
        <v>#REF!</v>
      </c>
      <c r="N7" s="128">
        <f>RKAP!$S$17</f>
        <v>88.2</v>
      </c>
      <c r="O7" s="1">
        <v>6</v>
      </c>
      <c r="P7" s="41" t="e">
        <f t="shared" si="6"/>
        <v>#REF!</v>
      </c>
      <c r="Q7" s="131" t="e">
        <f>VLOOKUP(Q$1,#REF!,14,)</f>
        <v>#REF!</v>
      </c>
      <c r="R7" s="131" t="e">
        <f>VLOOKUP(Q$1,#REF!,16,)</f>
        <v>#REF!</v>
      </c>
      <c r="S7" s="124" t="e">
        <f t="shared" si="0"/>
        <v>#REF!</v>
      </c>
      <c r="T7" s="129" t="s">
        <v>191</v>
      </c>
      <c r="U7" s="131" t="e">
        <f t="shared" si="13"/>
        <v>#REF!</v>
      </c>
      <c r="V7" s="132" t="e">
        <f t="shared" si="1"/>
        <v>#REF!</v>
      </c>
      <c r="W7" s="138" t="e">
        <f t="shared" si="7"/>
        <v>#REF!</v>
      </c>
      <c r="X7" s="131" t="e">
        <f t="shared" si="8"/>
        <v>#REF!</v>
      </c>
      <c r="Y7" s="128" t="str">
        <f t="shared" si="3"/>
        <v/>
      </c>
      <c r="Z7" s="128" t="e">
        <f t="shared" si="4"/>
        <v>#VALUE!</v>
      </c>
      <c r="AC7" s="139">
        <f t="shared" si="14"/>
        <v>0</v>
      </c>
      <c r="AD7" s="139" t="e">
        <f t="shared" si="15"/>
        <v>#REF!</v>
      </c>
      <c r="AE7" s="140" t="e">
        <f t="shared" si="16"/>
        <v>#REF!</v>
      </c>
      <c r="AJ7" s="136" t="e">
        <f t="shared" ref="AJ7:AJ10" si="17">IF(D7&gt;N7,N7,D7)</f>
        <v>#REF!</v>
      </c>
      <c r="AK7" s="129" t="e">
        <f t="shared" si="10"/>
        <v>#REF!</v>
      </c>
      <c r="AL7" s="129" t="e">
        <f t="shared" si="11"/>
        <v>#REF!</v>
      </c>
      <c r="AM7" s="1" t="str">
        <f t="shared" si="12"/>
        <v>RFP (Type 1 SNI)/SprintPro</v>
      </c>
      <c r="AN7" s="1"/>
    </row>
    <row r="8" spans="1:40" ht="15.75" customHeight="1" x14ac:dyDescent="0.25">
      <c r="A8" s="137" t="s">
        <v>96</v>
      </c>
      <c r="B8" s="128" t="e">
        <f>VLOOKUP(B$2,#REF!,24,)</f>
        <v>#REF!</v>
      </c>
      <c r="C8" s="128" t="e">
        <f>VLOOKUP(C$2,#REF!,24,)</f>
        <v>#REF!</v>
      </c>
      <c r="D8" s="128" t="e">
        <f>VLOOKUP(D$2,#REF!,24,)</f>
        <v>#REF!</v>
      </c>
      <c r="E8" s="128" t="e">
        <f>VLOOKUP(E$2,#REF!,24,)</f>
        <v>#REF!</v>
      </c>
      <c r="F8" s="128" t="e">
        <f>VLOOKUP(F$2,#REF!,24,)</f>
        <v>#REF!</v>
      </c>
      <c r="G8" s="128" t="e">
        <f>VLOOKUP(G$2,#REF!,24,)</f>
        <v>#REF!</v>
      </c>
      <c r="H8" s="128" t="e">
        <f>VLOOKUP(H$2,#REF!,24,)</f>
        <v>#REF!</v>
      </c>
      <c r="I8" s="128" t="e">
        <f>VLOOKUP(I$2,#REF!,24,)</f>
        <v>#REF!</v>
      </c>
      <c r="J8" s="128" t="e">
        <f>VLOOKUP(J$2,#REF!,24,)</f>
        <v>#REF!</v>
      </c>
      <c r="K8" s="128" t="e">
        <f>VLOOKUP(K$2,#REF!,24,)</f>
        <v>#REF!</v>
      </c>
      <c r="L8" s="128" t="e">
        <f>VLOOKUP(L$2,#REF!,24,)</f>
        <v>#REF!</v>
      </c>
      <c r="M8" s="128" t="e">
        <f>VLOOKUP(M$2,#REF!,24,)</f>
        <v>#REF!</v>
      </c>
      <c r="N8" s="128">
        <f>RKAP!$Y$17</f>
        <v>96.4</v>
      </c>
      <c r="O8" s="1">
        <v>7</v>
      </c>
      <c r="P8" s="41" t="e">
        <f t="shared" si="6"/>
        <v>#REF!</v>
      </c>
      <c r="Q8" s="131" t="e">
        <f>VLOOKUP(Q$1,#REF!,20,)</f>
        <v>#REF!</v>
      </c>
      <c r="R8" s="131" t="e">
        <f>VLOOKUP(Q$1,#REF!,22,)</f>
        <v>#REF!</v>
      </c>
      <c r="S8" s="124" t="e">
        <f t="shared" si="0"/>
        <v>#REF!</v>
      </c>
      <c r="T8" s="129" t="s">
        <v>191</v>
      </c>
      <c r="U8" s="131" t="e">
        <f t="shared" si="13"/>
        <v>#REF!</v>
      </c>
      <c r="V8" s="132" t="e">
        <f t="shared" si="1"/>
        <v>#REF!</v>
      </c>
      <c r="W8" s="138" t="e">
        <f t="shared" si="7"/>
        <v>#REF!</v>
      </c>
      <c r="X8" s="131" t="e">
        <f t="shared" si="8"/>
        <v>#REF!</v>
      </c>
      <c r="Y8" s="128" t="str">
        <f t="shared" si="3"/>
        <v/>
      </c>
      <c r="Z8" s="128" t="e">
        <f t="shared" si="4"/>
        <v>#VALUE!</v>
      </c>
      <c r="AC8" s="139">
        <f t="shared" si="14"/>
        <v>0</v>
      </c>
      <c r="AD8" s="139" t="e">
        <f t="shared" si="15"/>
        <v>#REF!</v>
      </c>
      <c r="AE8" s="140" t="e">
        <f t="shared" si="16"/>
        <v>#REF!</v>
      </c>
      <c r="AJ8" s="136" t="e">
        <f t="shared" si="17"/>
        <v>#REF!</v>
      </c>
      <c r="AK8" s="129" t="e">
        <f t="shared" si="10"/>
        <v>#REF!</v>
      </c>
      <c r="AL8" s="129" t="e">
        <f t="shared" si="11"/>
        <v>#REF!</v>
      </c>
      <c r="AM8" s="1" t="str">
        <f t="shared" si="12"/>
        <v>OWC/SuperTermo</v>
      </c>
      <c r="AN8" s="1"/>
    </row>
    <row r="9" spans="1:40" ht="15.75" customHeight="1" x14ac:dyDescent="0.25">
      <c r="A9" s="137" t="s">
        <v>97</v>
      </c>
      <c r="B9" s="128" t="e">
        <f>VLOOKUP(B$2,#REF!,30,)</f>
        <v>#REF!</v>
      </c>
      <c r="C9" s="128" t="e">
        <f>VLOOKUP(C$2,#REF!,30,)</f>
        <v>#REF!</v>
      </c>
      <c r="D9" s="128" t="e">
        <f>VLOOKUP(D$2,#REF!,30,)</f>
        <v>#REF!</v>
      </c>
      <c r="E9" s="128" t="e">
        <f>VLOOKUP(E$2,#REF!,30,)</f>
        <v>#REF!</v>
      </c>
      <c r="F9" s="128" t="e">
        <f>VLOOKUP(F$2,#REF!,30,)</f>
        <v>#REF!</v>
      </c>
      <c r="G9" s="128" t="e">
        <f>VLOOKUP(G$2,#REF!,30,)</f>
        <v>#REF!</v>
      </c>
      <c r="H9" s="128" t="e">
        <f>VLOOKUP(H$2,#REF!,30,)</f>
        <v>#REF!</v>
      </c>
      <c r="I9" s="128" t="e">
        <f>VLOOKUP(I$2,#REF!,30,)</f>
        <v>#REF!</v>
      </c>
      <c r="J9" s="128" t="e">
        <f>VLOOKUP(J$2,#REF!,30,)</f>
        <v>#REF!</v>
      </c>
      <c r="K9" s="128" t="e">
        <f>VLOOKUP(K$2,#REF!,30,)</f>
        <v>#REF!</v>
      </c>
      <c r="L9" s="128" t="e">
        <f>VLOOKUP(L$2,#REF!,30,)</f>
        <v>#REF!</v>
      </c>
      <c r="M9" s="128" t="e">
        <f>VLOOKUP(M$2,#REF!,30,)</f>
        <v>#REF!</v>
      </c>
      <c r="N9" s="128">
        <f>RKAP!$AE$17</f>
        <v>93.8</v>
      </c>
      <c r="O9" s="1">
        <v>8</v>
      </c>
      <c r="P9" s="41" t="e">
        <f t="shared" si="6"/>
        <v>#REF!</v>
      </c>
      <c r="Q9" s="131" t="e">
        <f>VLOOKUP(Q$1,#REF!,26,)</f>
        <v>#REF!</v>
      </c>
      <c r="R9" s="131" t="e">
        <f>VLOOKUP(Q$1,#REF!,28,)</f>
        <v>#REF!</v>
      </c>
      <c r="S9" s="124" t="e">
        <f t="shared" si="0"/>
        <v>#REF!</v>
      </c>
      <c r="T9" s="129" t="s">
        <v>191</v>
      </c>
      <c r="U9" s="131" t="e">
        <f t="shared" si="13"/>
        <v>#REF!</v>
      </c>
      <c r="V9" s="132" t="e">
        <f t="shared" si="1"/>
        <v>#REF!</v>
      </c>
      <c r="W9" s="138" t="e">
        <f t="shared" si="7"/>
        <v>#REF!</v>
      </c>
      <c r="X9" s="131" t="e">
        <f t="shared" si="8"/>
        <v>#REF!</v>
      </c>
      <c r="Y9" s="128" t="str">
        <f t="shared" si="3"/>
        <v/>
      </c>
      <c r="Z9" s="128" t="e">
        <f t="shared" si="4"/>
        <v>#VALUE!</v>
      </c>
      <c r="AC9" s="139">
        <f t="shared" si="14"/>
        <v>0</v>
      </c>
      <c r="AD9" s="139" t="e">
        <f t="shared" si="15"/>
        <v>#REF!</v>
      </c>
      <c r="AE9" s="140" t="e">
        <f t="shared" si="16"/>
        <v>#REF!</v>
      </c>
      <c r="AJ9" s="136" t="e">
        <f t="shared" si="17"/>
        <v>#REF!</v>
      </c>
      <c r="AK9" s="129" t="e">
        <f t="shared" si="10"/>
        <v>#REF!</v>
      </c>
      <c r="AL9" s="129" t="e">
        <f t="shared" si="11"/>
        <v>#REF!</v>
      </c>
      <c r="AM9" s="1" t="str">
        <f t="shared" si="12"/>
        <v>Type 5/DuPro+ HSR</v>
      </c>
      <c r="AN9" s="1"/>
    </row>
    <row r="10" spans="1:40" ht="15.75" customHeight="1" x14ac:dyDescent="0.25">
      <c r="A10" s="1" t="s">
        <v>98</v>
      </c>
      <c r="B10" s="128" t="e">
        <f>VLOOKUP(B$2,#REF!,36,)</f>
        <v>#REF!</v>
      </c>
      <c r="C10" s="128" t="e">
        <f>VLOOKUP(C$2,#REF!,36,)</f>
        <v>#REF!</v>
      </c>
      <c r="D10" s="128" t="e">
        <f>VLOOKUP(D$2,#REF!,36,)</f>
        <v>#REF!</v>
      </c>
      <c r="E10" s="128" t="e">
        <f>VLOOKUP(E$2,#REF!,36,)</f>
        <v>#REF!</v>
      </c>
      <c r="F10" s="128" t="e">
        <f>VLOOKUP(F$2,#REF!,36,)</f>
        <v>#REF!</v>
      </c>
      <c r="G10" s="128" t="e">
        <f>VLOOKUP(G$2,#REF!,36,)</f>
        <v>#REF!</v>
      </c>
      <c r="H10" s="128" t="e">
        <f>VLOOKUP(H$2,#REF!,36,)</f>
        <v>#REF!</v>
      </c>
      <c r="I10" s="128" t="e">
        <f>VLOOKUP(I$2,#REF!,36,)</f>
        <v>#REF!</v>
      </c>
      <c r="J10" s="128" t="e">
        <f>VLOOKUP(J$2,#REF!,36,)</f>
        <v>#REF!</v>
      </c>
      <c r="K10" s="128" t="e">
        <f>VLOOKUP(K$2,#REF!,36,)</f>
        <v>#REF!</v>
      </c>
      <c r="L10" s="128" t="e">
        <f>VLOOKUP(L$2,#REF!,36,)</f>
        <v>#REF!</v>
      </c>
      <c r="M10" s="128" t="e">
        <f>VLOOKUP(M$2,#REF!,36,)</f>
        <v>#REF!</v>
      </c>
      <c r="N10" s="128">
        <f>RKAP!$AK$17</f>
        <v>70</v>
      </c>
      <c r="O10" s="1">
        <v>9</v>
      </c>
      <c r="P10" s="128" t="e">
        <f t="shared" si="6"/>
        <v>#REF!</v>
      </c>
      <c r="Q10" s="131" t="e">
        <f>VLOOKUP(Q$1,#REF!,32,)</f>
        <v>#REF!</v>
      </c>
      <c r="R10" s="131" t="e">
        <f>VLOOKUP(Q$1,#REF!,34,)</f>
        <v>#REF!</v>
      </c>
      <c r="S10" s="124" t="e">
        <f t="shared" si="0"/>
        <v>#REF!</v>
      </c>
      <c r="T10" s="129" t="s">
        <v>191</v>
      </c>
      <c r="U10" s="131" t="e">
        <f t="shared" si="13"/>
        <v>#REF!</v>
      </c>
      <c r="V10" s="111" t="e">
        <f t="shared" si="1"/>
        <v>#REF!</v>
      </c>
      <c r="W10" s="138" t="e">
        <f t="shared" si="7"/>
        <v>#REF!</v>
      </c>
      <c r="X10" s="131" t="e">
        <f t="shared" si="8"/>
        <v>#REF!</v>
      </c>
      <c r="Y10" s="128" t="str">
        <f t="shared" si="3"/>
        <v/>
      </c>
      <c r="Z10" s="128" t="e">
        <f t="shared" si="4"/>
        <v>#VALUE!</v>
      </c>
      <c r="AC10" s="139">
        <f t="shared" si="14"/>
        <v>0</v>
      </c>
      <c r="AD10" s="139" t="e">
        <f t="shared" si="15"/>
        <v>#REF!</v>
      </c>
      <c r="AE10" s="140" t="e">
        <f t="shared" si="16"/>
        <v>#REF!</v>
      </c>
      <c r="AJ10" s="136" t="e">
        <f t="shared" si="17"/>
        <v>#REF!</v>
      </c>
      <c r="AK10" s="129" t="e">
        <f t="shared" si="10"/>
        <v>#REF!</v>
      </c>
      <c r="AL10" s="129" t="e">
        <f t="shared" si="11"/>
        <v>#REF!</v>
      </c>
      <c r="AM10" s="1" t="str">
        <f t="shared" si="12"/>
        <v>Power Max/PowerPro</v>
      </c>
      <c r="AN10" s="1"/>
    </row>
    <row r="11" spans="1:40" ht="15.75" customHeight="1" x14ac:dyDescent="0.3">
      <c r="A11" s="121" t="s">
        <v>146</v>
      </c>
      <c r="B11" s="122" t="e">
        <f>VLOOKUP(B$2,#REF!,30,)</f>
        <v>#REF!</v>
      </c>
      <c r="C11" s="122" t="e">
        <f>VLOOKUP(C$2,#REF!,30,)</f>
        <v>#REF!</v>
      </c>
      <c r="D11" s="122" t="e">
        <f>VLOOKUP(D$2,#REF!,30,)</f>
        <v>#REF!</v>
      </c>
      <c r="E11" s="122" t="e">
        <f>VLOOKUP(E$2,#REF!,30,)</f>
        <v>#REF!</v>
      </c>
      <c r="F11" s="122" t="e">
        <f>VLOOKUP(F$2,#REF!,30,)</f>
        <v>#REF!</v>
      </c>
      <c r="G11" s="122" t="e">
        <f>VLOOKUP(G$2,#REF!,30,)</f>
        <v>#REF!</v>
      </c>
      <c r="H11" s="122" t="e">
        <f>VLOOKUP(H$2,#REF!,30,)</f>
        <v>#REF!</v>
      </c>
      <c r="I11" s="122" t="e">
        <f>VLOOKUP(I$2,#REF!,30,)</f>
        <v>#REF!</v>
      </c>
      <c r="J11" s="122" t="e">
        <f>VLOOKUP(J$2,#REF!,30,)</f>
        <v>#REF!</v>
      </c>
      <c r="K11" s="122" t="e">
        <f>VLOOKUP(K$2,#REF!,30,)</f>
        <v>#REF!</v>
      </c>
      <c r="L11" s="122" t="e">
        <f>VLOOKUP(L$2,#REF!,30,)</f>
        <v>#REF!</v>
      </c>
      <c r="M11" s="122" t="e">
        <f>VLOOKUP(M$2,#REF!,30,)</f>
        <v>#REF!</v>
      </c>
      <c r="N11" s="123">
        <f>RKAP!$AE$34</f>
        <v>58.61</v>
      </c>
      <c r="O11" s="1">
        <v>10</v>
      </c>
      <c r="S11" s="124" t="str">
        <f t="shared" si="0"/>
        <v/>
      </c>
      <c r="T11" s="125"/>
      <c r="U11" s="41" t="str">
        <f t="shared" si="13"/>
        <v/>
      </c>
      <c r="V11" s="138" t="str">
        <f t="shared" si="1"/>
        <v/>
      </c>
      <c r="W11" s="127" t="e">
        <f t="shared" ref="W11:X11" si="18">SUM(W12:W14)</f>
        <v>#REF!</v>
      </c>
      <c r="X11" s="127" t="e">
        <f t="shared" si="18"/>
        <v>#REF!</v>
      </c>
      <c r="Y11" s="128" t="str">
        <f t="shared" si="3"/>
        <v/>
      </c>
      <c r="Z11" s="128" t="e">
        <f t="shared" si="4"/>
        <v>#VALUE!</v>
      </c>
      <c r="AK11" s="129" t="e">
        <f t="shared" ref="AK11:AL11" si="19">SUM(AK12:AK14)</f>
        <v>#REF!</v>
      </c>
      <c r="AL11" s="129" t="e">
        <f t="shared" si="19"/>
        <v>#REF!</v>
      </c>
      <c r="AM11" s="130" t="e">
        <f>A11&amp;" = "&amp;ROUNDUP((AK11/AL11*100),2)</f>
        <v>#REF!</v>
      </c>
      <c r="AN11" s="1"/>
    </row>
    <row r="12" spans="1:40" ht="15.75" customHeight="1" x14ac:dyDescent="0.25">
      <c r="A12" s="142" t="s">
        <v>193</v>
      </c>
      <c r="B12" s="128" t="e">
        <f>VLOOKUP(B$2,#REF!,6,)</f>
        <v>#REF!</v>
      </c>
      <c r="C12" s="128" t="e">
        <f>VLOOKUP(C$2,#REF!,6,)</f>
        <v>#REF!</v>
      </c>
      <c r="D12" s="128" t="e">
        <f>VLOOKUP(D$2,#REF!,6,)</f>
        <v>#REF!</v>
      </c>
      <c r="E12" s="128" t="e">
        <f>VLOOKUP(E$2,#REF!,6,)</f>
        <v>#REF!</v>
      </c>
      <c r="F12" s="128" t="e">
        <f>VLOOKUP(F$2,#REF!,6,)</f>
        <v>#REF!</v>
      </c>
      <c r="G12" s="128" t="e">
        <f>VLOOKUP(G$2,#REF!,6,)</f>
        <v>#REF!</v>
      </c>
      <c r="H12" s="128" t="e">
        <f>VLOOKUP(H$2,#REF!,6,)</f>
        <v>#REF!</v>
      </c>
      <c r="I12" s="128" t="e">
        <f>VLOOKUP(I$2,#REF!,6,)</f>
        <v>#REF!</v>
      </c>
      <c r="J12" s="128" t="e">
        <f>VLOOKUP(J$2,#REF!,6,)</f>
        <v>#REF!</v>
      </c>
      <c r="K12" s="128" t="e">
        <f>VLOOKUP(K$2,#REF!,6,)</f>
        <v>#REF!</v>
      </c>
      <c r="L12" s="128" t="e">
        <f>VLOOKUP(L$2,#REF!,6,)</f>
        <v>#REF!</v>
      </c>
      <c r="M12" s="128" t="e">
        <f>VLOOKUP(M$2,#REF!,6,)</f>
        <v>#REF!</v>
      </c>
      <c r="N12" s="128">
        <f>RKAP!$G$34</f>
        <v>58</v>
      </c>
      <c r="O12" s="1">
        <v>11</v>
      </c>
      <c r="P12" s="128" t="e">
        <f t="shared" ref="P12:P15" si="20">IF(HLOOKUP(Q$1,$B$2:$M$30,O12,)-N12&lt;=0,"",HLOOKUP(Q$1,$B$2:$M$30,O12,)-N12)</f>
        <v>#REF!</v>
      </c>
      <c r="Q12" s="131" t="e">
        <f>VLOOKUP(Q$1,#REF!,2,)</f>
        <v>#REF!</v>
      </c>
      <c r="R12" s="131" t="e">
        <f>VLOOKUP(Q$1,#REF!,4,)</f>
        <v>#REF!</v>
      </c>
      <c r="S12" s="124" t="e">
        <f t="shared" si="0"/>
        <v>#REF!</v>
      </c>
      <c r="T12" s="129" t="s">
        <v>191</v>
      </c>
      <c r="U12" s="131" t="e">
        <f t="shared" si="13"/>
        <v>#REF!</v>
      </c>
      <c r="V12" s="143" t="e">
        <f t="shared" si="1"/>
        <v>#REF!</v>
      </c>
      <c r="W12" s="138" t="e">
        <f t="shared" ref="W12:W15" si="21">IF(T12="Yes",V12,Q12)</f>
        <v>#REF!</v>
      </c>
      <c r="X12" s="131" t="e">
        <f t="shared" ref="X12:X15" si="22">R12</f>
        <v>#REF!</v>
      </c>
      <c r="Y12" s="128" t="str">
        <f t="shared" si="3"/>
        <v/>
      </c>
      <c r="Z12" s="128" t="e">
        <f t="shared" si="4"/>
        <v>#VALUE!</v>
      </c>
      <c r="AC12" s="144" t="e">
        <f>IF(Q12/R12*100&gt;=N12,N12/100*R12,Q12)</f>
        <v>#REF!</v>
      </c>
      <c r="AD12" s="144" t="e">
        <f t="shared" ref="AD12:AD15" si="23">X12</f>
        <v>#REF!</v>
      </c>
      <c r="AE12" s="145" t="e">
        <f t="shared" ref="AE12:AE15" si="24">C12</f>
        <v>#REF!</v>
      </c>
      <c r="AJ12" s="136" t="e">
        <f t="shared" ref="AJ12:AJ15" si="25">IF(D12&gt;N12,N12,D12)</f>
        <v>#REF!</v>
      </c>
      <c r="AK12" s="129" t="e">
        <f t="shared" ref="AK12:AK15" si="26">AJ12/100*AL12</f>
        <v>#REF!</v>
      </c>
      <c r="AL12" s="129" t="e">
        <f t="shared" ref="AL12:AL15" si="27">R12</f>
        <v>#REF!</v>
      </c>
      <c r="AM12" s="1" t="str">
        <f t="shared" ref="AM12:AM14" si="28">A12</f>
        <v>Dynamix/EzPro/PCC</v>
      </c>
      <c r="AN12" s="1"/>
    </row>
    <row r="13" spans="1:40" ht="15.75" customHeight="1" x14ac:dyDescent="0.25">
      <c r="A13" s="137" t="s">
        <v>95</v>
      </c>
      <c r="B13" s="128" t="e">
        <f>VLOOKUP(B$2,#REF!,12,)</f>
        <v>#REF!</v>
      </c>
      <c r="C13" s="128" t="e">
        <f>VLOOKUP(C$2,#REF!,12,)</f>
        <v>#REF!</v>
      </c>
      <c r="D13" s="128" t="e">
        <f>VLOOKUP(D$2,#REF!,12,)</f>
        <v>#REF!</v>
      </c>
      <c r="E13" s="128" t="e">
        <f>VLOOKUP(E$2,#REF!,12,)</f>
        <v>#REF!</v>
      </c>
      <c r="F13" s="128" t="e">
        <f>VLOOKUP(F$2,#REF!,12,)</f>
        <v>#REF!</v>
      </c>
      <c r="G13" s="128" t="e">
        <f>VLOOKUP(G$2,#REF!,12,)</f>
        <v>#REF!</v>
      </c>
      <c r="H13" s="128" t="e">
        <f>VLOOKUP(H$2,#REF!,12,)</f>
        <v>#REF!</v>
      </c>
      <c r="I13" s="128" t="e">
        <f>VLOOKUP(I$2,#REF!,12,)</f>
        <v>#REF!</v>
      </c>
      <c r="J13" s="128" t="e">
        <f>VLOOKUP(J$2,#REF!,12,)</f>
        <v>#REF!</v>
      </c>
      <c r="K13" s="128" t="e">
        <f>VLOOKUP(K$2,#REF!,12,)</f>
        <v>#REF!</v>
      </c>
      <c r="L13" s="128" t="e">
        <f>VLOOKUP(L$2,#REF!,12,)</f>
        <v>#REF!</v>
      </c>
      <c r="M13" s="128" t="e">
        <f>VLOOKUP(M$2,#REF!,12,)</f>
        <v>#REF!</v>
      </c>
      <c r="N13" s="128">
        <f>RKAP!$M$34</f>
        <v>91.12</v>
      </c>
      <c r="O13" s="1">
        <v>12</v>
      </c>
      <c r="P13" s="41" t="e">
        <f t="shared" si="20"/>
        <v>#REF!</v>
      </c>
      <c r="Q13" s="131" t="e">
        <f>VLOOKUP(Q$1,#REF!,8,)</f>
        <v>#REF!</v>
      </c>
      <c r="R13" s="131" t="e">
        <f>VLOOKUP(Q$1,#REF!,10,)</f>
        <v>#REF!</v>
      </c>
      <c r="S13" s="124" t="e">
        <f t="shared" si="0"/>
        <v>#REF!</v>
      </c>
      <c r="T13" s="129" t="s">
        <v>191</v>
      </c>
      <c r="U13" s="131" t="e">
        <f t="shared" si="13"/>
        <v>#REF!</v>
      </c>
      <c r="V13" s="132" t="e">
        <f t="shared" si="1"/>
        <v>#REF!</v>
      </c>
      <c r="W13" s="138" t="e">
        <f t="shared" si="21"/>
        <v>#REF!</v>
      </c>
      <c r="X13" s="131" t="e">
        <f t="shared" si="22"/>
        <v>#REF!</v>
      </c>
      <c r="Y13" s="128" t="str">
        <f t="shared" si="3"/>
        <v/>
      </c>
      <c r="Z13" s="128" t="e">
        <f t="shared" si="4"/>
        <v>#VALUE!</v>
      </c>
      <c r="AC13" s="139">
        <f t="shared" ref="AC13:AC14" si="29">IFERROR(IF(Q13/R13*100&gt;=N13,N13/100*R13,Q13),0)</f>
        <v>0</v>
      </c>
      <c r="AD13" s="139" t="e">
        <f t="shared" si="23"/>
        <v>#REF!</v>
      </c>
      <c r="AE13" s="140" t="e">
        <f t="shared" si="24"/>
        <v>#REF!</v>
      </c>
      <c r="AJ13" s="136" t="e">
        <f t="shared" si="25"/>
        <v>#REF!</v>
      </c>
      <c r="AK13" s="129" t="e">
        <f t="shared" si="26"/>
        <v>#REF!</v>
      </c>
      <c r="AL13" s="129" t="e">
        <f t="shared" si="27"/>
        <v>#REF!</v>
      </c>
      <c r="AM13" s="1" t="str">
        <f t="shared" si="28"/>
        <v>RFP (Type 1 SNI)/SprintPro</v>
      </c>
      <c r="AN13" s="1"/>
    </row>
    <row r="14" spans="1:40" ht="15.75" customHeight="1" x14ac:dyDescent="0.25">
      <c r="A14" s="1" t="s">
        <v>98</v>
      </c>
      <c r="B14" s="128" t="e">
        <f>VLOOKUP(B$2,#REF!,36,)</f>
        <v>#REF!</v>
      </c>
      <c r="C14" s="128" t="e">
        <f>VLOOKUP(C$2,#REF!,36,)</f>
        <v>#REF!</v>
      </c>
      <c r="D14" s="128" t="e">
        <f>VLOOKUP(D$2,#REF!,36,)</f>
        <v>#REF!</v>
      </c>
      <c r="E14" s="128" t="e">
        <f>VLOOKUP(E$2,#REF!,36,)</f>
        <v>#REF!</v>
      </c>
      <c r="F14" s="128" t="e">
        <f>VLOOKUP(F$2,#REF!,36,)</f>
        <v>#REF!</v>
      </c>
      <c r="G14" s="128" t="e">
        <f>VLOOKUP(G$2,#REF!,36,)</f>
        <v>#REF!</v>
      </c>
      <c r="H14" s="128" t="e">
        <f>VLOOKUP(H$2,#REF!,36,)</f>
        <v>#REF!</v>
      </c>
      <c r="I14" s="128" t="e">
        <f>VLOOKUP(I$2,#REF!,36,)</f>
        <v>#REF!</v>
      </c>
      <c r="J14" s="128" t="e">
        <f>VLOOKUP(J$2,#REF!,36,)</f>
        <v>#REF!</v>
      </c>
      <c r="K14" s="128" t="e">
        <f>VLOOKUP(K$2,#REF!,36,)</f>
        <v>#REF!</v>
      </c>
      <c r="L14" s="128" t="e">
        <f>VLOOKUP(L$2,#REF!,36,)</f>
        <v>#REF!</v>
      </c>
      <c r="M14" s="128" t="e">
        <f>VLOOKUP(M$2,#REF!,36,)</f>
        <v>#REF!</v>
      </c>
      <c r="N14" s="146">
        <f>N10</f>
        <v>70</v>
      </c>
      <c r="O14" s="1">
        <v>13</v>
      </c>
      <c r="P14" s="41" t="e">
        <f t="shared" si="20"/>
        <v>#REF!</v>
      </c>
      <c r="Q14" s="131" t="e">
        <f>VLOOKUP(Q$1,#REF!,32,)</f>
        <v>#REF!</v>
      </c>
      <c r="R14" s="131" t="e">
        <f>VLOOKUP(Q$1,#REF!,34,)</f>
        <v>#REF!</v>
      </c>
      <c r="S14" s="124" t="e">
        <f t="shared" si="0"/>
        <v>#REF!</v>
      </c>
      <c r="T14" s="129" t="s">
        <v>191</v>
      </c>
      <c r="U14" s="131" t="e">
        <f t="shared" si="13"/>
        <v>#REF!</v>
      </c>
      <c r="V14" s="111" t="e">
        <f t="shared" si="1"/>
        <v>#REF!</v>
      </c>
      <c r="W14" s="138" t="e">
        <f t="shared" si="21"/>
        <v>#REF!</v>
      </c>
      <c r="X14" s="131" t="e">
        <f t="shared" si="22"/>
        <v>#REF!</v>
      </c>
      <c r="Y14" s="128" t="str">
        <f t="shared" si="3"/>
        <v/>
      </c>
      <c r="Z14" s="128" t="e">
        <f t="shared" si="4"/>
        <v>#VALUE!</v>
      </c>
      <c r="AC14" s="139">
        <f t="shared" si="29"/>
        <v>0</v>
      </c>
      <c r="AD14" s="139" t="e">
        <f t="shared" si="23"/>
        <v>#REF!</v>
      </c>
      <c r="AE14" s="140" t="e">
        <f t="shared" si="24"/>
        <v>#REF!</v>
      </c>
      <c r="AJ14" s="136" t="e">
        <f t="shared" si="25"/>
        <v>#REF!</v>
      </c>
      <c r="AK14" s="129" t="e">
        <f t="shared" si="26"/>
        <v>#REF!</v>
      </c>
      <c r="AL14" s="129" t="e">
        <f t="shared" si="27"/>
        <v>#REF!</v>
      </c>
      <c r="AM14" s="1" t="str">
        <f t="shared" si="28"/>
        <v>Power Max/PowerPro</v>
      </c>
      <c r="AN14" s="1"/>
    </row>
    <row r="15" spans="1:40" ht="15.75" customHeight="1" x14ac:dyDescent="0.3">
      <c r="A15" s="147" t="s">
        <v>194</v>
      </c>
      <c r="B15" s="122" t="e">
        <f>VLOOKUP(B$2,#REF!,6,)</f>
        <v>#REF!</v>
      </c>
      <c r="C15" s="122" t="e">
        <f>VLOOKUP(C$2,#REF!,6,)</f>
        <v>#REF!</v>
      </c>
      <c r="D15" s="122" t="e">
        <f>VLOOKUP(D$2,#REF!,6,)</f>
        <v>#REF!</v>
      </c>
      <c r="E15" s="122" t="e">
        <f>VLOOKUP(E$2,#REF!,6,)</f>
        <v>#REF!</v>
      </c>
      <c r="F15" s="122" t="e">
        <f>VLOOKUP(F$2,#REF!,6,)</f>
        <v>#REF!</v>
      </c>
      <c r="G15" s="122" t="e">
        <f>VLOOKUP(G$2,#REF!,6,)</f>
        <v>#REF!</v>
      </c>
      <c r="H15" s="122" t="e">
        <f>VLOOKUP(H$2,#REF!,6,)</f>
        <v>#REF!</v>
      </c>
      <c r="I15" s="122" t="e">
        <f>VLOOKUP(I$2,#REF!,6,)</f>
        <v>#REF!</v>
      </c>
      <c r="J15" s="122" t="e">
        <f>VLOOKUP(J$2,#REF!,6,)</f>
        <v>#REF!</v>
      </c>
      <c r="K15" s="122" t="e">
        <f>VLOOKUP(K$2,#REF!,6,)</f>
        <v>#REF!</v>
      </c>
      <c r="L15" s="122" t="e">
        <f>VLOOKUP(L$2,#REF!,6,)</f>
        <v>#REF!</v>
      </c>
      <c r="M15" s="122" t="e">
        <f>VLOOKUP(M$2,#REF!,6,)</f>
        <v>#REF!</v>
      </c>
      <c r="N15" s="123">
        <f>RKAP!$G$51</f>
        <v>58</v>
      </c>
      <c r="O15" s="1">
        <v>14</v>
      </c>
      <c r="P15" s="128" t="e">
        <f t="shared" si="20"/>
        <v>#REF!</v>
      </c>
      <c r="Q15" s="131" t="e">
        <f>VLOOKUP(Q$1,#REF!,2,)</f>
        <v>#REF!</v>
      </c>
      <c r="R15" s="131" t="e">
        <f>VLOOKUP(Q$1,#REF!,4,)</f>
        <v>#REF!</v>
      </c>
      <c r="S15" s="124" t="e">
        <f t="shared" si="0"/>
        <v>#REF!</v>
      </c>
      <c r="T15" s="129" t="s">
        <v>191</v>
      </c>
      <c r="U15" s="131" t="e">
        <f t="shared" si="13"/>
        <v>#REF!</v>
      </c>
      <c r="V15" s="143" t="e">
        <f t="shared" si="1"/>
        <v>#REF!</v>
      </c>
      <c r="W15" s="127" t="e">
        <f t="shared" si="21"/>
        <v>#REF!</v>
      </c>
      <c r="X15" s="127" t="e">
        <f t="shared" si="22"/>
        <v>#REF!</v>
      </c>
      <c r="Y15" s="128" t="str">
        <f t="shared" si="3"/>
        <v/>
      </c>
      <c r="Z15" s="128" t="e">
        <f t="shared" si="4"/>
        <v>#VALUE!</v>
      </c>
      <c r="AC15" s="144" t="e">
        <f>IF(Q15/R15*100&gt;=N15,N15/100*R15,Q15)</f>
        <v>#REF!</v>
      </c>
      <c r="AD15" s="144" t="e">
        <f t="shared" si="23"/>
        <v>#REF!</v>
      </c>
      <c r="AE15" s="145" t="e">
        <f t="shared" si="24"/>
        <v>#REF!</v>
      </c>
      <c r="AJ15" s="136" t="e">
        <f t="shared" si="25"/>
        <v>#REF!</v>
      </c>
      <c r="AK15" s="129" t="e">
        <f t="shared" si="26"/>
        <v>#REF!</v>
      </c>
      <c r="AL15" s="129" t="e">
        <f t="shared" si="27"/>
        <v>#REF!</v>
      </c>
      <c r="AM15" s="130" t="e">
        <f t="shared" ref="AM15:AM16" si="30">A15&amp;" = "&amp;ROUNDUP((AK15/AL15*100),2)</f>
        <v>#REF!</v>
      </c>
      <c r="AN15" s="1"/>
    </row>
    <row r="16" spans="1:40" ht="15.75" customHeight="1" x14ac:dyDescent="0.3">
      <c r="A16" s="121" t="s">
        <v>148</v>
      </c>
      <c r="B16" s="122" t="e">
        <f>VLOOKUP(B$2,#REF!,30,)</f>
        <v>#REF!</v>
      </c>
      <c r="C16" s="122" t="e">
        <f>VLOOKUP(C$2,#REF!,30,)</f>
        <v>#REF!</v>
      </c>
      <c r="D16" s="122" t="e">
        <f>VLOOKUP(D$2,#REF!,30,)</f>
        <v>#REF!</v>
      </c>
      <c r="E16" s="122" t="e">
        <f>VLOOKUP(E$2,#REF!,30,)</f>
        <v>#REF!</v>
      </c>
      <c r="F16" s="122" t="e">
        <f>VLOOKUP(F$2,#REF!,30,)</f>
        <v>#REF!</v>
      </c>
      <c r="G16" s="122" t="e">
        <f>VLOOKUP(G$2,#REF!,30,)</f>
        <v>#REF!</v>
      </c>
      <c r="H16" s="122" t="e">
        <f>VLOOKUP(H$2,#REF!,30,)</f>
        <v>#REF!</v>
      </c>
      <c r="I16" s="122" t="e">
        <f>VLOOKUP(I$2,#REF!,30,)</f>
        <v>#REF!</v>
      </c>
      <c r="J16" s="122" t="e">
        <f>VLOOKUP(J$2,#REF!,30,)</f>
        <v>#REF!</v>
      </c>
      <c r="K16" s="122" t="e">
        <f>VLOOKUP(K$2,#REF!,30,)</f>
        <v>#REF!</v>
      </c>
      <c r="L16" s="122" t="e">
        <f>VLOOKUP(L$2,#REF!,30,)</f>
        <v>#REF!</v>
      </c>
      <c r="M16" s="122" t="e">
        <f>VLOOKUP(M$2,#REF!,30,)</f>
        <v>#REF!</v>
      </c>
      <c r="N16" s="123">
        <f>RKAP!$AE$68</f>
        <v>89.81</v>
      </c>
      <c r="O16" s="1">
        <v>15</v>
      </c>
      <c r="S16" s="124" t="str">
        <f t="shared" si="0"/>
        <v/>
      </c>
      <c r="T16" s="125"/>
      <c r="U16" s="41" t="str">
        <f t="shared" si="13"/>
        <v/>
      </c>
      <c r="V16" s="138" t="str">
        <f t="shared" si="1"/>
        <v/>
      </c>
      <c r="W16" s="127" t="e">
        <f t="shared" ref="W16:X16" si="31">SUM(W17:W20)</f>
        <v>#REF!</v>
      </c>
      <c r="X16" s="127" t="e">
        <f t="shared" si="31"/>
        <v>#REF!</v>
      </c>
      <c r="Y16" s="128" t="str">
        <f t="shared" si="3"/>
        <v/>
      </c>
      <c r="Z16" s="128" t="e">
        <f t="shared" si="4"/>
        <v>#VALUE!</v>
      </c>
      <c r="AK16" s="129" t="e">
        <f t="shared" ref="AK16:AL16" si="32">SUM(AK17:AK20)</f>
        <v>#REF!</v>
      </c>
      <c r="AL16" s="129" t="e">
        <f t="shared" si="32"/>
        <v>#REF!</v>
      </c>
      <c r="AM16" s="130" t="e">
        <f t="shared" si="30"/>
        <v>#REF!</v>
      </c>
      <c r="AN16" s="1"/>
    </row>
    <row r="17" spans="1:40" ht="15.75" customHeight="1" x14ac:dyDescent="0.3">
      <c r="A17" s="1" t="s">
        <v>189</v>
      </c>
      <c r="B17" s="128" t="e">
        <f>VLOOKUP(B$2,#REF!,6,)</f>
        <v>#REF!</v>
      </c>
      <c r="C17" s="128" t="e">
        <f>VLOOKUP(C$2,#REF!,6,)</f>
        <v>#REF!</v>
      </c>
      <c r="D17" s="128" t="e">
        <f>VLOOKUP(D$2,#REF!,6,)</f>
        <v>#REF!</v>
      </c>
      <c r="E17" s="128" t="e">
        <f>VLOOKUP(E$2,#REF!,6,)</f>
        <v>#REF!</v>
      </c>
      <c r="F17" s="128" t="e">
        <f>VLOOKUP(F$2,#REF!,6,)</f>
        <v>#REF!</v>
      </c>
      <c r="G17" s="128" t="e">
        <f>VLOOKUP(G$2,#REF!,6,)</f>
        <v>#REF!</v>
      </c>
      <c r="H17" s="128" t="e">
        <f>VLOOKUP(H$2,#REF!,6,)</f>
        <v>#REF!</v>
      </c>
      <c r="I17" s="128" t="e">
        <f>VLOOKUP(I$2,#REF!,6,)</f>
        <v>#REF!</v>
      </c>
      <c r="J17" s="128" t="e">
        <f>VLOOKUP(J$2,#REF!,6,)</f>
        <v>#REF!</v>
      </c>
      <c r="K17" s="128" t="e">
        <f>VLOOKUP(K$2,#REF!,6,)</f>
        <v>#REF!</v>
      </c>
      <c r="L17" s="128" t="e">
        <f>VLOOKUP(L$2,#REF!,6,)</f>
        <v>#REF!</v>
      </c>
      <c r="M17" s="128" t="e">
        <f>VLOOKUP(M$2,#REF!,6,)</f>
        <v>#REF!</v>
      </c>
      <c r="N17" s="128">
        <f>RKAP!$G$68</f>
        <v>80.36</v>
      </c>
      <c r="O17" s="1">
        <v>16</v>
      </c>
      <c r="P17" s="128" t="e">
        <f t="shared" ref="P17:P20" si="33">IF(HLOOKUP(Q$1,$B$2:$M$30,O17,)-N17&lt;=0,"",HLOOKUP(Q$1,$B$2:$M$30,O17,)-N17)</f>
        <v>#REF!</v>
      </c>
      <c r="Q17" s="131" t="e">
        <f>VLOOKUP(Q$1,#REF!,2,)</f>
        <v>#REF!</v>
      </c>
      <c r="R17" s="131" t="e">
        <f>VLOOKUP(Q$1,#REF!,4,)</f>
        <v>#REF!</v>
      </c>
      <c r="S17" s="124" t="e">
        <f t="shared" si="0"/>
        <v>#REF!</v>
      </c>
      <c r="T17" s="129"/>
      <c r="U17" s="131"/>
      <c r="V17" s="132" t="str">
        <f t="shared" si="1"/>
        <v/>
      </c>
      <c r="W17" s="131" t="e">
        <f t="shared" ref="W17:W20" si="34">IF(T17="Yes",V17,Q17)</f>
        <v>#REF!</v>
      </c>
      <c r="X17" s="131" t="e">
        <f t="shared" ref="X17:X20" si="35">R17</f>
        <v>#REF!</v>
      </c>
      <c r="Y17" s="128" t="str">
        <f t="shared" si="3"/>
        <v/>
      </c>
      <c r="Z17" s="128" t="e">
        <f t="shared" si="4"/>
        <v>#VALUE!</v>
      </c>
      <c r="AA17" s="133" t="e">
        <f>R17/SUM(R17:R20)</f>
        <v>#REF!</v>
      </c>
      <c r="AC17" s="134" t="e">
        <f>Q17/R17*AD17</f>
        <v>#REF!</v>
      </c>
      <c r="AD17" s="134" t="e">
        <f>AF17/100*X16</f>
        <v>#REF!</v>
      </c>
      <c r="AF17" s="134">
        <v>5</v>
      </c>
      <c r="AG17" s="131"/>
      <c r="AH17" s="131"/>
      <c r="AI17" s="131"/>
      <c r="AJ17" s="136" t="e">
        <f>IF(D17&gt;N17,N17,D17)</f>
        <v>#REF!</v>
      </c>
      <c r="AK17" s="129" t="e">
        <f t="shared" ref="AK17:AK20" si="36">AJ17/100*AL17</f>
        <v>#REF!</v>
      </c>
      <c r="AL17" s="129" t="e">
        <f t="shared" ref="AL17:AL20" si="37">R17</f>
        <v>#REF!</v>
      </c>
      <c r="AM17" s="1" t="str">
        <f t="shared" ref="AM17:AM20" si="38">A17</f>
        <v>Dynamix/EzPro/PCC (Transisi)</v>
      </c>
      <c r="AN17" s="1"/>
    </row>
    <row r="18" spans="1:40" ht="15.75" customHeight="1" x14ac:dyDescent="0.25">
      <c r="A18" s="137" t="s">
        <v>192</v>
      </c>
      <c r="B18" s="128" t="str">
        <f>IFERROR(VLOOKUP(B$2,#REF!,12,),"")</f>
        <v/>
      </c>
      <c r="C18" s="128" t="str">
        <f>IFERROR(VLOOKUP(C$2,#REF!,12,),"")</f>
        <v/>
      </c>
      <c r="D18" s="128" t="str">
        <f>IFERROR(VLOOKUP(D$2,#REF!,12,),"")</f>
        <v/>
      </c>
      <c r="E18" s="128" t="str">
        <f>IFERROR(VLOOKUP(E$2,#REF!,12,),"")</f>
        <v/>
      </c>
      <c r="F18" s="128" t="str">
        <f>IFERROR(VLOOKUP(F$2,#REF!,12,),"")</f>
        <v/>
      </c>
      <c r="G18" s="128" t="str">
        <f>IFERROR(VLOOKUP(G$2,#REF!,12,),"")</f>
        <v/>
      </c>
      <c r="H18" s="128" t="str">
        <f>IFERROR(VLOOKUP(H$2,#REF!,12,),"")</f>
        <v/>
      </c>
      <c r="I18" s="128" t="str">
        <f>IFERROR(VLOOKUP(I$2,#REF!,12,),"")</f>
        <v/>
      </c>
      <c r="J18" s="128" t="str">
        <f>IFERROR(VLOOKUP(J$2,#REF!,12,),"")</f>
        <v/>
      </c>
      <c r="K18" s="128" t="str">
        <f>IFERROR(VLOOKUP(K$2,#REF!,12,),"")</f>
        <v/>
      </c>
      <c r="L18" s="128" t="str">
        <f>IFERROR(VLOOKUP(L$2,#REF!,12,),"")</f>
        <v/>
      </c>
      <c r="M18" s="128" t="str">
        <f>IFERROR(VLOOKUP(M$2,#REF!,12,),"")</f>
        <v/>
      </c>
      <c r="N18" s="146">
        <f>N25</f>
        <v>90.32</v>
      </c>
      <c r="O18" s="1">
        <v>17</v>
      </c>
      <c r="P18" s="41" t="e">
        <f t="shared" si="33"/>
        <v>#VALUE!</v>
      </c>
      <c r="Q18" s="131" t="str">
        <f>IFERROR(VLOOKUP(Q$1,#REF!,8,),"")</f>
        <v/>
      </c>
      <c r="R18" s="131" t="str">
        <f>IFERROR(VLOOKUP(Q$1,#REF!,10,),"")</f>
        <v/>
      </c>
      <c r="S18" s="124" t="e">
        <f t="shared" si="0"/>
        <v>#VALUE!</v>
      </c>
      <c r="T18" s="129" t="s">
        <v>191</v>
      </c>
      <c r="U18" s="131" t="str">
        <f t="shared" ref="U18:U25" si="39">IF(T18="Yes",Q18,"")</f>
        <v/>
      </c>
      <c r="V18" s="132" t="str">
        <f t="shared" si="1"/>
        <v/>
      </c>
      <c r="W18" s="138" t="str">
        <f t="shared" si="34"/>
        <v/>
      </c>
      <c r="X18" s="131" t="str">
        <f t="shared" si="35"/>
        <v/>
      </c>
      <c r="Y18" s="128" t="str">
        <f t="shared" si="3"/>
        <v/>
      </c>
      <c r="Z18" s="128" t="e">
        <f t="shared" si="4"/>
        <v>#VALUE!</v>
      </c>
      <c r="AC18" s="139">
        <f t="shared" ref="AC18:AC20" si="40">IFERROR(IF(Q18/R18*100&gt;=N18,N18/100*R18,Q18),0)</f>
        <v>0</v>
      </c>
      <c r="AD18" s="139" t="str">
        <f t="shared" ref="AD18:AD20" si="41">X18</f>
        <v/>
      </c>
      <c r="AE18" s="140" t="str">
        <f t="shared" ref="AE18:AE20" si="42">C18</f>
        <v/>
      </c>
      <c r="AJ18" s="141" t="str">
        <f>D18</f>
        <v/>
      </c>
      <c r="AK18" s="129" t="e">
        <f t="shared" si="36"/>
        <v>#VALUE!</v>
      </c>
      <c r="AL18" s="129" t="str">
        <f t="shared" si="37"/>
        <v/>
      </c>
      <c r="AM18" s="1" t="str">
        <f t="shared" si="38"/>
        <v>OPC (Type 1 General)/UltraPro - SG</v>
      </c>
      <c r="AN18" s="1"/>
    </row>
    <row r="19" spans="1:40" ht="15.75" customHeight="1" x14ac:dyDescent="0.25">
      <c r="A19" s="137" t="s">
        <v>95</v>
      </c>
      <c r="B19" s="128" t="e">
        <f>VLOOKUP(B$2,#REF!,18,)</f>
        <v>#REF!</v>
      </c>
      <c r="C19" s="128" t="e">
        <f>VLOOKUP(C$2,#REF!,18,)</f>
        <v>#REF!</v>
      </c>
      <c r="D19" s="128" t="e">
        <f>VLOOKUP(D$2,#REF!,18,)</f>
        <v>#REF!</v>
      </c>
      <c r="E19" s="128" t="e">
        <f>VLOOKUP(E$2,#REF!,18,)</f>
        <v>#REF!</v>
      </c>
      <c r="F19" s="128" t="e">
        <f>VLOOKUP(F$2,#REF!,18,)</f>
        <v>#REF!</v>
      </c>
      <c r="G19" s="128" t="e">
        <f>VLOOKUP(G$2,#REF!,18,)</f>
        <v>#REF!</v>
      </c>
      <c r="H19" s="128" t="e">
        <f>VLOOKUP(H$2,#REF!,18,)</f>
        <v>#REF!</v>
      </c>
      <c r="I19" s="128" t="e">
        <f>VLOOKUP(I$2,#REF!,18,)</f>
        <v>#REF!</v>
      </c>
      <c r="J19" s="128" t="e">
        <f>VLOOKUP(J$2,#REF!,18,)</f>
        <v>#REF!</v>
      </c>
      <c r="K19" s="128" t="e">
        <f>VLOOKUP(K$2,#REF!,18,)</f>
        <v>#REF!</v>
      </c>
      <c r="L19" s="128" t="e">
        <f>VLOOKUP(L$2,#REF!,18,)</f>
        <v>#REF!</v>
      </c>
      <c r="M19" s="128" t="e">
        <f>VLOOKUP(M$2,#REF!,18,)</f>
        <v>#REF!</v>
      </c>
      <c r="N19" s="128">
        <f>RKAP!$S$68</f>
        <v>86.96</v>
      </c>
      <c r="O19" s="1">
        <v>18</v>
      </c>
      <c r="P19" s="41" t="e">
        <f t="shared" si="33"/>
        <v>#REF!</v>
      </c>
      <c r="Q19" s="131" t="e">
        <f>VLOOKUP(Q$1,#REF!,14,)</f>
        <v>#REF!</v>
      </c>
      <c r="R19" s="131" t="e">
        <f>VLOOKUP(Q$1,#REF!,16,)</f>
        <v>#REF!</v>
      </c>
      <c r="S19" s="124" t="e">
        <f t="shared" si="0"/>
        <v>#REF!</v>
      </c>
      <c r="T19" s="129" t="s">
        <v>191</v>
      </c>
      <c r="U19" s="131" t="e">
        <f t="shared" si="39"/>
        <v>#REF!</v>
      </c>
      <c r="V19" s="132" t="e">
        <f t="shared" si="1"/>
        <v>#REF!</v>
      </c>
      <c r="W19" s="138" t="e">
        <f t="shared" si="34"/>
        <v>#REF!</v>
      </c>
      <c r="X19" s="131" t="e">
        <f t="shared" si="35"/>
        <v>#REF!</v>
      </c>
      <c r="Y19" s="128" t="str">
        <f t="shared" si="3"/>
        <v/>
      </c>
      <c r="Z19" s="128" t="e">
        <f t="shared" si="4"/>
        <v>#VALUE!</v>
      </c>
      <c r="AC19" s="139">
        <f t="shared" si="40"/>
        <v>0</v>
      </c>
      <c r="AD19" s="139" t="e">
        <f t="shared" si="41"/>
        <v>#REF!</v>
      </c>
      <c r="AE19" s="140" t="e">
        <f t="shared" si="42"/>
        <v>#REF!</v>
      </c>
      <c r="AJ19" s="136" t="e">
        <f t="shared" ref="AJ19:AJ20" si="43">IF(D19&gt;N19,N19,D19)</f>
        <v>#REF!</v>
      </c>
      <c r="AK19" s="129" t="e">
        <f t="shared" si="36"/>
        <v>#REF!</v>
      </c>
      <c r="AL19" s="129" t="e">
        <f t="shared" si="37"/>
        <v>#REF!</v>
      </c>
      <c r="AM19" s="1" t="str">
        <f t="shared" si="38"/>
        <v>RFP (Type 1 SNI)/SprintPro</v>
      </c>
      <c r="AN19" s="1"/>
    </row>
    <row r="20" spans="1:40" ht="15.75" customHeight="1" x14ac:dyDescent="0.25">
      <c r="A20" s="137" t="s">
        <v>117</v>
      </c>
      <c r="B20" s="128" t="e">
        <f>VLOOKUP(B$2,#REF!,24,)</f>
        <v>#REF!</v>
      </c>
      <c r="C20" s="128" t="e">
        <f>VLOOKUP(C$2,#REF!,24,)</f>
        <v>#REF!</v>
      </c>
      <c r="D20" s="128" t="e">
        <f>VLOOKUP(D$2,#REF!,24,)</f>
        <v>#REF!</v>
      </c>
      <c r="E20" s="128" t="e">
        <f>VLOOKUP(E$2,#REF!,24,)</f>
        <v>#REF!</v>
      </c>
      <c r="F20" s="128" t="e">
        <f>VLOOKUP(F$2,#REF!,24,)</f>
        <v>#REF!</v>
      </c>
      <c r="G20" s="128" t="e">
        <f>VLOOKUP(G$2,#REF!,24,)</f>
        <v>#REF!</v>
      </c>
      <c r="H20" s="128" t="e">
        <f>VLOOKUP(H$2,#REF!,24,)</f>
        <v>#REF!</v>
      </c>
      <c r="I20" s="128" t="e">
        <f>VLOOKUP(I$2,#REF!,24,)</f>
        <v>#REF!</v>
      </c>
      <c r="J20" s="128" t="e">
        <f>VLOOKUP(J$2,#REF!,24,)</f>
        <v>#REF!</v>
      </c>
      <c r="K20" s="128" t="e">
        <f>VLOOKUP(K$2,#REF!,24,)</f>
        <v>#REF!</v>
      </c>
      <c r="L20" s="128" t="e">
        <f>VLOOKUP(L$2,#REF!,24,)</f>
        <v>#REF!</v>
      </c>
      <c r="M20" s="128" t="e">
        <f>VLOOKUP(M$2,#REF!,24,)</f>
        <v>#REF!</v>
      </c>
      <c r="N20" s="128">
        <f>RKAP!$Y$68</f>
        <v>95.5</v>
      </c>
      <c r="O20" s="1">
        <v>19</v>
      </c>
      <c r="P20" s="41" t="e">
        <f t="shared" si="33"/>
        <v>#REF!</v>
      </c>
      <c r="Q20" s="131" t="e">
        <f>VLOOKUP(Q$1,#REF!,20,)</f>
        <v>#REF!</v>
      </c>
      <c r="R20" s="131" t="e">
        <f>VLOOKUP(Q$1,#REF!,22,)</f>
        <v>#REF!</v>
      </c>
      <c r="S20" s="124" t="e">
        <f t="shared" si="0"/>
        <v>#REF!</v>
      </c>
      <c r="T20" s="129" t="s">
        <v>191</v>
      </c>
      <c r="U20" s="131" t="e">
        <f t="shared" si="39"/>
        <v>#REF!</v>
      </c>
      <c r="V20" s="132" t="e">
        <f t="shared" si="1"/>
        <v>#REF!</v>
      </c>
      <c r="W20" s="138" t="e">
        <f t="shared" si="34"/>
        <v>#REF!</v>
      </c>
      <c r="X20" s="131" t="e">
        <f t="shared" si="35"/>
        <v>#REF!</v>
      </c>
      <c r="Y20" s="128" t="str">
        <f t="shared" si="3"/>
        <v/>
      </c>
      <c r="Z20" s="128" t="e">
        <f t="shared" si="4"/>
        <v>#VALUE!</v>
      </c>
      <c r="AC20" s="139">
        <f t="shared" si="40"/>
        <v>0</v>
      </c>
      <c r="AD20" s="139" t="e">
        <f t="shared" si="41"/>
        <v>#REF!</v>
      </c>
      <c r="AE20" s="140" t="e">
        <f t="shared" si="42"/>
        <v>#REF!</v>
      </c>
      <c r="AJ20" s="136" t="e">
        <f t="shared" si="43"/>
        <v>#REF!</v>
      </c>
      <c r="AK20" s="129" t="e">
        <f t="shared" si="36"/>
        <v>#REF!</v>
      </c>
      <c r="AL20" s="129" t="e">
        <f t="shared" si="37"/>
        <v>#REF!</v>
      </c>
      <c r="AM20" s="1" t="str">
        <f t="shared" si="38"/>
        <v>OPC (Type V) - export TCC</v>
      </c>
      <c r="AN20" s="1"/>
    </row>
    <row r="21" spans="1:40" ht="15.75" customHeight="1" x14ac:dyDescent="0.3">
      <c r="A21" s="121" t="s">
        <v>149</v>
      </c>
      <c r="B21" s="122" t="e">
        <f>VLOOKUP(B$2,#REF!,42,)</f>
        <v>#REF!</v>
      </c>
      <c r="C21" s="122" t="e">
        <f>VLOOKUP(C$2,#REF!,42,)</f>
        <v>#REF!</v>
      </c>
      <c r="D21" s="122" t="e">
        <f>VLOOKUP(D$2,#REF!,42,)</f>
        <v>#REF!</v>
      </c>
      <c r="E21" s="122" t="e">
        <f>VLOOKUP(E$2,#REF!,42,)</f>
        <v>#REF!</v>
      </c>
      <c r="F21" s="122" t="e">
        <f>VLOOKUP(F$2,#REF!,42,)</f>
        <v>#REF!</v>
      </c>
      <c r="G21" s="122" t="e">
        <f>VLOOKUP(G$2,#REF!,42,)</f>
        <v>#REF!</v>
      </c>
      <c r="H21" s="122" t="e">
        <f>VLOOKUP(H$2,#REF!,42,)</f>
        <v>#REF!</v>
      </c>
      <c r="I21" s="122" t="e">
        <f>VLOOKUP(I$2,#REF!,42,)</f>
        <v>#REF!</v>
      </c>
      <c r="J21" s="122" t="e">
        <f>VLOOKUP(J$2,#REF!,42,)</f>
        <v>#REF!</v>
      </c>
      <c r="K21" s="122" t="e">
        <f>VLOOKUP(K$2,#REF!,42,)</f>
        <v>#REF!</v>
      </c>
      <c r="L21" s="122" t="e">
        <f>VLOOKUP(L$2,#REF!,42,)</f>
        <v>#REF!</v>
      </c>
      <c r="M21" s="122" t="e">
        <f>VLOOKUP(M$2,#REF!,42,)</f>
        <v>#REF!</v>
      </c>
      <c r="N21" s="123">
        <f>RKAP!$AQ$85</f>
        <v>70.41</v>
      </c>
      <c r="O21" s="1">
        <v>20</v>
      </c>
      <c r="S21" s="124" t="str">
        <f t="shared" si="0"/>
        <v/>
      </c>
      <c r="T21" s="125"/>
      <c r="U21" s="41" t="str">
        <f t="shared" si="39"/>
        <v/>
      </c>
      <c r="V21" s="138" t="str">
        <f t="shared" si="1"/>
        <v/>
      </c>
      <c r="W21" s="127" t="e">
        <f t="shared" ref="W21:X21" si="44">SUM(W22:W26)</f>
        <v>#REF!</v>
      </c>
      <c r="X21" s="127" t="e">
        <f t="shared" si="44"/>
        <v>#REF!</v>
      </c>
      <c r="Y21" s="128" t="str">
        <f t="shared" si="3"/>
        <v/>
      </c>
      <c r="Z21" s="128" t="e">
        <f t="shared" si="4"/>
        <v>#VALUE!</v>
      </c>
      <c r="AK21" s="129" t="e">
        <f t="shared" ref="AK21:AL21" si="45">SUM(AK22:AK26)</f>
        <v>#REF!</v>
      </c>
      <c r="AL21" s="129" t="e">
        <f t="shared" si="45"/>
        <v>#REF!</v>
      </c>
      <c r="AM21" s="130" t="e">
        <f>A21&amp;" = "&amp;ROUNDUP((AK21/AL21*100),2)</f>
        <v>#REF!</v>
      </c>
      <c r="AN21" s="1"/>
    </row>
    <row r="22" spans="1:40" ht="12.5" x14ac:dyDescent="0.25">
      <c r="A22" s="142" t="s">
        <v>195</v>
      </c>
      <c r="B22" s="128" t="e">
        <f>VLOOKUP(B$2,#REF!,6,)</f>
        <v>#REF!</v>
      </c>
      <c r="C22" s="128" t="e">
        <f>VLOOKUP(C$2,#REF!,6,)</f>
        <v>#REF!</v>
      </c>
      <c r="D22" s="128" t="e">
        <f>VLOOKUP(D$2,#REF!,6,)</f>
        <v>#REF!</v>
      </c>
      <c r="E22" s="128" t="e">
        <f>VLOOKUP(E$2,#REF!,6,)</f>
        <v>#REF!</v>
      </c>
      <c r="F22" s="128" t="e">
        <f>VLOOKUP(F$2,#REF!,6,)</f>
        <v>#REF!</v>
      </c>
      <c r="G22" s="128" t="e">
        <f>VLOOKUP(G$2,#REF!,6,)</f>
        <v>#REF!</v>
      </c>
      <c r="H22" s="128" t="e">
        <f>VLOOKUP(H$2,#REF!,6,)</f>
        <v>#REF!</v>
      </c>
      <c r="I22" s="128" t="e">
        <f>VLOOKUP(I$2,#REF!,6,)</f>
        <v>#REF!</v>
      </c>
      <c r="J22" s="128" t="e">
        <f>VLOOKUP(J$2,#REF!,6,)</f>
        <v>#REF!</v>
      </c>
      <c r="K22" s="128" t="e">
        <f>VLOOKUP(K$2,#REF!,6,)</f>
        <v>#REF!</v>
      </c>
      <c r="L22" s="128" t="e">
        <f>VLOOKUP(L$2,#REF!,6,)</f>
        <v>#REF!</v>
      </c>
      <c r="M22" s="128" t="e">
        <f>VLOOKUP(M$2,#REF!,6,)</f>
        <v>#REF!</v>
      </c>
      <c r="N22" s="128">
        <f>RKAP!$G$85</f>
        <v>60.91</v>
      </c>
      <c r="O22" s="1">
        <v>21</v>
      </c>
      <c r="P22" s="41" t="e">
        <f t="shared" ref="P22:P26" si="46">IF(HLOOKUP(Q$1,$B$2:$M$30,O22,)-N22&lt;=0,"",HLOOKUP(Q$1,$B$2:$M$30,O22,)-N22)</f>
        <v>#REF!</v>
      </c>
      <c r="Q22" s="131" t="e">
        <f>VLOOKUP(Q$1,#REF!,2,)</f>
        <v>#REF!</v>
      </c>
      <c r="R22" s="131" t="e">
        <f>VLOOKUP(Q$1,#REF!,4,)</f>
        <v>#REF!</v>
      </c>
      <c r="S22" s="124" t="e">
        <f t="shared" si="0"/>
        <v>#REF!</v>
      </c>
      <c r="T22" s="129" t="s">
        <v>191</v>
      </c>
      <c r="U22" s="131" t="e">
        <f t="shared" si="39"/>
        <v>#REF!</v>
      </c>
      <c r="V22" s="143" t="e">
        <f t="shared" si="1"/>
        <v>#REF!</v>
      </c>
      <c r="W22" s="138" t="e">
        <f t="shared" ref="W22:W26" si="47">IF(T22="Yes",V22,Q22)</f>
        <v>#REF!</v>
      </c>
      <c r="X22" s="131" t="e">
        <f t="shared" ref="X22:X26" si="48">R22</f>
        <v>#REF!</v>
      </c>
      <c r="Y22" s="128" t="str">
        <f t="shared" si="3"/>
        <v/>
      </c>
      <c r="Z22" s="128" t="e">
        <f t="shared" si="4"/>
        <v>#VALUE!</v>
      </c>
      <c r="AC22" s="144" t="e">
        <f>IF(Q22/R22*100&gt;=N22,N22/100*R22,Q22)</f>
        <v>#REF!</v>
      </c>
      <c r="AD22" s="144" t="e">
        <f t="shared" ref="AD22:AD25" si="49">X22</f>
        <v>#REF!</v>
      </c>
      <c r="AE22" s="145" t="e">
        <f t="shared" ref="AE22:AE25" si="50">C22</f>
        <v>#REF!</v>
      </c>
      <c r="AJ22" s="136" t="e">
        <f t="shared" ref="AJ22:AJ24" si="51">IF(D22&gt;N22,N22,D22)</f>
        <v>#REF!</v>
      </c>
      <c r="AK22" s="129" t="e">
        <f t="shared" ref="AK22:AK26" si="52">AJ22/100*AL22</f>
        <v>#REF!</v>
      </c>
      <c r="AL22" s="129" t="e">
        <f t="shared" ref="AL22:AL26" si="53">R22</f>
        <v>#REF!</v>
      </c>
      <c r="AM22" s="1" t="str">
        <f t="shared" ref="AM22:AM26" si="54">A22</f>
        <v>Dynamix/EzPro/PCC (Murni)</v>
      </c>
      <c r="AN22" s="1"/>
    </row>
    <row r="23" spans="1:40" ht="12.5" x14ac:dyDescent="0.25">
      <c r="A23" s="137" t="s">
        <v>97</v>
      </c>
      <c r="B23" s="128" t="str">
        <f>IFERROR(VLOOKUP(B$2,#REF!,24,),"")</f>
        <v/>
      </c>
      <c r="C23" s="128" t="str">
        <f>IFERROR(VLOOKUP(C$2,#REF!,24,),"")</f>
        <v/>
      </c>
      <c r="D23" s="128" t="str">
        <f>IFERROR(VLOOKUP(D$2,#REF!,24,),"")</f>
        <v/>
      </c>
      <c r="E23" s="128" t="str">
        <f>IFERROR(VLOOKUP(E$2,#REF!,24,),"")</f>
        <v/>
      </c>
      <c r="F23" s="128" t="str">
        <f>IFERROR(VLOOKUP(F$2,#REF!,24,),"")</f>
        <v/>
      </c>
      <c r="G23" s="128" t="str">
        <f>IFERROR(VLOOKUP(G$2,#REF!,24,),"")</f>
        <v/>
      </c>
      <c r="H23" s="128" t="str">
        <f>IFERROR(VLOOKUP(H$2,#REF!,24,),"")</f>
        <v/>
      </c>
      <c r="I23" s="128" t="str">
        <f>IFERROR(VLOOKUP(I$2,#REF!,24,),"")</f>
        <v/>
      </c>
      <c r="J23" s="128" t="str">
        <f>IFERROR(VLOOKUP(J$2,#REF!,24,),"")</f>
        <v/>
      </c>
      <c r="K23" s="128" t="str">
        <f>IFERROR(VLOOKUP(K$2,#REF!,24,),"")</f>
        <v/>
      </c>
      <c r="L23" s="128" t="str">
        <f>IFERROR(VLOOKUP(L$2,#REF!,24,),"")</f>
        <v/>
      </c>
      <c r="M23" s="128" t="str">
        <f>IFERROR(VLOOKUP(M$2,#REF!,24,),"")</f>
        <v/>
      </c>
      <c r="N23" s="146">
        <f>N20</f>
        <v>95.5</v>
      </c>
      <c r="O23" s="1">
        <v>22</v>
      </c>
      <c r="P23" s="41" t="e">
        <f t="shared" si="46"/>
        <v>#VALUE!</v>
      </c>
      <c r="Q23" s="131" t="str">
        <f>IFERROR(VLOOKUP(Q$1,#REF!,20,),"")</f>
        <v/>
      </c>
      <c r="R23" s="131" t="str">
        <f>IFERROR(VLOOKUP(Q$1,#REF!,22,),"")</f>
        <v/>
      </c>
      <c r="S23" s="124" t="e">
        <f t="shared" si="0"/>
        <v>#VALUE!</v>
      </c>
      <c r="T23" s="129" t="s">
        <v>191</v>
      </c>
      <c r="U23" s="131" t="str">
        <f t="shared" si="39"/>
        <v/>
      </c>
      <c r="V23" s="132" t="str">
        <f t="shared" si="1"/>
        <v/>
      </c>
      <c r="W23" s="138" t="str">
        <f t="shared" si="47"/>
        <v/>
      </c>
      <c r="X23" s="131" t="str">
        <f t="shared" si="48"/>
        <v/>
      </c>
      <c r="Y23" s="128" t="str">
        <f t="shared" si="3"/>
        <v/>
      </c>
      <c r="Z23" s="128" t="e">
        <f t="shared" si="4"/>
        <v>#VALUE!</v>
      </c>
      <c r="AC23" s="139">
        <f t="shared" ref="AC23:AC25" si="55">IFERROR(IF(Q23/R23*100&gt;=N23,N23/100*R23,Q23),0)</f>
        <v>0</v>
      </c>
      <c r="AD23" s="139" t="str">
        <f t="shared" si="49"/>
        <v/>
      </c>
      <c r="AE23" s="140" t="str">
        <f t="shared" si="50"/>
        <v/>
      </c>
      <c r="AJ23" s="136">
        <f t="shared" si="51"/>
        <v>95.5</v>
      </c>
      <c r="AK23" s="129" t="e">
        <f t="shared" si="52"/>
        <v>#VALUE!</v>
      </c>
      <c r="AL23" s="129" t="str">
        <f t="shared" si="53"/>
        <v/>
      </c>
      <c r="AM23" s="1" t="str">
        <f t="shared" si="54"/>
        <v>Type 5/DuPro+ HSR</v>
      </c>
      <c r="AN23" s="1"/>
    </row>
    <row r="24" spans="1:40" ht="12.5" x14ac:dyDescent="0.25">
      <c r="A24" s="137" t="s">
        <v>95</v>
      </c>
      <c r="B24" s="128" t="e">
        <f>VLOOKUP(B$2,#REF!,30,)</f>
        <v>#REF!</v>
      </c>
      <c r="C24" s="128" t="e">
        <f>VLOOKUP(C$2,#REF!,30,)</f>
        <v>#REF!</v>
      </c>
      <c r="D24" s="128" t="e">
        <f>VLOOKUP(D$2,#REF!,30,)</f>
        <v>#REF!</v>
      </c>
      <c r="E24" s="128" t="e">
        <f>VLOOKUP(E$2,#REF!,30,)</f>
        <v>#REF!</v>
      </c>
      <c r="F24" s="128" t="e">
        <f>VLOOKUP(F$2,#REF!,30,)</f>
        <v>#REF!</v>
      </c>
      <c r="G24" s="128" t="e">
        <f>VLOOKUP(G$2,#REF!,30,)</f>
        <v>#REF!</v>
      </c>
      <c r="H24" s="128" t="e">
        <f>VLOOKUP(H$2,#REF!,30,)</f>
        <v>#REF!</v>
      </c>
      <c r="I24" s="128" t="e">
        <f>VLOOKUP(I$2,#REF!,30,)</f>
        <v>#REF!</v>
      </c>
      <c r="J24" s="128" t="e">
        <f>VLOOKUP(J$2,#REF!,30,)</f>
        <v>#REF!</v>
      </c>
      <c r="K24" s="128" t="e">
        <f>VLOOKUP(K$2,#REF!,30,)</f>
        <v>#REF!</v>
      </c>
      <c r="L24" s="128" t="e">
        <f>VLOOKUP(L$2,#REF!,30,)</f>
        <v>#REF!</v>
      </c>
      <c r="M24" s="128" t="e">
        <f>VLOOKUP(M$2,#REF!,30,)</f>
        <v>#REF!</v>
      </c>
      <c r="N24" s="128">
        <f>RKAP!$AE$85</f>
        <v>86.96</v>
      </c>
      <c r="O24" s="1">
        <v>23</v>
      </c>
      <c r="P24" s="128" t="e">
        <f t="shared" si="46"/>
        <v>#REF!</v>
      </c>
      <c r="Q24" s="131" t="e">
        <f>VLOOKUP(Q$1,#REF!,26,)</f>
        <v>#REF!</v>
      </c>
      <c r="R24" s="131" t="e">
        <f>VLOOKUP(Q$1,#REF!,28,)</f>
        <v>#REF!</v>
      </c>
      <c r="S24" s="124" t="e">
        <f t="shared" si="0"/>
        <v>#REF!</v>
      </c>
      <c r="T24" s="129" t="s">
        <v>191</v>
      </c>
      <c r="U24" s="131" t="e">
        <f t="shared" si="39"/>
        <v>#REF!</v>
      </c>
      <c r="V24" s="132" t="e">
        <f t="shared" si="1"/>
        <v>#REF!</v>
      </c>
      <c r="W24" s="138" t="e">
        <f t="shared" si="47"/>
        <v>#REF!</v>
      </c>
      <c r="X24" s="131" t="e">
        <f t="shared" si="48"/>
        <v>#REF!</v>
      </c>
      <c r="Y24" s="128" t="str">
        <f t="shared" si="3"/>
        <v/>
      </c>
      <c r="Z24" s="128" t="e">
        <f t="shared" si="4"/>
        <v>#VALUE!</v>
      </c>
      <c r="AC24" s="139">
        <f t="shared" si="55"/>
        <v>0</v>
      </c>
      <c r="AD24" s="139" t="e">
        <f t="shared" si="49"/>
        <v>#REF!</v>
      </c>
      <c r="AE24" s="140" t="e">
        <f t="shared" si="50"/>
        <v>#REF!</v>
      </c>
      <c r="AJ24" s="136" t="e">
        <f t="shared" si="51"/>
        <v>#REF!</v>
      </c>
      <c r="AK24" s="129" t="e">
        <f t="shared" si="52"/>
        <v>#REF!</v>
      </c>
      <c r="AL24" s="129" t="e">
        <f t="shared" si="53"/>
        <v>#REF!</v>
      </c>
      <c r="AM24" s="1" t="str">
        <f t="shared" si="54"/>
        <v>RFP (Type 1 SNI)/SprintPro</v>
      </c>
      <c r="AN24" s="1"/>
    </row>
    <row r="25" spans="1:40" ht="12.5" x14ac:dyDescent="0.25">
      <c r="A25" s="137" t="s">
        <v>116</v>
      </c>
      <c r="B25" s="128" t="e">
        <f>VLOOKUP(B$2,#REF!,36,)</f>
        <v>#REF!</v>
      </c>
      <c r="C25" s="128" t="e">
        <f>VLOOKUP(C$2,#REF!,36,)</f>
        <v>#REF!</v>
      </c>
      <c r="D25" s="128" t="e">
        <f>VLOOKUP(D$2,#REF!,36,)</f>
        <v>#REF!</v>
      </c>
      <c r="E25" s="128" t="e">
        <f>VLOOKUP(E$2,#REF!,36,)</f>
        <v>#REF!</v>
      </c>
      <c r="F25" s="128" t="e">
        <f>VLOOKUP(F$2,#REF!,36,)</f>
        <v>#REF!</v>
      </c>
      <c r="G25" s="128" t="e">
        <f>VLOOKUP(G$2,#REF!,36,)</f>
        <v>#REF!</v>
      </c>
      <c r="H25" s="128" t="e">
        <f>VLOOKUP(H$2,#REF!,36,)</f>
        <v>#REF!</v>
      </c>
      <c r="I25" s="128" t="e">
        <f>VLOOKUP(I$2,#REF!,36,)</f>
        <v>#REF!</v>
      </c>
      <c r="J25" s="128" t="e">
        <f>VLOOKUP(J$2,#REF!,36,)</f>
        <v>#REF!</v>
      </c>
      <c r="K25" s="128" t="e">
        <f>VLOOKUP(K$2,#REF!,36,)</f>
        <v>#REF!</v>
      </c>
      <c r="L25" s="128" t="e">
        <f>VLOOKUP(L$2,#REF!,36,)</f>
        <v>#REF!</v>
      </c>
      <c r="M25" s="148" t="e">
        <f>VLOOKUP(M$2,#REF!,36,)</f>
        <v>#REF!</v>
      </c>
      <c r="N25" s="128">
        <f>RKAP!$AK$85</f>
        <v>90.32</v>
      </c>
      <c r="O25" s="1">
        <v>24</v>
      </c>
      <c r="P25" s="128" t="e">
        <f t="shared" si="46"/>
        <v>#REF!</v>
      </c>
      <c r="Q25" s="131" t="e">
        <f>VLOOKUP(Q$1,#REF!,32,)</f>
        <v>#REF!</v>
      </c>
      <c r="R25" s="131" t="e">
        <f>VLOOKUP(Q$1,#REF!,34,)</f>
        <v>#REF!</v>
      </c>
      <c r="S25" s="124" t="e">
        <f t="shared" si="0"/>
        <v>#REF!</v>
      </c>
      <c r="T25" s="129" t="s">
        <v>191</v>
      </c>
      <c r="U25" s="131" t="e">
        <f t="shared" si="39"/>
        <v>#REF!</v>
      </c>
      <c r="V25" s="132" t="e">
        <f t="shared" si="1"/>
        <v>#REF!</v>
      </c>
      <c r="W25" s="138" t="e">
        <f t="shared" si="47"/>
        <v>#REF!</v>
      </c>
      <c r="X25" s="131" t="e">
        <f t="shared" si="48"/>
        <v>#REF!</v>
      </c>
      <c r="Y25" s="128" t="str">
        <f t="shared" si="3"/>
        <v/>
      </c>
      <c r="Z25" s="128" t="e">
        <f t="shared" si="4"/>
        <v>#VALUE!</v>
      </c>
      <c r="AC25" s="139">
        <f t="shared" si="55"/>
        <v>0</v>
      </c>
      <c r="AD25" s="139" t="e">
        <f t="shared" si="49"/>
        <v>#REF!</v>
      </c>
      <c r="AE25" s="140" t="e">
        <f t="shared" si="50"/>
        <v>#REF!</v>
      </c>
      <c r="AJ25" s="141" t="e">
        <f>D25</f>
        <v>#REF!</v>
      </c>
      <c r="AK25" s="129" t="e">
        <f t="shared" si="52"/>
        <v>#REF!</v>
      </c>
      <c r="AL25" s="129" t="e">
        <f t="shared" si="53"/>
        <v>#REF!</v>
      </c>
      <c r="AM25" s="1" t="str">
        <f t="shared" si="54"/>
        <v>OPC (Type 1 General)/UltraPro</v>
      </c>
      <c r="AN25" s="1"/>
    </row>
    <row r="26" spans="1:40" ht="13" x14ac:dyDescent="0.3">
      <c r="A26" s="1" t="s">
        <v>189</v>
      </c>
      <c r="B26" s="128" t="str">
        <f>IFERROR(VLOOKUP(B$2,#REF!,12,),"")</f>
        <v/>
      </c>
      <c r="C26" s="128" t="str">
        <f>IFERROR(VLOOKUP(C$2,#REF!,12,),"")</f>
        <v/>
      </c>
      <c r="D26" s="128" t="str">
        <f>IFERROR(VLOOKUP(D$2,#REF!,12,),"")</f>
        <v/>
      </c>
      <c r="E26" s="128" t="str">
        <f>IFERROR(VLOOKUP(E$2,#REF!,12,),"")</f>
        <v/>
      </c>
      <c r="F26" s="128" t="str">
        <f>IFERROR(VLOOKUP(F$2,#REF!,12,),"")</f>
        <v/>
      </c>
      <c r="G26" s="128" t="str">
        <f>IFERROR(VLOOKUP(G$2,#REF!,12,),"")</f>
        <v/>
      </c>
      <c r="H26" s="128" t="str">
        <f>IFERROR(VLOOKUP(H$2,#REF!,12,),"")</f>
        <v/>
      </c>
      <c r="I26" s="128" t="str">
        <f>IFERROR(VLOOKUP(I$2,#REF!,12,),"")</f>
        <v/>
      </c>
      <c r="J26" s="128" t="str">
        <f>IFERROR(VLOOKUP(J$2,#REF!,12,),"")</f>
        <v/>
      </c>
      <c r="K26" s="128" t="str">
        <f>IFERROR(VLOOKUP(K$2,#REF!,12,),"")</f>
        <v/>
      </c>
      <c r="L26" s="128" t="str">
        <f>IFERROR(VLOOKUP(L$2,#REF!,12,),"")</f>
        <v/>
      </c>
      <c r="M26" s="128" t="str">
        <f>IFERROR(VLOOKUP(M$2,#REF!,12,),"")</f>
        <v/>
      </c>
      <c r="N26" s="146">
        <f>N17</f>
        <v>80.36</v>
      </c>
      <c r="O26" s="1">
        <v>25</v>
      </c>
      <c r="P26" s="41" t="e">
        <f t="shared" si="46"/>
        <v>#VALUE!</v>
      </c>
      <c r="Q26" s="131" t="str">
        <f>IFERROR(VLOOKUP(Q$1,#REF!,8,),"")</f>
        <v/>
      </c>
      <c r="R26" s="131" t="str">
        <f>IFERROR(VLOOKUP(Q$1,#REF!,10,),"")</f>
        <v/>
      </c>
      <c r="S26" s="124" t="e">
        <f t="shared" si="0"/>
        <v>#VALUE!</v>
      </c>
      <c r="T26" s="129"/>
      <c r="U26" s="131"/>
      <c r="V26" s="132" t="str">
        <f t="shared" si="1"/>
        <v/>
      </c>
      <c r="W26" s="131" t="str">
        <f t="shared" si="47"/>
        <v/>
      </c>
      <c r="X26" s="131" t="str">
        <f t="shared" si="48"/>
        <v/>
      </c>
      <c r="Y26" s="128" t="str">
        <f t="shared" si="3"/>
        <v/>
      </c>
      <c r="Z26" s="128" t="e">
        <f t="shared" si="4"/>
        <v>#VALUE!</v>
      </c>
      <c r="AA26" s="149" t="e">
        <f>X26/$X21*100</f>
        <v>#VALUE!</v>
      </c>
      <c r="AC26" s="134" t="e">
        <f>Q26/R26*AD26</f>
        <v>#VALUE!</v>
      </c>
      <c r="AD26" s="134" t="e">
        <f>AF26/100*X21</f>
        <v>#REF!</v>
      </c>
      <c r="AF26" s="134">
        <v>5</v>
      </c>
      <c r="AG26" s="131"/>
      <c r="AH26" s="131"/>
      <c r="AI26" s="131"/>
      <c r="AJ26" s="136">
        <f>IF(D26&gt;N26,N26,D26)</f>
        <v>80.36</v>
      </c>
      <c r="AK26" s="129" t="e">
        <f t="shared" si="52"/>
        <v>#VALUE!</v>
      </c>
      <c r="AL26" s="129" t="str">
        <f t="shared" si="53"/>
        <v/>
      </c>
      <c r="AM26" s="1" t="str">
        <f t="shared" si="54"/>
        <v>Dynamix/EzPro/PCC (Transisi)</v>
      </c>
      <c r="AN26" s="1"/>
    </row>
    <row r="27" spans="1:40" ht="13" x14ac:dyDescent="0.3">
      <c r="A27" s="121" t="s">
        <v>150</v>
      </c>
      <c r="B27" s="122" t="e">
        <f>VLOOKUP(B$2,#REF!,18,)</f>
        <v>#REF!</v>
      </c>
      <c r="C27" s="122" t="e">
        <f>VLOOKUP(C$2,#REF!,18,)</f>
        <v>#REF!</v>
      </c>
      <c r="D27" s="122" t="e">
        <f>VLOOKUP(D$2,#REF!,18,)</f>
        <v>#REF!</v>
      </c>
      <c r="E27" s="122" t="e">
        <f>VLOOKUP(E$2,#REF!,18,)</f>
        <v>#REF!</v>
      </c>
      <c r="F27" s="122" t="e">
        <f>VLOOKUP(F$2,#REF!,18,)</f>
        <v>#REF!</v>
      </c>
      <c r="G27" s="122" t="e">
        <f>VLOOKUP(G$2,#REF!,18,)</f>
        <v>#REF!</v>
      </c>
      <c r="H27" s="122" t="e">
        <f>VLOOKUP(H$2,#REF!,18,)</f>
        <v>#REF!</v>
      </c>
      <c r="I27" s="122" t="e">
        <f>VLOOKUP(I$2,#REF!,18,)</f>
        <v>#REF!</v>
      </c>
      <c r="J27" s="122" t="e">
        <f>VLOOKUP(J$2,#REF!,18,)</f>
        <v>#REF!</v>
      </c>
      <c r="K27" s="122" t="e">
        <f>VLOOKUP(K$2,#REF!,18,)</f>
        <v>#REF!</v>
      </c>
      <c r="L27" s="122" t="e">
        <f>VLOOKUP(L$2,#REF!,18,)</f>
        <v>#REF!</v>
      </c>
      <c r="M27" s="122" t="e">
        <f>VLOOKUP(M$2,#REF!,18,)</f>
        <v>#REF!</v>
      </c>
      <c r="N27" s="123">
        <f>RKAP!$S$102</f>
        <v>63.3</v>
      </c>
      <c r="O27" s="1">
        <v>26</v>
      </c>
      <c r="S27" s="124" t="str">
        <f t="shared" si="0"/>
        <v/>
      </c>
      <c r="T27" s="125"/>
      <c r="U27" s="41" t="str">
        <f t="shared" ref="U27:U29" si="56">IF(T27="Yes",Q27,"")</f>
        <v/>
      </c>
      <c r="V27" s="138" t="str">
        <f t="shared" si="1"/>
        <v/>
      </c>
      <c r="W27" s="127" t="e">
        <f t="shared" ref="W27:X27" si="57">SUM(W28:W29)</f>
        <v>#REF!</v>
      </c>
      <c r="X27" s="127" t="e">
        <f t="shared" si="57"/>
        <v>#REF!</v>
      </c>
      <c r="Y27" s="128" t="str">
        <f t="shared" si="3"/>
        <v/>
      </c>
      <c r="Z27" s="128" t="e">
        <f t="shared" si="4"/>
        <v>#VALUE!</v>
      </c>
      <c r="AK27" s="129" t="e">
        <f t="shared" ref="AK27:AL27" si="58">SUM(AK28:AK29)</f>
        <v>#REF!</v>
      </c>
      <c r="AL27" s="129" t="e">
        <f t="shared" si="58"/>
        <v>#REF!</v>
      </c>
      <c r="AM27" s="130" t="e">
        <f>A27&amp;" = "&amp;ROUNDUP((AK27/AL27*100),2)</f>
        <v>#REF!</v>
      </c>
      <c r="AN27" s="1"/>
    </row>
    <row r="28" spans="1:40" ht="12.5" x14ac:dyDescent="0.25">
      <c r="A28" s="142" t="s">
        <v>193</v>
      </c>
      <c r="B28" s="128" t="e">
        <f>VLOOKUP(B$2,#REF!,6,)</f>
        <v>#REF!</v>
      </c>
      <c r="C28" s="128" t="e">
        <f>VLOOKUP(C$2,#REF!,6,)</f>
        <v>#REF!</v>
      </c>
      <c r="D28" s="128" t="e">
        <f>VLOOKUP(D$2,#REF!,6,)</f>
        <v>#REF!</v>
      </c>
      <c r="E28" s="128" t="e">
        <f>VLOOKUP(E$2,#REF!,6,)</f>
        <v>#REF!</v>
      </c>
      <c r="F28" s="128" t="e">
        <f>VLOOKUP(F$2,#REF!,6,)</f>
        <v>#REF!</v>
      </c>
      <c r="G28" s="128" t="e">
        <f>VLOOKUP(G$2,#REF!,6,)</f>
        <v>#REF!</v>
      </c>
      <c r="H28" s="128" t="e">
        <f>VLOOKUP(H$2,#REF!,6,)</f>
        <v>#REF!</v>
      </c>
      <c r="I28" s="128" t="e">
        <f>VLOOKUP(I$2,#REF!,6,)</f>
        <v>#REF!</v>
      </c>
      <c r="J28" s="128" t="e">
        <f>VLOOKUP(J$2,#REF!,6,)</f>
        <v>#REF!</v>
      </c>
      <c r="K28" s="128" t="e">
        <f>VLOOKUP(K$2,#REF!,6,)</f>
        <v>#REF!</v>
      </c>
      <c r="L28" s="128" t="e">
        <f>VLOOKUP(L$2,#REF!,6,)</f>
        <v>#REF!</v>
      </c>
      <c r="M28" s="128" t="e">
        <f>VLOOKUP(M$2,#REF!,6,)</f>
        <v>#REF!</v>
      </c>
      <c r="N28" s="128">
        <f>RKAP!$G$102</f>
        <v>58.5</v>
      </c>
      <c r="O28" s="1">
        <v>27</v>
      </c>
      <c r="P28" s="41" t="e">
        <f t="shared" ref="P28:P29" si="59">IF(HLOOKUP(Q$1,$B$2:$M$30,O28,)-N28&lt;=0,"",HLOOKUP(Q$1,$B$2:$M$30,O28,)-N28)</f>
        <v>#REF!</v>
      </c>
      <c r="Q28" s="131" t="e">
        <f>VLOOKUP(Q$1,#REF!,2,)</f>
        <v>#REF!</v>
      </c>
      <c r="R28" s="131" t="e">
        <f>VLOOKUP(Q$1,#REF!,4,)</f>
        <v>#REF!</v>
      </c>
      <c r="S28" s="124" t="e">
        <f t="shared" si="0"/>
        <v>#REF!</v>
      </c>
      <c r="T28" s="129" t="s">
        <v>191</v>
      </c>
      <c r="U28" s="131" t="e">
        <f t="shared" si="56"/>
        <v>#REF!</v>
      </c>
      <c r="V28" s="143" t="e">
        <f t="shared" si="1"/>
        <v>#REF!</v>
      </c>
      <c r="W28" s="138" t="e">
        <f t="shared" ref="W28:W29" si="60">IF(T28="Yes",V28,Q28)</f>
        <v>#REF!</v>
      </c>
      <c r="X28" s="131" t="e">
        <f t="shared" ref="X28:X29" si="61">R28</f>
        <v>#REF!</v>
      </c>
      <c r="Y28" s="128" t="str">
        <f t="shared" si="3"/>
        <v/>
      </c>
      <c r="Z28" s="128" t="e">
        <f t="shared" si="4"/>
        <v>#VALUE!</v>
      </c>
      <c r="AC28" s="144" t="e">
        <f>IF(Q28/R28*100&gt;=N28,N28/100*R28,Q28)</f>
        <v>#REF!</v>
      </c>
      <c r="AD28" s="144" t="e">
        <f t="shared" ref="AD28:AD29" si="62">X28</f>
        <v>#REF!</v>
      </c>
      <c r="AE28" s="145" t="e">
        <f t="shared" ref="AE28:AE29" si="63">C28</f>
        <v>#REF!</v>
      </c>
      <c r="AJ28" s="136" t="e">
        <f t="shared" ref="AJ28:AJ29" si="64">IF(D28&gt;N28,N28,D28)</f>
        <v>#REF!</v>
      </c>
      <c r="AK28" s="129" t="e">
        <f t="shared" ref="AK28:AK29" si="65">AJ28/100*AL28</f>
        <v>#REF!</v>
      </c>
      <c r="AL28" s="129" t="e">
        <f t="shared" ref="AL28:AL29" si="66">R28</f>
        <v>#REF!</v>
      </c>
      <c r="AM28" s="1" t="str">
        <f t="shared" ref="AM28:AM29" si="67">A28</f>
        <v>Dynamix/EzPro/PCC</v>
      </c>
      <c r="AN28" s="1"/>
    </row>
    <row r="29" spans="1:40" ht="12.5" x14ac:dyDescent="0.25">
      <c r="A29" s="137" t="s">
        <v>116</v>
      </c>
      <c r="B29" s="128" t="e">
        <f>VLOOKUP(B$2,#REF!,12,)</f>
        <v>#REF!</v>
      </c>
      <c r="C29" s="128" t="e">
        <f>VLOOKUP(C$2,#REF!,12,)</f>
        <v>#REF!</v>
      </c>
      <c r="D29" s="128" t="e">
        <f>VLOOKUP(D$2,#REF!,12,)</f>
        <v>#REF!</v>
      </c>
      <c r="E29" s="128" t="e">
        <f>VLOOKUP(E$2,#REF!,12,)</f>
        <v>#REF!</v>
      </c>
      <c r="F29" s="128" t="e">
        <f>VLOOKUP(F$2,#REF!,12,)</f>
        <v>#REF!</v>
      </c>
      <c r="G29" s="128" t="e">
        <f>VLOOKUP(G$2,#REF!,12,)</f>
        <v>#REF!</v>
      </c>
      <c r="H29" s="128" t="e">
        <f>VLOOKUP(H$2,#REF!,12,)</f>
        <v>#REF!</v>
      </c>
      <c r="I29" s="128" t="e">
        <f>VLOOKUP(I$2,#REF!,12,)</f>
        <v>#REF!</v>
      </c>
      <c r="J29" s="128" t="e">
        <f>VLOOKUP(J$2,#REF!,12,)</f>
        <v>#REF!</v>
      </c>
      <c r="K29" s="128" t="e">
        <f>VLOOKUP(K$2,#REF!,12,)</f>
        <v>#REF!</v>
      </c>
      <c r="L29" s="128" t="e">
        <f>VLOOKUP(L$2,#REF!,12,)</f>
        <v>#REF!</v>
      </c>
      <c r="M29" s="128" t="e">
        <f>VLOOKUP(M$2,#REF!,12,)</f>
        <v>#REF!</v>
      </c>
      <c r="N29" s="128">
        <f>RKAP!$M$102</f>
        <v>85.5</v>
      </c>
      <c r="O29" s="1">
        <v>28</v>
      </c>
      <c r="P29" s="128" t="e">
        <f t="shared" si="59"/>
        <v>#REF!</v>
      </c>
      <c r="Q29" s="131" t="e">
        <f>VLOOKUP(Q$1,#REF!,8,)</f>
        <v>#REF!</v>
      </c>
      <c r="R29" s="131" t="e">
        <f>VLOOKUP(Q$1,#REF!,10,)</f>
        <v>#REF!</v>
      </c>
      <c r="S29" s="124" t="e">
        <f t="shared" si="0"/>
        <v>#REF!</v>
      </c>
      <c r="T29" s="129" t="s">
        <v>191</v>
      </c>
      <c r="U29" s="131" t="e">
        <f t="shared" si="56"/>
        <v>#REF!</v>
      </c>
      <c r="V29" s="132" t="e">
        <f t="shared" si="1"/>
        <v>#REF!</v>
      </c>
      <c r="W29" s="138" t="e">
        <f t="shared" si="60"/>
        <v>#REF!</v>
      </c>
      <c r="X29" s="131" t="e">
        <f t="shared" si="61"/>
        <v>#REF!</v>
      </c>
      <c r="Y29" s="128" t="str">
        <f t="shared" si="3"/>
        <v/>
      </c>
      <c r="Z29" s="128" t="e">
        <f t="shared" si="4"/>
        <v>#VALUE!</v>
      </c>
      <c r="AC29" s="139">
        <f>IFERROR(IF(Q29/R29*100&gt;=N29,N29/100*R29,Q29),0)</f>
        <v>0</v>
      </c>
      <c r="AD29" s="139" t="e">
        <f t="shared" si="62"/>
        <v>#REF!</v>
      </c>
      <c r="AE29" s="140" t="e">
        <f t="shared" si="63"/>
        <v>#REF!</v>
      </c>
      <c r="AJ29" s="136" t="e">
        <f t="shared" si="64"/>
        <v>#REF!</v>
      </c>
      <c r="AK29" s="129" t="e">
        <f t="shared" si="65"/>
        <v>#REF!</v>
      </c>
      <c r="AL29" s="129" t="e">
        <f t="shared" si="66"/>
        <v>#REF!</v>
      </c>
      <c r="AM29" s="1" t="str">
        <f t="shared" si="67"/>
        <v>OPC (Type 1 General)/UltraPro</v>
      </c>
      <c r="AN29" s="1"/>
    </row>
    <row r="30" spans="1:40" ht="13" x14ac:dyDescent="0.3">
      <c r="A30" s="121" t="s">
        <v>196</v>
      </c>
      <c r="B30" s="150" t="e">
        <f>VLOOKUP(B$2,#REF!,6,)</f>
        <v>#REF!</v>
      </c>
      <c r="C30" s="150" t="e">
        <f>VLOOKUP(C$2,#REF!,6,)</f>
        <v>#REF!</v>
      </c>
      <c r="D30" s="150" t="e">
        <f>VLOOKUP(D$2,#REF!,6,)</f>
        <v>#REF!</v>
      </c>
      <c r="E30" s="150" t="e">
        <f>VLOOKUP(E$2,#REF!,6,)</f>
        <v>#REF!</v>
      </c>
      <c r="F30" s="150" t="e">
        <f>VLOOKUP(F$2,#REF!,6,)</f>
        <v>#REF!</v>
      </c>
      <c r="G30" s="150" t="e">
        <f>VLOOKUP(G$2,#REF!,6,)</f>
        <v>#REF!</v>
      </c>
      <c r="H30" s="150" t="e">
        <f>VLOOKUP(H$2,#REF!,6,)</f>
        <v>#REF!</v>
      </c>
      <c r="I30" s="150" t="e">
        <f>VLOOKUP(I$2,#REF!,6,)</f>
        <v>#REF!</v>
      </c>
      <c r="J30" s="150" t="e">
        <f>VLOOKUP(J$2,#REF!,6,)</f>
        <v>#REF!</v>
      </c>
      <c r="K30" s="150" t="e">
        <f>VLOOKUP(K$2,#REF!,6,)</f>
        <v>#REF!</v>
      </c>
      <c r="L30" s="150" t="e">
        <f>VLOOKUP(L$2,#REF!,6,)</f>
        <v>#REF!</v>
      </c>
      <c r="M30" s="150" t="e">
        <f>VLOOKUP(M$2,#REF!,6,)</f>
        <v>#REF!</v>
      </c>
      <c r="N30" s="123">
        <f>RKAP!$G$118</f>
        <v>68.760000000000005</v>
      </c>
      <c r="O30" s="1">
        <v>29</v>
      </c>
      <c r="Q30" s="127" t="e">
        <f t="shared" ref="Q30:R30" si="68">SUM(Q3:Q29)</f>
        <v>#REF!</v>
      </c>
      <c r="R30" s="127" t="e">
        <f t="shared" si="68"/>
        <v>#REF!</v>
      </c>
      <c r="S30" s="151" t="e">
        <f t="shared" ref="S30:S31" si="69">Q30/R30*100</f>
        <v>#REF!</v>
      </c>
      <c r="T30" s="125"/>
      <c r="U30" s="126" t="e">
        <f>SUM(U3:U29)</f>
        <v>#REF!</v>
      </c>
      <c r="Z30" s="128"/>
      <c r="AJ30" s="128" t="e">
        <f>D30</f>
        <v>#REF!</v>
      </c>
      <c r="AK30" s="131" t="e">
        <f t="shared" ref="AK30:AL30" si="70">SUM(AK3,AK11,AK15,AK16,AK21,AK27)</f>
        <v>#REF!</v>
      </c>
      <c r="AL30" s="131" t="e">
        <f t="shared" si="70"/>
        <v>#REF!</v>
      </c>
      <c r="AM30" s="130" t="e">
        <f>A30&amp;" = "&amp;ROUNDUP((AK30/AL30*100),2)</f>
        <v>#REF!</v>
      </c>
    </row>
    <row r="31" spans="1:40" ht="13" x14ac:dyDescent="0.3">
      <c r="A31" s="152"/>
      <c r="B31" s="153" t="s">
        <v>197</v>
      </c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3" t="s">
        <v>198</v>
      </c>
      <c r="N31" s="154">
        <v>68</v>
      </c>
      <c r="O31" s="153">
        <v>30</v>
      </c>
      <c r="P31" s="152"/>
      <c r="Q31" s="155" t="e">
        <f>N31/100*R31</f>
        <v>#REF!</v>
      </c>
      <c r="R31" s="155" t="e">
        <f>$R$30</f>
        <v>#REF!</v>
      </c>
      <c r="S31" s="156" t="e">
        <f t="shared" si="69"/>
        <v>#REF!</v>
      </c>
      <c r="T31" s="157">
        <v>1.1870673586294789E-2</v>
      </c>
      <c r="U31" s="158" t="e">
        <f>X31*N31/100</f>
        <v>#REF!</v>
      </c>
      <c r="V31" s="159" t="e">
        <f t="shared" ref="V31:X31" si="71">SUM(V4:V10,V12:V14,V15,V17:V20,V22:V26,V28:V29)</f>
        <v>#REF!</v>
      </c>
      <c r="W31" s="155" t="e">
        <f t="shared" si="71"/>
        <v>#REF!</v>
      </c>
      <c r="X31" s="155" t="e">
        <f t="shared" si="71"/>
        <v>#REF!</v>
      </c>
      <c r="Y31" s="160" t="str">
        <f>IFERROR(W31/X31*100,"")</f>
        <v/>
      </c>
      <c r="Z31" s="161"/>
      <c r="AA31" s="138"/>
      <c r="AL31" s="128" t="e">
        <f>AK30/AL30*100</f>
        <v>#REF!</v>
      </c>
    </row>
    <row r="32" spans="1:40" ht="16.5" x14ac:dyDescent="0.35">
      <c r="B32" s="115" t="s">
        <v>107</v>
      </c>
      <c r="T32" s="117" t="s">
        <v>199</v>
      </c>
      <c r="U32" s="117" t="s">
        <v>200</v>
      </c>
      <c r="V32" s="117" t="s">
        <v>201</v>
      </c>
    </row>
    <row r="33" spans="1:27" ht="13" x14ac:dyDescent="0.3">
      <c r="A33" s="116" t="s">
        <v>1</v>
      </c>
      <c r="B33" s="116" t="s">
        <v>4</v>
      </c>
      <c r="C33" s="116" t="s">
        <v>5</v>
      </c>
      <c r="D33" s="116" t="s">
        <v>6</v>
      </c>
      <c r="E33" s="116" t="s">
        <v>7</v>
      </c>
      <c r="F33" s="116" t="s">
        <v>8</v>
      </c>
      <c r="G33" s="116" t="s">
        <v>9</v>
      </c>
      <c r="H33" s="116" t="s">
        <v>10</v>
      </c>
      <c r="I33" s="116" t="s">
        <v>11</v>
      </c>
      <c r="J33" s="116" t="s">
        <v>12</v>
      </c>
      <c r="K33" s="116" t="s">
        <v>13</v>
      </c>
      <c r="L33" s="116" t="s">
        <v>14</v>
      </c>
      <c r="M33" s="116" t="s">
        <v>15</v>
      </c>
      <c r="N33" s="116" t="s">
        <v>175</v>
      </c>
      <c r="O33" s="1">
        <v>1</v>
      </c>
      <c r="P33" s="117" t="s">
        <v>176</v>
      </c>
      <c r="Q33" s="117" t="s">
        <v>177</v>
      </c>
      <c r="R33" s="117" t="s">
        <v>178</v>
      </c>
      <c r="S33" s="117" t="s">
        <v>179</v>
      </c>
      <c r="T33" s="118" t="s">
        <v>180</v>
      </c>
      <c r="U33" s="117" t="s">
        <v>181</v>
      </c>
      <c r="V33" s="117" t="s">
        <v>182</v>
      </c>
      <c r="W33" s="117" t="s">
        <v>130</v>
      </c>
      <c r="X33" s="117" t="s">
        <v>129</v>
      </c>
      <c r="Y33" s="117" t="s">
        <v>183</v>
      </c>
      <c r="Z33" s="119" t="s">
        <v>184</v>
      </c>
    </row>
    <row r="34" spans="1:27" ht="13" x14ac:dyDescent="0.3">
      <c r="A34" s="121" t="s">
        <v>145</v>
      </c>
      <c r="B34" s="162" t="e">
        <f>VLOOKUP(B$2,#REF!,55,)</f>
        <v>#REF!</v>
      </c>
      <c r="C34" s="162" t="e">
        <f>VLOOKUP(C$2,#REF!,55,)</f>
        <v>#REF!</v>
      </c>
      <c r="D34" s="162" t="e">
        <f>VLOOKUP(D$2,#REF!,55,)</f>
        <v>#REF!</v>
      </c>
      <c r="E34" s="162" t="e">
        <f>VLOOKUP(E$2,#REF!,55,)</f>
        <v>#REF!</v>
      </c>
      <c r="F34" s="162" t="e">
        <f>VLOOKUP(F$2,#REF!,55,)</f>
        <v>#REF!</v>
      </c>
      <c r="G34" s="162" t="e">
        <f>VLOOKUP(G$2,#REF!,55,)</f>
        <v>#REF!</v>
      </c>
      <c r="H34" s="162" t="e">
        <f>VLOOKUP(H$2,#REF!,55,)</f>
        <v>#REF!</v>
      </c>
      <c r="I34" s="162" t="e">
        <f>VLOOKUP(I$2,#REF!,55,)</f>
        <v>#REF!</v>
      </c>
      <c r="J34" s="162" t="e">
        <f>VLOOKUP(J$2,#REF!,55,)</f>
        <v>#REF!</v>
      </c>
      <c r="K34" s="162" t="e">
        <f>VLOOKUP(K$2,#REF!,55,)</f>
        <v>#REF!</v>
      </c>
      <c r="L34" s="162" t="e">
        <f>VLOOKUP(L$2,#REF!,55,)</f>
        <v>#REF!</v>
      </c>
      <c r="M34" s="162" t="e">
        <f>VLOOKUP(M$2,#REF!,55,)</f>
        <v>#REF!</v>
      </c>
      <c r="N34" s="123">
        <f>RKAP!$BC$17</f>
        <v>87.6</v>
      </c>
      <c r="O34" s="1">
        <v>2</v>
      </c>
      <c r="P34" s="128"/>
      <c r="S34" s="124" t="str">
        <f t="shared" ref="S34:S60" si="72">IF(P34="","",P34/100*R34)</f>
        <v/>
      </c>
      <c r="T34" s="125"/>
      <c r="V34" s="126" t="str">
        <f>IF(U34="","",U34*(1-$T$31))</f>
        <v/>
      </c>
      <c r="W34" s="127" t="e">
        <f t="shared" ref="W34:X34" si="73">SUM(W35:W41)</f>
        <v>#REF!</v>
      </c>
      <c r="X34" s="127" t="e">
        <f t="shared" si="73"/>
        <v>#REF!</v>
      </c>
      <c r="Y34" s="128" t="str">
        <f t="shared" ref="Y34:Y60" si="74">IFERROR(W34/X34*100,"")</f>
        <v/>
      </c>
      <c r="Z34" s="128" t="e">
        <f t="shared" ref="Z34:Z60" si="75">IF(Y34-HLOOKUP(Q$1,$B$33:$M$61,O34,)=0,"",Y34-HLOOKUP(Q$1,$B$33:$M$61,O34,))</f>
        <v>#VALUE!</v>
      </c>
    </row>
    <row r="35" spans="1:27" ht="12.5" x14ac:dyDescent="0.25">
      <c r="A35" s="1" t="s">
        <v>189</v>
      </c>
      <c r="B35" s="128" t="e">
        <f>VLOOKUP(B$2,#REF!,7,)</f>
        <v>#REF!</v>
      </c>
      <c r="C35" s="128" t="e">
        <f>VLOOKUP(C$2,#REF!,7,)</f>
        <v>#REF!</v>
      </c>
      <c r="D35" s="128" t="e">
        <f>VLOOKUP(D$2,#REF!,7,)</f>
        <v>#REF!</v>
      </c>
      <c r="E35" s="128" t="e">
        <f>VLOOKUP(E$2,#REF!,7,)</f>
        <v>#REF!</v>
      </c>
      <c r="F35" s="128" t="e">
        <f>VLOOKUP(F$2,#REF!,7,)</f>
        <v>#REF!</v>
      </c>
      <c r="G35" s="128" t="e">
        <f>VLOOKUP(G$2,#REF!,7,)</f>
        <v>#REF!</v>
      </c>
      <c r="H35" s="128" t="e">
        <f>VLOOKUP(H$2,#REF!,7,)</f>
        <v>#REF!</v>
      </c>
      <c r="I35" s="128" t="e">
        <f>VLOOKUP(I$2,#REF!,7,)</f>
        <v>#REF!</v>
      </c>
      <c r="J35" s="128" t="e">
        <f>VLOOKUP(J$2,#REF!,7,)</f>
        <v>#REF!</v>
      </c>
      <c r="K35" s="128" t="e">
        <f>VLOOKUP(K$2,#REF!,7,)</f>
        <v>#REF!</v>
      </c>
      <c r="L35" s="128" t="e">
        <f>VLOOKUP(L$2,#REF!,7,)</f>
        <v>#REF!</v>
      </c>
      <c r="M35" s="128" t="e">
        <f>VLOOKUP(M$2,#REF!,7,)</f>
        <v>#REF!</v>
      </c>
      <c r="N35" s="128">
        <f>RKAP!$G$17</f>
        <v>85</v>
      </c>
      <c r="O35" s="1">
        <v>3</v>
      </c>
      <c r="P35" s="128" t="e">
        <f t="shared" ref="P35:P41" si="76">IF(HLOOKUP(Q$1,$B$33:$M$61,O35,)-N35&lt;=0,"",HLOOKUP(Q$1,$B$33:$M$61,O35,)-N35)</f>
        <v>#REF!</v>
      </c>
      <c r="Q35" s="131" t="e">
        <f>VLOOKUP(Q$1,#REF!,3,)</f>
        <v>#REF!</v>
      </c>
      <c r="R35" s="131" t="e">
        <f>VLOOKUP(Q$1,#REF!,5,)</f>
        <v>#REF!</v>
      </c>
      <c r="S35" s="124" t="e">
        <f t="shared" si="72"/>
        <v>#REF!</v>
      </c>
      <c r="T35" s="129" t="s">
        <v>191</v>
      </c>
      <c r="U35" s="131" t="e">
        <f t="shared" ref="U35:U60" si="77">IF(T35="Yes",Q35,"")</f>
        <v>#REF!</v>
      </c>
      <c r="V35" s="126" t="e">
        <f t="shared" ref="V35:V41" si="78">IF(U35="","",U35*(1-$T$62))</f>
        <v>#REF!</v>
      </c>
      <c r="W35" s="131" t="e">
        <f t="shared" ref="W35:W41" si="79">IF(T35="Yes",V35,Q35)</f>
        <v>#REF!</v>
      </c>
      <c r="X35" s="131" t="e">
        <f t="shared" ref="X35:X41" si="80">R35</f>
        <v>#REF!</v>
      </c>
      <c r="Y35" s="128" t="str">
        <f t="shared" si="74"/>
        <v/>
      </c>
      <c r="Z35" s="128" t="e">
        <f t="shared" si="75"/>
        <v>#VALUE!</v>
      </c>
      <c r="AA35" s="163" t="e">
        <f>R35/$R$61*100</f>
        <v>#REF!</v>
      </c>
    </row>
    <row r="36" spans="1:27" ht="12.5" x14ac:dyDescent="0.25">
      <c r="A36" s="1" t="s">
        <v>190</v>
      </c>
      <c r="B36" s="128" t="e">
        <f>VLOOKUP(B$2,#REF!,78,)</f>
        <v>#REF!</v>
      </c>
      <c r="C36" s="128" t="e">
        <f>VLOOKUP(C$2,#REF!,78,)</f>
        <v>#REF!</v>
      </c>
      <c r="D36" s="128" t="e">
        <f>VLOOKUP(D$2,#REF!,78,)</f>
        <v>#REF!</v>
      </c>
      <c r="E36" s="128" t="e">
        <f>VLOOKUP(E$2,#REF!,78,)</f>
        <v>#REF!</v>
      </c>
      <c r="F36" s="128" t="e">
        <f>VLOOKUP(F$2,#REF!,78,)</f>
        <v>#REF!</v>
      </c>
      <c r="G36" s="128" t="e">
        <f>VLOOKUP(G$2,#REF!,78,)</f>
        <v>#REF!</v>
      </c>
      <c r="H36" s="128" t="e">
        <f>VLOOKUP(H$2,#REF!,78,)</f>
        <v>#REF!</v>
      </c>
      <c r="I36" s="128" t="e">
        <f>VLOOKUP(I$2,#REF!,78,)</f>
        <v>#REF!</v>
      </c>
      <c r="J36" s="128" t="e">
        <f>VLOOKUP(J$2,#REF!,78,)</f>
        <v>#REF!</v>
      </c>
      <c r="K36" s="128" t="e">
        <f>VLOOKUP(K$2,#REF!,78,)</f>
        <v>#REF!</v>
      </c>
      <c r="L36" s="128" t="e">
        <f>VLOOKUP(L$2,#REF!,78,)</f>
        <v>#REF!</v>
      </c>
      <c r="M36" s="128" t="e">
        <f>VLOOKUP(M$2,#REF!,78,)</f>
        <v>#REF!</v>
      </c>
      <c r="N36" s="128">
        <f>RKAP!$BZ$17</f>
        <v>95.5</v>
      </c>
      <c r="O36" s="1">
        <v>4</v>
      </c>
      <c r="P36" s="128" t="e">
        <f t="shared" si="76"/>
        <v>#REF!</v>
      </c>
      <c r="Q36" s="131" t="e">
        <f>VLOOKUP(Q$1,#REF!,74,)</f>
        <v>#REF!</v>
      </c>
      <c r="R36" s="131" t="e">
        <f>VLOOKUP(Q$1,#REF!,76,)</f>
        <v>#REF!</v>
      </c>
      <c r="S36" s="124" t="e">
        <f t="shared" si="72"/>
        <v>#REF!</v>
      </c>
      <c r="T36" s="129" t="s">
        <v>191</v>
      </c>
      <c r="U36" s="131" t="e">
        <f t="shared" si="77"/>
        <v>#REF!</v>
      </c>
      <c r="V36" s="126" t="e">
        <f t="shared" si="78"/>
        <v>#REF!</v>
      </c>
      <c r="W36" s="131" t="e">
        <f t="shared" si="79"/>
        <v>#REF!</v>
      </c>
      <c r="X36" s="131" t="e">
        <f t="shared" si="80"/>
        <v>#REF!</v>
      </c>
      <c r="Y36" s="128" t="str">
        <f t="shared" si="74"/>
        <v/>
      </c>
      <c r="Z36" s="128" t="e">
        <f t="shared" si="75"/>
        <v>#VALUE!</v>
      </c>
    </row>
    <row r="37" spans="1:27" ht="12.5" x14ac:dyDescent="0.25">
      <c r="A37" s="1" t="s">
        <v>192</v>
      </c>
      <c r="B37" s="128" t="e">
        <f>VLOOKUP(B$2,#REF!,84,)</f>
        <v>#REF!</v>
      </c>
      <c r="C37" s="128" t="e">
        <f>VLOOKUP(C$2,#REF!,84,)</f>
        <v>#REF!</v>
      </c>
      <c r="D37" s="128" t="e">
        <f>VLOOKUP(D$2,#REF!,84,)</f>
        <v>#REF!</v>
      </c>
      <c r="E37" s="128" t="e">
        <f>VLOOKUP(E$2,#REF!,84,)</f>
        <v>#REF!</v>
      </c>
      <c r="F37" s="128" t="e">
        <f>VLOOKUP(F$2,#REF!,84,)</f>
        <v>#REF!</v>
      </c>
      <c r="G37" s="128" t="e">
        <f>VLOOKUP(G$2,#REF!,84,)</f>
        <v>#REF!</v>
      </c>
      <c r="H37" s="128" t="e">
        <f>VLOOKUP(H$2,#REF!,84,)</f>
        <v>#REF!</v>
      </c>
      <c r="I37" s="128" t="e">
        <f>VLOOKUP(I$2,#REF!,84,)</f>
        <v>#REF!</v>
      </c>
      <c r="J37" s="128" t="e">
        <f>VLOOKUP(J$2,#REF!,84,)</f>
        <v>#REF!</v>
      </c>
      <c r="K37" s="128" t="e">
        <f>VLOOKUP(K$2,#REF!,84,)</f>
        <v>#REF!</v>
      </c>
      <c r="L37" s="128" t="e">
        <f>VLOOKUP(L$2,#REF!,84,)</f>
        <v>#REF!</v>
      </c>
      <c r="M37" s="128" t="e">
        <f>VLOOKUP(M$2,#REF!,84,)</f>
        <v>#REF!</v>
      </c>
      <c r="N37" s="128">
        <f>RKAP!$CF$17</f>
        <v>88.4</v>
      </c>
      <c r="O37" s="1">
        <v>5</v>
      </c>
      <c r="P37" s="128" t="e">
        <f t="shared" si="76"/>
        <v>#REF!</v>
      </c>
      <c r="Q37" s="131" t="e">
        <f>VLOOKUP(Q$1,#REF!,80,)</f>
        <v>#REF!</v>
      </c>
      <c r="R37" s="131" t="e">
        <f>VLOOKUP(Q$1,#REF!,82,)</f>
        <v>#REF!</v>
      </c>
      <c r="S37" s="124" t="e">
        <f t="shared" si="72"/>
        <v>#REF!</v>
      </c>
      <c r="T37" s="129" t="s">
        <v>202</v>
      </c>
      <c r="U37" s="41" t="str">
        <f t="shared" si="77"/>
        <v/>
      </c>
      <c r="V37" s="126" t="str">
        <f t="shared" si="78"/>
        <v/>
      </c>
      <c r="W37" s="131" t="e">
        <f t="shared" si="79"/>
        <v>#REF!</v>
      </c>
      <c r="X37" s="131" t="e">
        <f t="shared" si="80"/>
        <v>#REF!</v>
      </c>
      <c r="Y37" s="128" t="str">
        <f t="shared" si="74"/>
        <v/>
      </c>
      <c r="Z37" s="128" t="e">
        <f t="shared" si="75"/>
        <v>#VALUE!</v>
      </c>
    </row>
    <row r="38" spans="1:27" ht="12.5" x14ac:dyDescent="0.25">
      <c r="A38" s="1" t="s">
        <v>95</v>
      </c>
      <c r="B38" s="128" t="e">
        <f>VLOOKUP(B$2,#REF!,19,)</f>
        <v>#REF!</v>
      </c>
      <c r="C38" s="128" t="e">
        <f>VLOOKUP(C$2,#REF!,19,)</f>
        <v>#REF!</v>
      </c>
      <c r="D38" s="128" t="e">
        <f>VLOOKUP(D$2,#REF!,19,)</f>
        <v>#REF!</v>
      </c>
      <c r="E38" s="128" t="e">
        <f>VLOOKUP(E$2,#REF!,19,)</f>
        <v>#REF!</v>
      </c>
      <c r="F38" s="128" t="e">
        <f>VLOOKUP(F$2,#REF!,19,)</f>
        <v>#REF!</v>
      </c>
      <c r="G38" s="128" t="e">
        <f>VLOOKUP(G$2,#REF!,19,)</f>
        <v>#REF!</v>
      </c>
      <c r="H38" s="128" t="e">
        <f>VLOOKUP(H$2,#REF!,19,)</f>
        <v>#REF!</v>
      </c>
      <c r="I38" s="128" t="e">
        <f>VLOOKUP(I$2,#REF!,19,)</f>
        <v>#REF!</v>
      </c>
      <c r="J38" s="128" t="e">
        <f>VLOOKUP(J$2,#REF!,19,)</f>
        <v>#REF!</v>
      </c>
      <c r="K38" s="128" t="e">
        <f>VLOOKUP(K$2,#REF!,19,)</f>
        <v>#REF!</v>
      </c>
      <c r="L38" s="128" t="e">
        <f>VLOOKUP(L$2,#REF!,19,)</f>
        <v>#REF!</v>
      </c>
      <c r="M38" s="128" t="e">
        <f>VLOOKUP(M$2,#REF!,19,)</f>
        <v>#REF!</v>
      </c>
      <c r="N38" s="128">
        <f>RKAP!$S$17</f>
        <v>88.2</v>
      </c>
      <c r="O38" s="1">
        <v>6</v>
      </c>
      <c r="P38" s="128" t="e">
        <f t="shared" si="76"/>
        <v>#REF!</v>
      </c>
      <c r="Q38" s="131" t="e">
        <f>VLOOKUP(Q$1,#REF!,15,)</f>
        <v>#REF!</v>
      </c>
      <c r="R38" s="131" t="e">
        <f>VLOOKUP(Q$1,#REF!,17,)</f>
        <v>#REF!</v>
      </c>
      <c r="S38" s="124" t="e">
        <f t="shared" si="72"/>
        <v>#REF!</v>
      </c>
      <c r="T38" s="129" t="s">
        <v>191</v>
      </c>
      <c r="U38" s="131" t="e">
        <f t="shared" si="77"/>
        <v>#REF!</v>
      </c>
      <c r="V38" s="126" t="e">
        <f t="shared" si="78"/>
        <v>#REF!</v>
      </c>
      <c r="W38" s="131" t="e">
        <f t="shared" si="79"/>
        <v>#REF!</v>
      </c>
      <c r="X38" s="131" t="e">
        <f t="shared" si="80"/>
        <v>#REF!</v>
      </c>
      <c r="Y38" s="128" t="str">
        <f t="shared" si="74"/>
        <v/>
      </c>
      <c r="Z38" s="128" t="e">
        <f t="shared" si="75"/>
        <v>#VALUE!</v>
      </c>
    </row>
    <row r="39" spans="1:27" ht="12.5" x14ac:dyDescent="0.25">
      <c r="A39" s="1" t="s">
        <v>96</v>
      </c>
      <c r="B39" s="128" t="e">
        <f>VLOOKUP(B$2,#REF!,25,)</f>
        <v>#REF!</v>
      </c>
      <c r="C39" s="128" t="e">
        <f>VLOOKUP(C$2,#REF!,25,)</f>
        <v>#REF!</v>
      </c>
      <c r="D39" s="128" t="e">
        <f>VLOOKUP(D$2,#REF!,25,)</f>
        <v>#REF!</v>
      </c>
      <c r="E39" s="128" t="e">
        <f>VLOOKUP(E$2,#REF!,25,)</f>
        <v>#REF!</v>
      </c>
      <c r="F39" s="128" t="e">
        <f>VLOOKUP(F$2,#REF!,25,)</f>
        <v>#REF!</v>
      </c>
      <c r="G39" s="128" t="e">
        <f>VLOOKUP(G$2,#REF!,25,)</f>
        <v>#REF!</v>
      </c>
      <c r="H39" s="128" t="e">
        <f>VLOOKUP(H$2,#REF!,25,)</f>
        <v>#REF!</v>
      </c>
      <c r="I39" s="128" t="e">
        <f>VLOOKUP(I$2,#REF!,25,)</f>
        <v>#REF!</v>
      </c>
      <c r="J39" s="128" t="e">
        <f>VLOOKUP(J$2,#REF!,25,)</f>
        <v>#REF!</v>
      </c>
      <c r="K39" s="128" t="e">
        <f>VLOOKUP(K$2,#REF!,25,)</f>
        <v>#REF!</v>
      </c>
      <c r="L39" s="128" t="e">
        <f>VLOOKUP(L$2,#REF!,25,)</f>
        <v>#REF!</v>
      </c>
      <c r="M39" s="128" t="e">
        <f>VLOOKUP(M$2,#REF!,25,)</f>
        <v>#REF!</v>
      </c>
      <c r="N39" s="128">
        <f>RKAP!$Y$17</f>
        <v>96.4</v>
      </c>
      <c r="O39" s="1">
        <v>7</v>
      </c>
      <c r="P39" s="128" t="e">
        <f t="shared" si="76"/>
        <v>#REF!</v>
      </c>
      <c r="Q39" s="131" t="e">
        <f>VLOOKUP(Q$1,#REF!,21,)</f>
        <v>#REF!</v>
      </c>
      <c r="R39" s="131" t="e">
        <f>VLOOKUP(Q$1,#REF!,23,)</f>
        <v>#REF!</v>
      </c>
      <c r="S39" s="124" t="e">
        <f t="shared" si="72"/>
        <v>#REF!</v>
      </c>
      <c r="T39" s="129" t="s">
        <v>191</v>
      </c>
      <c r="U39" s="131" t="e">
        <f t="shared" si="77"/>
        <v>#REF!</v>
      </c>
      <c r="V39" s="126" t="e">
        <f t="shared" si="78"/>
        <v>#REF!</v>
      </c>
      <c r="W39" s="131" t="e">
        <f t="shared" si="79"/>
        <v>#REF!</v>
      </c>
      <c r="X39" s="131" t="e">
        <f t="shared" si="80"/>
        <v>#REF!</v>
      </c>
      <c r="Y39" s="128" t="str">
        <f t="shared" si="74"/>
        <v/>
      </c>
      <c r="Z39" s="128" t="e">
        <f t="shared" si="75"/>
        <v>#VALUE!</v>
      </c>
    </row>
    <row r="40" spans="1:27" ht="12.5" x14ac:dyDescent="0.25">
      <c r="A40" s="1" t="s">
        <v>97</v>
      </c>
      <c r="B40" s="128" t="e">
        <f>VLOOKUP(B$2,#REF!,31,)</f>
        <v>#REF!</v>
      </c>
      <c r="C40" s="128" t="e">
        <f>VLOOKUP(C$2,#REF!,31,)</f>
        <v>#REF!</v>
      </c>
      <c r="D40" s="128" t="e">
        <f>VLOOKUP(D$2,#REF!,31,)</f>
        <v>#REF!</v>
      </c>
      <c r="E40" s="128" t="e">
        <f>VLOOKUP(E$2,#REF!,31,)</f>
        <v>#REF!</v>
      </c>
      <c r="F40" s="128" t="e">
        <f>VLOOKUP(F$2,#REF!,31,)</f>
        <v>#REF!</v>
      </c>
      <c r="G40" s="128" t="e">
        <f>VLOOKUP(G$2,#REF!,31,)</f>
        <v>#REF!</v>
      </c>
      <c r="H40" s="128" t="e">
        <f>VLOOKUP(H$2,#REF!,31,)</f>
        <v>#REF!</v>
      </c>
      <c r="I40" s="128" t="e">
        <f>VLOOKUP(I$2,#REF!,31,)</f>
        <v>#REF!</v>
      </c>
      <c r="J40" s="128" t="e">
        <f>VLOOKUP(J$2,#REF!,31,)</f>
        <v>#REF!</v>
      </c>
      <c r="K40" s="128" t="e">
        <f>VLOOKUP(K$2,#REF!,31,)</f>
        <v>#REF!</v>
      </c>
      <c r="L40" s="128" t="e">
        <f>VLOOKUP(L$2,#REF!,31,)</f>
        <v>#REF!</v>
      </c>
      <c r="M40" s="128" t="e">
        <f>VLOOKUP(M$2,#REF!,31,)</f>
        <v>#REF!</v>
      </c>
      <c r="N40" s="128">
        <f>RKAP!$AE$17</f>
        <v>93.8</v>
      </c>
      <c r="O40" s="1">
        <v>8</v>
      </c>
      <c r="P40" s="128" t="e">
        <f t="shared" si="76"/>
        <v>#REF!</v>
      </c>
      <c r="Q40" s="131" t="e">
        <f>VLOOKUP(Q$1,#REF!,27,)</f>
        <v>#REF!</v>
      </c>
      <c r="R40" s="131" t="e">
        <f>VLOOKUP(Q$1,#REF!,29,)</f>
        <v>#REF!</v>
      </c>
      <c r="S40" s="124" t="e">
        <f t="shared" si="72"/>
        <v>#REF!</v>
      </c>
      <c r="T40" s="129" t="s">
        <v>191</v>
      </c>
      <c r="U40" s="131" t="e">
        <f t="shared" si="77"/>
        <v>#REF!</v>
      </c>
      <c r="V40" s="126" t="e">
        <f t="shared" si="78"/>
        <v>#REF!</v>
      </c>
      <c r="W40" s="131" t="e">
        <f t="shared" si="79"/>
        <v>#REF!</v>
      </c>
      <c r="X40" s="131" t="e">
        <f t="shared" si="80"/>
        <v>#REF!</v>
      </c>
      <c r="Y40" s="128" t="str">
        <f t="shared" si="74"/>
        <v/>
      </c>
      <c r="Z40" s="128" t="e">
        <f t="shared" si="75"/>
        <v>#VALUE!</v>
      </c>
    </row>
    <row r="41" spans="1:27" ht="12.5" x14ac:dyDescent="0.25">
      <c r="A41" s="1" t="s">
        <v>98</v>
      </c>
      <c r="B41" s="128" t="e">
        <f>VLOOKUP(B$2,#REF!,37,)</f>
        <v>#REF!</v>
      </c>
      <c r="C41" s="128" t="e">
        <f>VLOOKUP(C$2,#REF!,37,)</f>
        <v>#REF!</v>
      </c>
      <c r="D41" s="128" t="e">
        <f>VLOOKUP(D$2,#REF!,37,)</f>
        <v>#REF!</v>
      </c>
      <c r="E41" s="128" t="e">
        <f>VLOOKUP(E$2,#REF!,37,)</f>
        <v>#REF!</v>
      </c>
      <c r="F41" s="128" t="e">
        <f>VLOOKUP(F$2,#REF!,37,)</f>
        <v>#REF!</v>
      </c>
      <c r="G41" s="128" t="e">
        <f>VLOOKUP(G$2,#REF!,37,)</f>
        <v>#REF!</v>
      </c>
      <c r="H41" s="128" t="e">
        <f>VLOOKUP(H$2,#REF!,37,)</f>
        <v>#REF!</v>
      </c>
      <c r="I41" s="128" t="e">
        <f>VLOOKUP(I$2,#REF!,37,)</f>
        <v>#REF!</v>
      </c>
      <c r="J41" s="128" t="e">
        <f>VLOOKUP(J$2,#REF!,37,)</f>
        <v>#REF!</v>
      </c>
      <c r="K41" s="128" t="e">
        <f>VLOOKUP(K$2,#REF!,37,)</f>
        <v>#REF!</v>
      </c>
      <c r="L41" s="128" t="e">
        <f>VLOOKUP(L$2,#REF!,37,)</f>
        <v>#REF!</v>
      </c>
      <c r="M41" s="128" t="e">
        <f>VLOOKUP(M$2,#REF!,37,)</f>
        <v>#REF!</v>
      </c>
      <c r="N41" s="128">
        <f>RKAP!$AK$17</f>
        <v>70</v>
      </c>
      <c r="O41" s="1">
        <v>9</v>
      </c>
      <c r="P41" s="128" t="e">
        <f t="shared" si="76"/>
        <v>#REF!</v>
      </c>
      <c r="Q41" s="131" t="e">
        <f>VLOOKUP(Q$1,#REF!,33,)</f>
        <v>#REF!</v>
      </c>
      <c r="R41" s="131" t="e">
        <f>VLOOKUP(Q$1,#REF!,35,)</f>
        <v>#REF!</v>
      </c>
      <c r="S41" s="124" t="e">
        <f t="shared" si="72"/>
        <v>#REF!</v>
      </c>
      <c r="T41" s="129" t="s">
        <v>191</v>
      </c>
      <c r="U41" s="131" t="e">
        <f t="shared" si="77"/>
        <v>#REF!</v>
      </c>
      <c r="V41" s="126" t="e">
        <f t="shared" si="78"/>
        <v>#REF!</v>
      </c>
      <c r="W41" s="131" t="e">
        <f t="shared" si="79"/>
        <v>#REF!</v>
      </c>
      <c r="X41" s="131" t="e">
        <f t="shared" si="80"/>
        <v>#REF!</v>
      </c>
      <c r="Y41" s="128" t="str">
        <f t="shared" si="74"/>
        <v/>
      </c>
      <c r="Z41" s="128" t="e">
        <f t="shared" si="75"/>
        <v>#VALUE!</v>
      </c>
    </row>
    <row r="42" spans="1:27" ht="13" x14ac:dyDescent="0.3">
      <c r="A42" s="121" t="s">
        <v>146</v>
      </c>
      <c r="B42" s="162" t="e">
        <f>VLOOKUP(B$2,#REF!,31,)</f>
        <v>#REF!</v>
      </c>
      <c r="C42" s="162" t="e">
        <f>VLOOKUP(C$2,#REF!,31,)</f>
        <v>#REF!</v>
      </c>
      <c r="D42" s="162" t="e">
        <f>VLOOKUP(D$2,#REF!,31,)</f>
        <v>#REF!</v>
      </c>
      <c r="E42" s="162" t="e">
        <f>VLOOKUP(E$2,#REF!,31,)</f>
        <v>#REF!</v>
      </c>
      <c r="F42" s="162" t="e">
        <f>VLOOKUP(F$2,#REF!,31,)</f>
        <v>#REF!</v>
      </c>
      <c r="G42" s="162" t="e">
        <f>VLOOKUP(G$2,#REF!,31,)</f>
        <v>#REF!</v>
      </c>
      <c r="H42" s="162" t="e">
        <f>VLOOKUP(H$2,#REF!,31,)</f>
        <v>#REF!</v>
      </c>
      <c r="I42" s="162" t="e">
        <f>VLOOKUP(I$2,#REF!,31,)</f>
        <v>#REF!</v>
      </c>
      <c r="J42" s="162" t="e">
        <f>VLOOKUP(J$2,#REF!,31,)</f>
        <v>#REF!</v>
      </c>
      <c r="K42" s="162" t="e">
        <f>VLOOKUP(K$2,#REF!,31,)</f>
        <v>#REF!</v>
      </c>
      <c r="L42" s="162" t="e">
        <f>VLOOKUP(L$2,#REF!,31,)</f>
        <v>#REF!</v>
      </c>
      <c r="M42" s="162" t="e">
        <f>VLOOKUP(M$2,#REF!,31,)</f>
        <v>#REF!</v>
      </c>
      <c r="N42" s="123">
        <f>RKAP!$AE$34</f>
        <v>58.61</v>
      </c>
      <c r="O42" s="1">
        <v>10</v>
      </c>
      <c r="P42" s="128"/>
      <c r="S42" s="124" t="str">
        <f t="shared" si="72"/>
        <v/>
      </c>
      <c r="T42" s="125"/>
      <c r="U42" s="41" t="str">
        <f t="shared" si="77"/>
        <v/>
      </c>
      <c r="V42" s="126" t="str">
        <f>IF(U42="","",U42*(1-$T$31))</f>
        <v/>
      </c>
      <c r="W42" s="127" t="e">
        <f t="shared" ref="W42:X42" si="81">SUM(W43:W45)</f>
        <v>#REF!</v>
      </c>
      <c r="X42" s="127" t="e">
        <f t="shared" si="81"/>
        <v>#REF!</v>
      </c>
      <c r="Y42" s="128" t="str">
        <f t="shared" si="74"/>
        <v/>
      </c>
      <c r="Z42" s="128" t="e">
        <f t="shared" si="75"/>
        <v>#VALUE!</v>
      </c>
    </row>
    <row r="43" spans="1:27" ht="12.5" x14ac:dyDescent="0.25">
      <c r="A43" s="1" t="s">
        <v>193</v>
      </c>
      <c r="B43" s="128" t="e">
        <f>VLOOKUP(B$2,#REF!,7,)</f>
        <v>#REF!</v>
      </c>
      <c r="C43" s="128" t="e">
        <f>VLOOKUP(C$2,#REF!,7,)</f>
        <v>#REF!</v>
      </c>
      <c r="D43" s="128" t="e">
        <f>VLOOKUP(D$2,#REF!,7,)</f>
        <v>#REF!</v>
      </c>
      <c r="E43" s="128" t="e">
        <f>VLOOKUP(E$2,#REF!,7,)</f>
        <v>#REF!</v>
      </c>
      <c r="F43" s="128" t="e">
        <f>VLOOKUP(F$2,#REF!,7,)</f>
        <v>#REF!</v>
      </c>
      <c r="G43" s="128" t="e">
        <f>VLOOKUP(G$2,#REF!,7,)</f>
        <v>#REF!</v>
      </c>
      <c r="H43" s="128" t="e">
        <f>VLOOKUP(H$2,#REF!,7,)</f>
        <v>#REF!</v>
      </c>
      <c r="I43" s="128" t="e">
        <f>VLOOKUP(I$2,#REF!,7,)</f>
        <v>#REF!</v>
      </c>
      <c r="J43" s="128" t="e">
        <f>VLOOKUP(J$2,#REF!,7,)</f>
        <v>#REF!</v>
      </c>
      <c r="K43" s="128" t="e">
        <f>VLOOKUP(K$2,#REF!,7,)</f>
        <v>#REF!</v>
      </c>
      <c r="L43" s="128" t="e">
        <f>VLOOKUP(L$2,#REF!,7,)</f>
        <v>#REF!</v>
      </c>
      <c r="M43" s="128" t="e">
        <f>VLOOKUP(M$2,#REF!,7,)</f>
        <v>#REF!</v>
      </c>
      <c r="N43" s="128">
        <f>RKAP!$G$34</f>
        <v>58</v>
      </c>
      <c r="O43" s="1">
        <v>11</v>
      </c>
      <c r="P43" s="128" t="e">
        <f t="shared" ref="P43:P46" si="82">IF(HLOOKUP(Q$1,$B$33:$M$61,O43,)-N43&lt;=0,"",HLOOKUP(Q$1,$B$33:$M$61,O43,)-N43)</f>
        <v>#REF!</v>
      </c>
      <c r="Q43" s="131" t="e">
        <f>VLOOKUP(Q$1,#REF!,3,)</f>
        <v>#REF!</v>
      </c>
      <c r="R43" s="131" t="e">
        <f>VLOOKUP(Q$1,#REF!,5,)</f>
        <v>#REF!</v>
      </c>
      <c r="S43" s="124" t="e">
        <f t="shared" si="72"/>
        <v>#REF!</v>
      </c>
      <c r="T43" s="129" t="s">
        <v>191</v>
      </c>
      <c r="U43" s="131" t="e">
        <f t="shared" si="77"/>
        <v>#REF!</v>
      </c>
      <c r="V43" s="126" t="e">
        <f t="shared" ref="V43:V46" si="83">IF(U43="","",U43*(1-$T$62))</f>
        <v>#REF!</v>
      </c>
      <c r="W43" s="131" t="e">
        <f t="shared" ref="W43:W46" si="84">IF(T43="Yes",V43,Q43)</f>
        <v>#REF!</v>
      </c>
      <c r="X43" s="131" t="e">
        <f t="shared" ref="X43:X46" si="85">R43</f>
        <v>#REF!</v>
      </c>
      <c r="Y43" s="128" t="str">
        <f t="shared" si="74"/>
        <v/>
      </c>
      <c r="Z43" s="128" t="e">
        <f t="shared" si="75"/>
        <v>#VALUE!</v>
      </c>
    </row>
    <row r="44" spans="1:27" ht="12.5" x14ac:dyDescent="0.25">
      <c r="A44" s="1" t="s">
        <v>95</v>
      </c>
      <c r="B44" s="128" t="e">
        <f>VLOOKUP(B$2,#REF!,13,)</f>
        <v>#REF!</v>
      </c>
      <c r="C44" s="128" t="e">
        <f>VLOOKUP(C$2,#REF!,13,)</f>
        <v>#REF!</v>
      </c>
      <c r="D44" s="128" t="e">
        <f>VLOOKUP(D$2,#REF!,13,)</f>
        <v>#REF!</v>
      </c>
      <c r="E44" s="128" t="e">
        <f>VLOOKUP(E$2,#REF!,13,)</f>
        <v>#REF!</v>
      </c>
      <c r="F44" s="128" t="e">
        <f>VLOOKUP(F$2,#REF!,13,)</f>
        <v>#REF!</v>
      </c>
      <c r="G44" s="128" t="e">
        <f>VLOOKUP(G$2,#REF!,13,)</f>
        <v>#REF!</v>
      </c>
      <c r="H44" s="128" t="e">
        <f>VLOOKUP(H$2,#REF!,13,)</f>
        <v>#REF!</v>
      </c>
      <c r="I44" s="128" t="e">
        <f>VLOOKUP(I$2,#REF!,13,)</f>
        <v>#REF!</v>
      </c>
      <c r="J44" s="128" t="e">
        <f>VLOOKUP(J$2,#REF!,13,)</f>
        <v>#REF!</v>
      </c>
      <c r="K44" s="128" t="e">
        <f>VLOOKUP(K$2,#REF!,13,)</f>
        <v>#REF!</v>
      </c>
      <c r="L44" s="128" t="e">
        <f>VLOOKUP(L$2,#REF!,13,)</f>
        <v>#REF!</v>
      </c>
      <c r="M44" s="128" t="e">
        <f>VLOOKUP(M$2,#REF!,13,)</f>
        <v>#REF!</v>
      </c>
      <c r="N44" s="128">
        <f>RKAP!$M$34</f>
        <v>91.12</v>
      </c>
      <c r="O44" s="1">
        <v>12</v>
      </c>
      <c r="P44" s="128" t="e">
        <f t="shared" si="82"/>
        <v>#REF!</v>
      </c>
      <c r="Q44" s="131" t="e">
        <f>VLOOKUP(Q$1,#REF!,9,)</f>
        <v>#REF!</v>
      </c>
      <c r="R44" s="131" t="e">
        <f>VLOOKUP(Q$1,#REF!,11,)</f>
        <v>#REF!</v>
      </c>
      <c r="S44" s="124" t="e">
        <f t="shared" si="72"/>
        <v>#REF!</v>
      </c>
      <c r="T44" s="129" t="s">
        <v>191</v>
      </c>
      <c r="U44" s="131" t="e">
        <f t="shared" si="77"/>
        <v>#REF!</v>
      </c>
      <c r="V44" s="126" t="e">
        <f t="shared" si="83"/>
        <v>#REF!</v>
      </c>
      <c r="W44" s="131" t="e">
        <f t="shared" si="84"/>
        <v>#REF!</v>
      </c>
      <c r="X44" s="131" t="e">
        <f t="shared" si="85"/>
        <v>#REF!</v>
      </c>
      <c r="Y44" s="128" t="str">
        <f t="shared" si="74"/>
        <v/>
      </c>
      <c r="Z44" s="128" t="e">
        <f t="shared" si="75"/>
        <v>#VALUE!</v>
      </c>
    </row>
    <row r="45" spans="1:27" ht="12.5" x14ac:dyDescent="0.25">
      <c r="A45" s="1" t="s">
        <v>98</v>
      </c>
      <c r="B45" s="128" t="e">
        <f>VLOOKUP(B$2,#REF!,37,)</f>
        <v>#REF!</v>
      </c>
      <c r="C45" s="128" t="e">
        <f>VLOOKUP(C$2,#REF!,37,)</f>
        <v>#REF!</v>
      </c>
      <c r="D45" s="128" t="e">
        <f>VLOOKUP(D$2,#REF!,37,)</f>
        <v>#REF!</v>
      </c>
      <c r="E45" s="128" t="e">
        <f>VLOOKUP(E$2,#REF!,37,)</f>
        <v>#REF!</v>
      </c>
      <c r="F45" s="128" t="e">
        <f>VLOOKUP(F$2,#REF!,37,)</f>
        <v>#REF!</v>
      </c>
      <c r="G45" s="128" t="e">
        <f>VLOOKUP(G$2,#REF!,37,)</f>
        <v>#REF!</v>
      </c>
      <c r="H45" s="128" t="e">
        <f>VLOOKUP(H$2,#REF!,37,)</f>
        <v>#REF!</v>
      </c>
      <c r="I45" s="128" t="e">
        <f>VLOOKUP(I$2,#REF!,37,)</f>
        <v>#REF!</v>
      </c>
      <c r="J45" s="128" t="e">
        <f>VLOOKUP(J$2,#REF!,37,)</f>
        <v>#REF!</v>
      </c>
      <c r="K45" s="128" t="e">
        <f>VLOOKUP(K$2,#REF!,37,)</f>
        <v>#REF!</v>
      </c>
      <c r="L45" s="128" t="e">
        <f>VLOOKUP(L$2,#REF!,37,)</f>
        <v>#REF!</v>
      </c>
      <c r="M45" s="128" t="e">
        <f>VLOOKUP(M$2,#REF!,37,)</f>
        <v>#REF!</v>
      </c>
      <c r="N45" s="146">
        <f>N14</f>
        <v>70</v>
      </c>
      <c r="O45" s="1">
        <v>13</v>
      </c>
      <c r="P45" s="128" t="e">
        <f t="shared" si="82"/>
        <v>#REF!</v>
      </c>
      <c r="Q45" s="131" t="e">
        <f>VLOOKUP(Q$1,#REF!,33,)</f>
        <v>#REF!</v>
      </c>
      <c r="R45" s="131" t="e">
        <f>VLOOKUP(Q$1,#REF!,35,)</f>
        <v>#REF!</v>
      </c>
      <c r="S45" s="124" t="e">
        <f t="shared" si="72"/>
        <v>#REF!</v>
      </c>
      <c r="T45" s="129" t="s">
        <v>191</v>
      </c>
      <c r="U45" s="131" t="e">
        <f t="shared" si="77"/>
        <v>#REF!</v>
      </c>
      <c r="V45" s="126" t="e">
        <f t="shared" si="83"/>
        <v>#REF!</v>
      </c>
      <c r="W45" s="131" t="e">
        <f t="shared" si="84"/>
        <v>#REF!</v>
      </c>
      <c r="X45" s="131" t="e">
        <f t="shared" si="85"/>
        <v>#REF!</v>
      </c>
      <c r="Y45" s="128" t="str">
        <f t="shared" si="74"/>
        <v/>
      </c>
      <c r="Z45" s="128" t="e">
        <f t="shared" si="75"/>
        <v>#VALUE!</v>
      </c>
    </row>
    <row r="46" spans="1:27" ht="13" x14ac:dyDescent="0.3">
      <c r="A46" s="121" t="s">
        <v>194</v>
      </c>
      <c r="B46" s="162" t="e">
        <f>VLOOKUP(B$2,#REF!,7,)</f>
        <v>#REF!</v>
      </c>
      <c r="C46" s="162" t="e">
        <f>VLOOKUP(C$2,#REF!,7,)</f>
        <v>#REF!</v>
      </c>
      <c r="D46" s="162" t="e">
        <f>VLOOKUP(D$2,#REF!,7,)</f>
        <v>#REF!</v>
      </c>
      <c r="E46" s="162" t="e">
        <f>VLOOKUP(E$2,#REF!,7,)</f>
        <v>#REF!</v>
      </c>
      <c r="F46" s="162" t="e">
        <f>VLOOKUP(F$2,#REF!,7,)</f>
        <v>#REF!</v>
      </c>
      <c r="G46" s="162" t="e">
        <f>VLOOKUP(G$2,#REF!,7,)</f>
        <v>#REF!</v>
      </c>
      <c r="H46" s="162" t="e">
        <f>VLOOKUP(H$2,#REF!,7,)</f>
        <v>#REF!</v>
      </c>
      <c r="I46" s="162" t="e">
        <f>VLOOKUP(I$2,#REF!,7,)</f>
        <v>#REF!</v>
      </c>
      <c r="J46" s="162" t="e">
        <f>VLOOKUP(J$2,#REF!,7,)</f>
        <v>#REF!</v>
      </c>
      <c r="K46" s="162" t="e">
        <f>VLOOKUP(K$2,#REF!,7,)</f>
        <v>#REF!</v>
      </c>
      <c r="L46" s="162" t="e">
        <f>VLOOKUP(L$2,#REF!,7,)</f>
        <v>#REF!</v>
      </c>
      <c r="M46" s="162" t="e">
        <f>VLOOKUP(M$2,#REF!,7,)</f>
        <v>#REF!</v>
      </c>
      <c r="N46" s="123">
        <f>RKAP!$G$51</f>
        <v>58</v>
      </c>
      <c r="O46" s="1">
        <v>14</v>
      </c>
      <c r="P46" s="128" t="e">
        <f t="shared" si="82"/>
        <v>#REF!</v>
      </c>
      <c r="Q46" s="131" t="e">
        <f>VLOOKUP(Q$1,#REF!,3,)</f>
        <v>#REF!</v>
      </c>
      <c r="R46" s="131" t="e">
        <f>VLOOKUP(Q$1,#REF!,5,)</f>
        <v>#REF!</v>
      </c>
      <c r="S46" s="124" t="e">
        <f t="shared" si="72"/>
        <v>#REF!</v>
      </c>
      <c r="T46" s="129" t="s">
        <v>191</v>
      </c>
      <c r="U46" s="131" t="e">
        <f t="shared" si="77"/>
        <v>#REF!</v>
      </c>
      <c r="V46" s="126" t="e">
        <f t="shared" si="83"/>
        <v>#REF!</v>
      </c>
      <c r="W46" s="127" t="e">
        <f t="shared" si="84"/>
        <v>#REF!</v>
      </c>
      <c r="X46" s="127" t="e">
        <f t="shared" si="85"/>
        <v>#REF!</v>
      </c>
      <c r="Y46" s="128" t="str">
        <f t="shared" si="74"/>
        <v/>
      </c>
      <c r="Z46" s="128" t="e">
        <f t="shared" si="75"/>
        <v>#VALUE!</v>
      </c>
    </row>
    <row r="47" spans="1:27" ht="13" x14ac:dyDescent="0.3">
      <c r="A47" s="121" t="s">
        <v>148</v>
      </c>
      <c r="B47" s="162" t="e">
        <f>VLOOKUP(B$2,#REF!,31,)</f>
        <v>#REF!</v>
      </c>
      <c r="C47" s="162" t="e">
        <f>VLOOKUP(C$2,#REF!,31,)</f>
        <v>#REF!</v>
      </c>
      <c r="D47" s="162" t="e">
        <f>VLOOKUP(D$2,#REF!,31,)</f>
        <v>#REF!</v>
      </c>
      <c r="E47" s="162" t="e">
        <f>VLOOKUP(E$2,#REF!,31,)</f>
        <v>#REF!</v>
      </c>
      <c r="F47" s="162" t="e">
        <f>VLOOKUP(F$2,#REF!,31,)</f>
        <v>#REF!</v>
      </c>
      <c r="G47" s="162" t="e">
        <f>VLOOKUP(G$2,#REF!,31,)</f>
        <v>#REF!</v>
      </c>
      <c r="H47" s="162" t="e">
        <f>VLOOKUP(H$2,#REF!,31,)</f>
        <v>#REF!</v>
      </c>
      <c r="I47" s="162" t="e">
        <f>VLOOKUP(I$2,#REF!,31,)</f>
        <v>#REF!</v>
      </c>
      <c r="J47" s="162" t="e">
        <f>VLOOKUP(J$2,#REF!,31,)</f>
        <v>#REF!</v>
      </c>
      <c r="K47" s="162" t="e">
        <f>VLOOKUP(K$2,#REF!,31,)</f>
        <v>#REF!</v>
      </c>
      <c r="L47" s="162" t="e">
        <f>VLOOKUP(L$2,#REF!,31,)</f>
        <v>#REF!</v>
      </c>
      <c r="M47" s="162" t="e">
        <f>VLOOKUP(M$2,#REF!,31,)</f>
        <v>#REF!</v>
      </c>
      <c r="N47" s="123">
        <f>RKAP!$AE$68</f>
        <v>89.81</v>
      </c>
      <c r="O47" s="1">
        <v>15</v>
      </c>
      <c r="P47" s="128"/>
      <c r="S47" s="124" t="str">
        <f t="shared" si="72"/>
        <v/>
      </c>
      <c r="T47" s="125"/>
      <c r="U47" s="41" t="str">
        <f t="shared" si="77"/>
        <v/>
      </c>
      <c r="V47" s="126" t="str">
        <f>IF(U47="","",U47*(1-$T$31))</f>
        <v/>
      </c>
      <c r="W47" s="127" t="e">
        <f t="shared" ref="W47:X47" si="86">SUM(W48:W51)</f>
        <v>#REF!</v>
      </c>
      <c r="X47" s="127" t="e">
        <f t="shared" si="86"/>
        <v>#REF!</v>
      </c>
      <c r="Y47" s="128" t="str">
        <f t="shared" si="74"/>
        <v/>
      </c>
      <c r="Z47" s="128" t="e">
        <f t="shared" si="75"/>
        <v>#VALUE!</v>
      </c>
    </row>
    <row r="48" spans="1:27" ht="12.5" x14ac:dyDescent="0.25">
      <c r="A48" s="1" t="s">
        <v>189</v>
      </c>
      <c r="B48" s="128" t="e">
        <f>VLOOKUP(B$2,#REF!,7,)</f>
        <v>#REF!</v>
      </c>
      <c r="C48" s="128" t="e">
        <f>VLOOKUP(C$2,#REF!,7,)</f>
        <v>#REF!</v>
      </c>
      <c r="D48" s="128" t="e">
        <f>VLOOKUP(D$2,#REF!,7,)</f>
        <v>#REF!</v>
      </c>
      <c r="E48" s="128" t="e">
        <f>VLOOKUP(E$2,#REF!,7,)</f>
        <v>#REF!</v>
      </c>
      <c r="F48" s="128" t="e">
        <f>VLOOKUP(F$2,#REF!,7,)</f>
        <v>#REF!</v>
      </c>
      <c r="G48" s="128" t="e">
        <f>VLOOKUP(G$2,#REF!,7,)</f>
        <v>#REF!</v>
      </c>
      <c r="H48" s="128" t="e">
        <f>VLOOKUP(H$2,#REF!,7,)</f>
        <v>#REF!</v>
      </c>
      <c r="I48" s="128" t="e">
        <f>VLOOKUP(I$2,#REF!,7,)</f>
        <v>#REF!</v>
      </c>
      <c r="J48" s="128" t="e">
        <f>VLOOKUP(J$2,#REF!,7,)</f>
        <v>#REF!</v>
      </c>
      <c r="K48" s="128" t="e">
        <f>VLOOKUP(K$2,#REF!,7,)</f>
        <v>#REF!</v>
      </c>
      <c r="L48" s="128" t="e">
        <f>VLOOKUP(L$2,#REF!,7,)</f>
        <v>#REF!</v>
      </c>
      <c r="M48" s="128" t="e">
        <f>VLOOKUP(M$2,#REF!,7,)</f>
        <v>#REF!</v>
      </c>
      <c r="N48" s="128">
        <f>RKAP!$G$68</f>
        <v>80.36</v>
      </c>
      <c r="O48" s="1">
        <v>16</v>
      </c>
      <c r="P48" s="128" t="e">
        <f t="shared" ref="P48:P51" si="87">IF(HLOOKUP(Q$1,$B$33:$M$61,O48,)-N48&lt;=0,"",HLOOKUP(Q$1,$B$33:$M$61,O48,)-N48)</f>
        <v>#REF!</v>
      </c>
      <c r="Q48" s="131" t="e">
        <f>VLOOKUP(Q$1,#REF!,3,)</f>
        <v>#REF!</v>
      </c>
      <c r="R48" s="131" t="e">
        <f>VLOOKUP(Q$1,#REF!,5,)</f>
        <v>#REF!</v>
      </c>
      <c r="S48" s="124" t="e">
        <f t="shared" si="72"/>
        <v>#REF!</v>
      </c>
      <c r="T48" s="129" t="s">
        <v>191</v>
      </c>
      <c r="U48" s="131" t="e">
        <f t="shared" si="77"/>
        <v>#REF!</v>
      </c>
      <c r="V48" s="126" t="e">
        <f t="shared" ref="V48:V51" si="88">IF(U48="","",U48*(1-$T$62))</f>
        <v>#REF!</v>
      </c>
      <c r="W48" s="131" t="e">
        <f t="shared" ref="W48:W51" si="89">IF(T48="Yes",V48,Q48)</f>
        <v>#REF!</v>
      </c>
      <c r="X48" s="131" t="e">
        <f t="shared" ref="X48:X51" si="90">R48</f>
        <v>#REF!</v>
      </c>
      <c r="Y48" s="128" t="str">
        <f t="shared" si="74"/>
        <v/>
      </c>
      <c r="Z48" s="128" t="e">
        <f t="shared" si="75"/>
        <v>#VALUE!</v>
      </c>
      <c r="AA48" s="163" t="e">
        <f>R48/$R$61*100</f>
        <v>#REF!</v>
      </c>
    </row>
    <row r="49" spans="1:40" ht="12.5" x14ac:dyDescent="0.25">
      <c r="A49" s="1" t="s">
        <v>192</v>
      </c>
      <c r="B49" s="128" t="str">
        <f>IFERROR(VLOOKUP(B$2,#REF!,13,),"")</f>
        <v/>
      </c>
      <c r="C49" s="128" t="str">
        <f>IFERROR(VLOOKUP(C$2,#REF!,13,),"")</f>
        <v/>
      </c>
      <c r="D49" s="128" t="str">
        <f>IFERROR(VLOOKUP(D$2,#REF!,13,),"")</f>
        <v/>
      </c>
      <c r="E49" s="128" t="str">
        <f>IFERROR(VLOOKUP(E$2,#REF!,13,),"")</f>
        <v/>
      </c>
      <c r="F49" s="128" t="str">
        <f>IFERROR(VLOOKUP(F$2,#REF!,13,),"")</f>
        <v/>
      </c>
      <c r="G49" s="128" t="str">
        <f>IFERROR(VLOOKUP(G$2,#REF!,13,),"")</f>
        <v/>
      </c>
      <c r="H49" s="128" t="str">
        <f>IFERROR(VLOOKUP(H$2,#REF!,13,),"")</f>
        <v/>
      </c>
      <c r="I49" s="128" t="str">
        <f>IFERROR(VLOOKUP(I$2,#REF!,13,),"")</f>
        <v/>
      </c>
      <c r="J49" s="128" t="str">
        <f>IFERROR(VLOOKUP(J$2,#REF!,13,),"")</f>
        <v/>
      </c>
      <c r="K49" s="128" t="str">
        <f>IFERROR(VLOOKUP(K$2,#REF!,13,),"")</f>
        <v/>
      </c>
      <c r="L49" s="128" t="str">
        <f>IFERROR(VLOOKUP(L$2,#REF!,13,),"")</f>
        <v/>
      </c>
      <c r="M49" s="128" t="str">
        <f>IFERROR(VLOOKUP(M$2,#REF!,13,),"")</f>
        <v/>
      </c>
      <c r="N49" s="146">
        <f>N18</f>
        <v>90.32</v>
      </c>
      <c r="O49" s="1">
        <v>17</v>
      </c>
      <c r="P49" s="128" t="e">
        <f t="shared" si="87"/>
        <v>#VALUE!</v>
      </c>
      <c r="Q49" s="131" t="str">
        <f>IFERROR(VLOOKUP(Q$1,#REF!,9,),"")</f>
        <v/>
      </c>
      <c r="R49" s="131" t="str">
        <f>IFERROR(VLOOKUP(Q$1,#REF!,11,),"")</f>
        <v/>
      </c>
      <c r="S49" s="124" t="e">
        <f t="shared" si="72"/>
        <v>#VALUE!</v>
      </c>
      <c r="T49" s="129" t="s">
        <v>191</v>
      </c>
      <c r="U49" s="131" t="str">
        <f t="shared" si="77"/>
        <v/>
      </c>
      <c r="V49" s="126" t="str">
        <f t="shared" si="88"/>
        <v/>
      </c>
      <c r="W49" s="131" t="str">
        <f t="shared" si="89"/>
        <v/>
      </c>
      <c r="X49" s="131" t="str">
        <f t="shared" si="90"/>
        <v/>
      </c>
      <c r="Y49" s="128" t="str">
        <f t="shared" si="74"/>
        <v/>
      </c>
      <c r="Z49" s="128" t="e">
        <f t="shared" si="75"/>
        <v>#VALUE!</v>
      </c>
    </row>
    <row r="50" spans="1:40" ht="12.5" x14ac:dyDescent="0.25">
      <c r="A50" s="1" t="s">
        <v>95</v>
      </c>
      <c r="B50" s="128" t="e">
        <f>VLOOKUP(B$2,#REF!,19,)</f>
        <v>#REF!</v>
      </c>
      <c r="C50" s="128" t="e">
        <f>VLOOKUP(C$2,#REF!,19,)</f>
        <v>#REF!</v>
      </c>
      <c r="D50" s="128" t="e">
        <f>VLOOKUP(D$2,#REF!,19,)</f>
        <v>#REF!</v>
      </c>
      <c r="E50" s="128" t="e">
        <f>VLOOKUP(E$2,#REF!,19,)</f>
        <v>#REF!</v>
      </c>
      <c r="F50" s="128" t="e">
        <f>VLOOKUP(F$2,#REF!,19,)</f>
        <v>#REF!</v>
      </c>
      <c r="G50" s="128" t="e">
        <f>VLOOKUP(G$2,#REF!,19,)</f>
        <v>#REF!</v>
      </c>
      <c r="H50" s="128" t="e">
        <f>VLOOKUP(H$2,#REF!,19,)</f>
        <v>#REF!</v>
      </c>
      <c r="I50" s="128" t="e">
        <f>VLOOKUP(I$2,#REF!,19,)</f>
        <v>#REF!</v>
      </c>
      <c r="J50" s="128" t="e">
        <f>VLOOKUP(J$2,#REF!,19,)</f>
        <v>#REF!</v>
      </c>
      <c r="K50" s="128" t="e">
        <f>VLOOKUP(K$2,#REF!,19,)</f>
        <v>#REF!</v>
      </c>
      <c r="L50" s="128" t="e">
        <f>VLOOKUP(L$2,#REF!,19,)</f>
        <v>#REF!</v>
      </c>
      <c r="M50" s="128" t="e">
        <f>VLOOKUP(M$2,#REF!,19,)</f>
        <v>#REF!</v>
      </c>
      <c r="N50" s="128">
        <f>RKAP!$S$68</f>
        <v>86.96</v>
      </c>
      <c r="O50" s="1">
        <v>18</v>
      </c>
      <c r="P50" s="128" t="e">
        <f t="shared" si="87"/>
        <v>#REF!</v>
      </c>
      <c r="Q50" s="131" t="e">
        <f>VLOOKUP(Q$1,#REF!,15,)</f>
        <v>#REF!</v>
      </c>
      <c r="R50" s="131" t="e">
        <f>VLOOKUP(Q$1,#REF!,17,)</f>
        <v>#REF!</v>
      </c>
      <c r="S50" s="124" t="e">
        <f t="shared" si="72"/>
        <v>#REF!</v>
      </c>
      <c r="T50" s="129" t="s">
        <v>202</v>
      </c>
      <c r="U50" s="41" t="str">
        <f t="shared" si="77"/>
        <v/>
      </c>
      <c r="V50" s="126" t="str">
        <f t="shared" si="88"/>
        <v/>
      </c>
      <c r="W50" s="131" t="e">
        <f t="shared" si="89"/>
        <v>#REF!</v>
      </c>
      <c r="X50" s="131" t="e">
        <f t="shared" si="90"/>
        <v>#REF!</v>
      </c>
      <c r="Y50" s="128" t="str">
        <f t="shared" si="74"/>
        <v/>
      </c>
      <c r="Z50" s="128" t="e">
        <f t="shared" si="75"/>
        <v>#VALUE!</v>
      </c>
    </row>
    <row r="51" spans="1:40" ht="12.5" x14ac:dyDescent="0.25">
      <c r="A51" s="1" t="s">
        <v>117</v>
      </c>
      <c r="B51" s="128" t="e">
        <f>VLOOKUP(B$2,#REF!,25,)</f>
        <v>#REF!</v>
      </c>
      <c r="C51" s="128" t="e">
        <f>VLOOKUP(C$2,#REF!,25,)</f>
        <v>#REF!</v>
      </c>
      <c r="D51" s="128" t="e">
        <f>VLOOKUP(D$2,#REF!,25,)</f>
        <v>#REF!</v>
      </c>
      <c r="E51" s="128" t="e">
        <f>VLOOKUP(E$2,#REF!,25,)</f>
        <v>#REF!</v>
      </c>
      <c r="F51" s="128" t="e">
        <f>VLOOKUP(F$2,#REF!,25,)</f>
        <v>#REF!</v>
      </c>
      <c r="G51" s="128" t="e">
        <f>VLOOKUP(G$2,#REF!,25,)</f>
        <v>#REF!</v>
      </c>
      <c r="H51" s="128" t="e">
        <f>VLOOKUP(H$2,#REF!,25,)</f>
        <v>#REF!</v>
      </c>
      <c r="I51" s="128" t="e">
        <f>VLOOKUP(I$2,#REF!,25,)</f>
        <v>#REF!</v>
      </c>
      <c r="J51" s="128" t="e">
        <f>VLOOKUP(J$2,#REF!,25,)</f>
        <v>#REF!</v>
      </c>
      <c r="K51" s="128" t="e">
        <f>VLOOKUP(K$2,#REF!,25,)</f>
        <v>#REF!</v>
      </c>
      <c r="L51" s="128" t="e">
        <f>VLOOKUP(L$2,#REF!,25,)</f>
        <v>#REF!</v>
      </c>
      <c r="M51" s="128" t="e">
        <f>VLOOKUP(M$2,#REF!,25,)</f>
        <v>#REF!</v>
      </c>
      <c r="N51" s="128">
        <f>RKAP!$Y$68</f>
        <v>95.5</v>
      </c>
      <c r="O51" s="1">
        <v>19</v>
      </c>
      <c r="P51" s="128" t="e">
        <f t="shared" si="87"/>
        <v>#REF!</v>
      </c>
      <c r="Q51" s="131" t="e">
        <f>VLOOKUP(Q$1,#REF!,21,)</f>
        <v>#REF!</v>
      </c>
      <c r="R51" s="131" t="e">
        <f>VLOOKUP(Q$1,#REF!,23,)</f>
        <v>#REF!</v>
      </c>
      <c r="S51" s="124" t="e">
        <f t="shared" si="72"/>
        <v>#REF!</v>
      </c>
      <c r="T51" s="129" t="s">
        <v>191</v>
      </c>
      <c r="U51" s="131" t="e">
        <f t="shared" si="77"/>
        <v>#REF!</v>
      </c>
      <c r="V51" s="126" t="e">
        <f t="shared" si="88"/>
        <v>#REF!</v>
      </c>
      <c r="W51" s="131" t="e">
        <f t="shared" si="89"/>
        <v>#REF!</v>
      </c>
      <c r="X51" s="131" t="e">
        <f t="shared" si="90"/>
        <v>#REF!</v>
      </c>
      <c r="Y51" s="128" t="str">
        <f t="shared" si="74"/>
        <v/>
      </c>
      <c r="Z51" s="128" t="e">
        <f t="shared" si="75"/>
        <v>#VALUE!</v>
      </c>
    </row>
    <row r="52" spans="1:40" ht="13" x14ac:dyDescent="0.3">
      <c r="A52" s="121" t="s">
        <v>149</v>
      </c>
      <c r="B52" s="162" t="e">
        <f>VLOOKUP(B$2,#REF!,43,)</f>
        <v>#REF!</v>
      </c>
      <c r="C52" s="162" t="e">
        <f>VLOOKUP(C$2,#REF!,43,)</f>
        <v>#REF!</v>
      </c>
      <c r="D52" s="162" t="e">
        <f>VLOOKUP(D$2,#REF!,43,)</f>
        <v>#REF!</v>
      </c>
      <c r="E52" s="162" t="e">
        <f>VLOOKUP(E$2,#REF!,43,)</f>
        <v>#REF!</v>
      </c>
      <c r="F52" s="162" t="e">
        <f>VLOOKUP(F$2,#REF!,43,)</f>
        <v>#REF!</v>
      </c>
      <c r="G52" s="162" t="e">
        <f>VLOOKUP(G$2,#REF!,43,)</f>
        <v>#REF!</v>
      </c>
      <c r="H52" s="162" t="e">
        <f>VLOOKUP(H$2,#REF!,43,)</f>
        <v>#REF!</v>
      </c>
      <c r="I52" s="162" t="e">
        <f>VLOOKUP(I$2,#REF!,43,)</f>
        <v>#REF!</v>
      </c>
      <c r="J52" s="162" t="e">
        <f>VLOOKUP(J$2,#REF!,43,)</f>
        <v>#REF!</v>
      </c>
      <c r="K52" s="162" t="e">
        <f>VLOOKUP(K$2,#REF!,43,)</f>
        <v>#REF!</v>
      </c>
      <c r="L52" s="162" t="e">
        <f>VLOOKUP(L$2,#REF!,43,)</f>
        <v>#REF!</v>
      </c>
      <c r="M52" s="162" t="e">
        <f>VLOOKUP(M$2,#REF!,43,)</f>
        <v>#REF!</v>
      </c>
      <c r="N52" s="123">
        <f>RKAP!$AQ$85</f>
        <v>70.41</v>
      </c>
      <c r="O52" s="1">
        <v>20</v>
      </c>
      <c r="P52" s="128"/>
      <c r="S52" s="124" t="str">
        <f t="shared" si="72"/>
        <v/>
      </c>
      <c r="T52" s="125"/>
      <c r="U52" s="41" t="str">
        <f t="shared" si="77"/>
        <v/>
      </c>
      <c r="V52" s="126" t="str">
        <f>IF(U52="","",U52*(1-$T$31))</f>
        <v/>
      </c>
      <c r="W52" s="127" t="e">
        <f t="shared" ref="W52:X52" si="91">SUM(W53:W57)</f>
        <v>#REF!</v>
      </c>
      <c r="X52" s="127" t="e">
        <f t="shared" si="91"/>
        <v>#REF!</v>
      </c>
      <c r="Y52" s="128" t="str">
        <f t="shared" si="74"/>
        <v/>
      </c>
      <c r="Z52" s="128" t="e">
        <f t="shared" si="75"/>
        <v>#VALUE!</v>
      </c>
    </row>
    <row r="53" spans="1:40" ht="12.5" x14ac:dyDescent="0.25">
      <c r="A53" s="1" t="s">
        <v>195</v>
      </c>
      <c r="B53" s="128" t="e">
        <f>VLOOKUP(B$2,#REF!,7,)</f>
        <v>#REF!</v>
      </c>
      <c r="C53" s="128" t="e">
        <f>VLOOKUP(C$2,#REF!,7,)</f>
        <v>#REF!</v>
      </c>
      <c r="D53" s="128" t="e">
        <f>VLOOKUP(D$2,#REF!,7,)</f>
        <v>#REF!</v>
      </c>
      <c r="E53" s="128" t="e">
        <f>VLOOKUP(E$2,#REF!,7,)</f>
        <v>#REF!</v>
      </c>
      <c r="F53" s="128" t="e">
        <f>VLOOKUP(F$2,#REF!,7,)</f>
        <v>#REF!</v>
      </c>
      <c r="G53" s="128" t="e">
        <f>VLOOKUP(G$2,#REF!,7,)</f>
        <v>#REF!</v>
      </c>
      <c r="H53" s="128" t="e">
        <f>VLOOKUP(H$2,#REF!,7,)</f>
        <v>#REF!</v>
      </c>
      <c r="I53" s="128" t="e">
        <f>VLOOKUP(I$2,#REF!,7,)</f>
        <v>#REF!</v>
      </c>
      <c r="J53" s="128" t="e">
        <f>VLOOKUP(J$2,#REF!,7,)</f>
        <v>#REF!</v>
      </c>
      <c r="K53" s="128" t="e">
        <f>VLOOKUP(K$2,#REF!,7,)</f>
        <v>#REF!</v>
      </c>
      <c r="L53" s="128" t="e">
        <f>VLOOKUP(L$2,#REF!,7,)</f>
        <v>#REF!</v>
      </c>
      <c r="M53" s="128" t="e">
        <f>VLOOKUP(M$2,#REF!,7,)</f>
        <v>#REF!</v>
      </c>
      <c r="N53" s="128">
        <f>RKAP!$G$85</f>
        <v>60.91</v>
      </c>
      <c r="O53" s="1">
        <v>21</v>
      </c>
      <c r="P53" s="128" t="e">
        <f t="shared" ref="P53:P57" si="92">IF(HLOOKUP(Q$1,$B$33:$M$61,O53,)-N53&lt;=0,"",HLOOKUP(Q$1,$B$33:$M$61,O53,)-N53)</f>
        <v>#REF!</v>
      </c>
      <c r="Q53" s="131" t="e">
        <f>VLOOKUP(Q$1,#REF!,3,)</f>
        <v>#REF!</v>
      </c>
      <c r="R53" s="131" t="e">
        <f>VLOOKUP(Q$1,#REF!,5,)</f>
        <v>#REF!</v>
      </c>
      <c r="S53" s="124" t="e">
        <f t="shared" si="72"/>
        <v>#REF!</v>
      </c>
      <c r="T53" s="129" t="s">
        <v>202</v>
      </c>
      <c r="U53" s="41" t="str">
        <f t="shared" si="77"/>
        <v/>
      </c>
      <c r="V53" s="126" t="str">
        <f t="shared" ref="V53:V57" si="93">IF(U53="","",U53*(1-$T$62))</f>
        <v/>
      </c>
      <c r="W53" s="131" t="e">
        <f t="shared" ref="W53:W57" si="94">IF(T53="Yes",V53,Q53)</f>
        <v>#REF!</v>
      </c>
      <c r="X53" s="131" t="e">
        <f t="shared" ref="X53:X57" si="95">R53</f>
        <v>#REF!</v>
      </c>
      <c r="Y53" s="128" t="str">
        <f t="shared" si="74"/>
        <v/>
      </c>
      <c r="Z53" s="128" t="e">
        <f t="shared" si="75"/>
        <v>#VALUE!</v>
      </c>
    </row>
    <row r="54" spans="1:40" ht="12.5" x14ac:dyDescent="0.25">
      <c r="A54" s="1" t="s">
        <v>97</v>
      </c>
      <c r="B54" s="128" t="str">
        <f>IFERROR(VLOOKUP(B$2,#REF!,25,),"")</f>
        <v/>
      </c>
      <c r="C54" s="128" t="str">
        <f>IFERROR(VLOOKUP(C$2,#REF!,25,),"")</f>
        <v/>
      </c>
      <c r="D54" s="128" t="str">
        <f>IFERROR(VLOOKUP(D$2,#REF!,25,),"")</f>
        <v/>
      </c>
      <c r="E54" s="128" t="str">
        <f>IFERROR(VLOOKUP(E$2,#REF!,25,),"")</f>
        <v/>
      </c>
      <c r="F54" s="128" t="str">
        <f>IFERROR(VLOOKUP(F$2,#REF!,25,),"")</f>
        <v/>
      </c>
      <c r="G54" s="128" t="str">
        <f>IFERROR(VLOOKUP(G$2,#REF!,25,),"")</f>
        <v/>
      </c>
      <c r="H54" s="128" t="str">
        <f>IFERROR(VLOOKUP(H$2,#REF!,25,),"")</f>
        <v/>
      </c>
      <c r="I54" s="128" t="str">
        <f>IFERROR(VLOOKUP(I$2,#REF!,25,),"")</f>
        <v/>
      </c>
      <c r="J54" s="128" t="str">
        <f>IFERROR(VLOOKUP(J$2,#REF!,25,),"")</f>
        <v/>
      </c>
      <c r="K54" s="128" t="str">
        <f>IFERROR(VLOOKUP(K$2,#REF!,25,),"")</f>
        <v/>
      </c>
      <c r="L54" s="128" t="str">
        <f>IFERROR(VLOOKUP(L$2,#REF!,25,),"")</f>
        <v/>
      </c>
      <c r="M54" s="128" t="str">
        <f>IFERROR(VLOOKUP(M$2,#REF!,25,),"")</f>
        <v/>
      </c>
      <c r="N54" s="146">
        <f>N23</f>
        <v>95.5</v>
      </c>
      <c r="O54" s="1">
        <v>22</v>
      </c>
      <c r="P54" s="128" t="e">
        <f t="shared" si="92"/>
        <v>#VALUE!</v>
      </c>
      <c r="Q54" s="131" t="str">
        <f>IFERROR(VLOOKUP(Q$1,#REF!,21,),"")</f>
        <v/>
      </c>
      <c r="R54" s="131" t="str">
        <f>IFERROR(VLOOKUP(Q$1,#REF!,23,),"")</f>
        <v/>
      </c>
      <c r="S54" s="124" t="e">
        <f t="shared" si="72"/>
        <v>#VALUE!</v>
      </c>
      <c r="T54" s="129" t="s">
        <v>202</v>
      </c>
      <c r="U54" s="41" t="str">
        <f t="shared" si="77"/>
        <v/>
      </c>
      <c r="V54" s="126" t="str">
        <f t="shared" si="93"/>
        <v/>
      </c>
      <c r="W54" s="131" t="str">
        <f t="shared" si="94"/>
        <v/>
      </c>
      <c r="X54" s="131" t="str">
        <f t="shared" si="95"/>
        <v/>
      </c>
      <c r="Y54" s="128" t="str">
        <f t="shared" si="74"/>
        <v/>
      </c>
      <c r="Z54" s="128" t="e">
        <f t="shared" si="75"/>
        <v>#VALUE!</v>
      </c>
    </row>
    <row r="55" spans="1:40" ht="12.5" x14ac:dyDescent="0.25">
      <c r="A55" s="1" t="s">
        <v>95</v>
      </c>
      <c r="B55" s="128" t="e">
        <f>VLOOKUP(B$2,#REF!,31,)</f>
        <v>#REF!</v>
      </c>
      <c r="C55" s="128" t="e">
        <f>VLOOKUP(C$2,#REF!,31,)</f>
        <v>#REF!</v>
      </c>
      <c r="D55" s="128" t="e">
        <f>VLOOKUP(D$2,#REF!,31,)</f>
        <v>#REF!</v>
      </c>
      <c r="E55" s="128" t="e">
        <f>VLOOKUP(E$2,#REF!,31,)</f>
        <v>#REF!</v>
      </c>
      <c r="F55" s="128" t="e">
        <f>VLOOKUP(F$2,#REF!,31,)</f>
        <v>#REF!</v>
      </c>
      <c r="G55" s="128" t="e">
        <f>VLOOKUP(G$2,#REF!,31,)</f>
        <v>#REF!</v>
      </c>
      <c r="H55" s="128" t="e">
        <f>VLOOKUP(H$2,#REF!,31,)</f>
        <v>#REF!</v>
      </c>
      <c r="I55" s="128" t="e">
        <f>VLOOKUP(I$2,#REF!,31,)</f>
        <v>#REF!</v>
      </c>
      <c r="J55" s="128" t="e">
        <f>VLOOKUP(J$2,#REF!,31,)</f>
        <v>#REF!</v>
      </c>
      <c r="K55" s="128" t="e">
        <f>VLOOKUP(K$2,#REF!,31,)</f>
        <v>#REF!</v>
      </c>
      <c r="L55" s="128" t="e">
        <f>VLOOKUP(L$2,#REF!,31,)</f>
        <v>#REF!</v>
      </c>
      <c r="M55" s="128" t="e">
        <f>VLOOKUP(M$2,#REF!,31,)</f>
        <v>#REF!</v>
      </c>
      <c r="N55" s="128">
        <f>RKAP!$AE$85</f>
        <v>86.96</v>
      </c>
      <c r="O55" s="1">
        <v>23</v>
      </c>
      <c r="P55" s="128" t="e">
        <f t="shared" si="92"/>
        <v>#REF!</v>
      </c>
      <c r="Q55" s="131" t="e">
        <f>VLOOKUP(Q$1,#REF!,27,)</f>
        <v>#REF!</v>
      </c>
      <c r="R55" s="131" t="e">
        <f>VLOOKUP(Q$1,#REF!,29,)</f>
        <v>#REF!</v>
      </c>
      <c r="S55" s="124" t="e">
        <f t="shared" si="72"/>
        <v>#REF!</v>
      </c>
      <c r="T55" s="129" t="s">
        <v>191</v>
      </c>
      <c r="U55" s="131" t="e">
        <f t="shared" si="77"/>
        <v>#REF!</v>
      </c>
      <c r="V55" s="126" t="e">
        <f t="shared" si="93"/>
        <v>#REF!</v>
      </c>
      <c r="W55" s="131" t="e">
        <f t="shared" si="94"/>
        <v>#REF!</v>
      </c>
      <c r="X55" s="131" t="e">
        <f t="shared" si="95"/>
        <v>#REF!</v>
      </c>
      <c r="Y55" s="128" t="str">
        <f t="shared" si="74"/>
        <v/>
      </c>
      <c r="Z55" s="128" t="e">
        <f t="shared" si="75"/>
        <v>#VALUE!</v>
      </c>
    </row>
    <row r="56" spans="1:40" ht="12.5" x14ac:dyDescent="0.25">
      <c r="A56" s="164" t="s">
        <v>116</v>
      </c>
      <c r="B56" s="128" t="e">
        <f>VLOOKUP(B$2,#REF!,37,)</f>
        <v>#REF!</v>
      </c>
      <c r="C56" s="128" t="e">
        <f>VLOOKUP(C$2,#REF!,37,)</f>
        <v>#REF!</v>
      </c>
      <c r="D56" s="128" t="e">
        <f>VLOOKUP(D$2,#REF!,37,)</f>
        <v>#REF!</v>
      </c>
      <c r="E56" s="128" t="e">
        <f>VLOOKUP(E$2,#REF!,37,)</f>
        <v>#REF!</v>
      </c>
      <c r="F56" s="128" t="e">
        <f>VLOOKUP(F$2,#REF!,37,)</f>
        <v>#REF!</v>
      </c>
      <c r="G56" s="128" t="e">
        <f>VLOOKUP(G$2,#REF!,37,)</f>
        <v>#REF!</v>
      </c>
      <c r="H56" s="128" t="e">
        <f>VLOOKUP(H$2,#REF!,37,)</f>
        <v>#REF!</v>
      </c>
      <c r="I56" s="128" t="e">
        <f>VLOOKUP(I$2,#REF!,37,)</f>
        <v>#REF!</v>
      </c>
      <c r="J56" s="128" t="e">
        <f>VLOOKUP(J$2,#REF!,37,)</f>
        <v>#REF!</v>
      </c>
      <c r="K56" s="128" t="e">
        <f>VLOOKUP(K$2,#REF!,37,)</f>
        <v>#REF!</v>
      </c>
      <c r="L56" s="128" t="e">
        <f>VLOOKUP(L$2,#REF!,37,)</f>
        <v>#REF!</v>
      </c>
      <c r="M56" s="128" t="e">
        <f>VLOOKUP(M$2,#REF!,37,)</f>
        <v>#REF!</v>
      </c>
      <c r="N56" s="128">
        <f>RKAP!$AK$85</f>
        <v>90.32</v>
      </c>
      <c r="O56" s="1">
        <v>24</v>
      </c>
      <c r="P56" s="128" t="e">
        <f t="shared" si="92"/>
        <v>#REF!</v>
      </c>
      <c r="Q56" s="131" t="e">
        <f>VLOOKUP(Q$1,#REF!,33,)</f>
        <v>#REF!</v>
      </c>
      <c r="R56" s="131" t="e">
        <f>VLOOKUP(Q$1,#REF!,33,)</f>
        <v>#REF!</v>
      </c>
      <c r="S56" s="124" t="e">
        <f t="shared" si="72"/>
        <v>#REF!</v>
      </c>
      <c r="T56" s="129" t="s">
        <v>191</v>
      </c>
      <c r="U56" s="131" t="e">
        <f t="shared" si="77"/>
        <v>#REF!</v>
      </c>
      <c r="V56" s="126" t="e">
        <f t="shared" si="93"/>
        <v>#REF!</v>
      </c>
      <c r="W56" s="131" t="e">
        <f t="shared" si="94"/>
        <v>#REF!</v>
      </c>
      <c r="X56" s="131" t="e">
        <f t="shared" si="95"/>
        <v>#REF!</v>
      </c>
      <c r="Y56" s="128" t="str">
        <f t="shared" si="74"/>
        <v/>
      </c>
      <c r="Z56" s="128" t="e">
        <f t="shared" si="75"/>
        <v>#VALUE!</v>
      </c>
    </row>
    <row r="57" spans="1:40" ht="12.5" x14ac:dyDescent="0.25">
      <c r="A57" s="1" t="s">
        <v>189</v>
      </c>
      <c r="B57" s="128" t="str">
        <f>IFERROR(VLOOKUP(B$2,#REF!,13,),"")</f>
        <v/>
      </c>
      <c r="C57" s="128" t="str">
        <f>IFERROR(VLOOKUP(C$2,#REF!,13,),"")</f>
        <v/>
      </c>
      <c r="D57" s="128" t="str">
        <f>IFERROR(VLOOKUP(D$2,#REF!,13,),"")</f>
        <v/>
      </c>
      <c r="E57" s="128" t="str">
        <f>IFERROR(VLOOKUP(E$2,#REF!,13,),"")</f>
        <v/>
      </c>
      <c r="F57" s="128" t="str">
        <f>IFERROR(VLOOKUP(F$2,#REF!,13,),"")</f>
        <v/>
      </c>
      <c r="G57" s="128" t="str">
        <f>IFERROR(VLOOKUP(G$2,#REF!,13,),"")</f>
        <v/>
      </c>
      <c r="H57" s="128" t="str">
        <f>IFERROR(VLOOKUP(H$2,#REF!,13,),"")</f>
        <v/>
      </c>
      <c r="I57" s="128" t="str">
        <f>IFERROR(VLOOKUP(I$2,#REF!,13,),"")</f>
        <v/>
      </c>
      <c r="J57" s="128" t="str">
        <f>IFERROR(VLOOKUP(J$2,#REF!,13,),"")</f>
        <v/>
      </c>
      <c r="K57" s="128" t="str">
        <f>IFERROR(VLOOKUP(K$2,#REF!,13,),"")</f>
        <v/>
      </c>
      <c r="L57" s="128" t="str">
        <f>IFERROR(VLOOKUP(L$2,#REF!,13,),"")</f>
        <v/>
      </c>
      <c r="M57" s="128" t="str">
        <f>IFERROR(VLOOKUP(M$2,#REF!,13,),"")</f>
        <v/>
      </c>
      <c r="N57" s="146">
        <f>N48</f>
        <v>80.36</v>
      </c>
      <c r="O57" s="1">
        <v>25</v>
      </c>
      <c r="P57" s="128" t="e">
        <f t="shared" si="92"/>
        <v>#VALUE!</v>
      </c>
      <c r="Q57" s="131" t="str">
        <f>IFERROR(VLOOKUP(Q$1,#REF!,9,),"")</f>
        <v/>
      </c>
      <c r="R57" s="131" t="str">
        <f>IFERROR(VLOOKUP(Q$1,#REF!,11,),"")</f>
        <v/>
      </c>
      <c r="S57" s="124" t="e">
        <f t="shared" si="72"/>
        <v>#VALUE!</v>
      </c>
      <c r="T57" s="129" t="s">
        <v>191</v>
      </c>
      <c r="U57" s="131" t="str">
        <f t="shared" si="77"/>
        <v/>
      </c>
      <c r="V57" s="126" t="str">
        <f t="shared" si="93"/>
        <v/>
      </c>
      <c r="W57" s="131" t="str">
        <f t="shared" si="94"/>
        <v/>
      </c>
      <c r="X57" s="131" t="str">
        <f t="shared" si="95"/>
        <v/>
      </c>
      <c r="Y57" s="128" t="str">
        <f t="shared" si="74"/>
        <v/>
      </c>
      <c r="Z57" s="128" t="e">
        <f t="shared" si="75"/>
        <v>#VALUE!</v>
      </c>
      <c r="AA57" s="163" t="e">
        <f>R57/$R$61*100</f>
        <v>#VALUE!</v>
      </c>
    </row>
    <row r="58" spans="1:40" ht="13" x14ac:dyDescent="0.3">
      <c r="A58" s="121" t="s">
        <v>150</v>
      </c>
      <c r="B58" s="162" t="e">
        <f>VLOOKUP(B$2,#REF!,19,)</f>
        <v>#REF!</v>
      </c>
      <c r="C58" s="162" t="e">
        <f>VLOOKUP(C$2,#REF!,19,)</f>
        <v>#REF!</v>
      </c>
      <c r="D58" s="162" t="e">
        <f>VLOOKUP(D$2,#REF!,19,)</f>
        <v>#REF!</v>
      </c>
      <c r="E58" s="162" t="e">
        <f>VLOOKUP(E$2,#REF!,19,)</f>
        <v>#REF!</v>
      </c>
      <c r="F58" s="162" t="e">
        <f>VLOOKUP(F$2,#REF!,19,)</f>
        <v>#REF!</v>
      </c>
      <c r="G58" s="162" t="e">
        <f>VLOOKUP(G$2,#REF!,19,)</f>
        <v>#REF!</v>
      </c>
      <c r="H58" s="162" t="e">
        <f>VLOOKUP(H$2,#REF!,19,)</f>
        <v>#REF!</v>
      </c>
      <c r="I58" s="162" t="e">
        <f>VLOOKUP(I$2,#REF!,19,)</f>
        <v>#REF!</v>
      </c>
      <c r="J58" s="162" t="e">
        <f>VLOOKUP(J$2,#REF!,19,)</f>
        <v>#REF!</v>
      </c>
      <c r="K58" s="162" t="e">
        <f>VLOOKUP(K$2,#REF!,19,)</f>
        <v>#REF!</v>
      </c>
      <c r="L58" s="162" t="e">
        <f>VLOOKUP(L$2,#REF!,19,)</f>
        <v>#REF!</v>
      </c>
      <c r="M58" s="162" t="e">
        <f>VLOOKUP(M$2,#REF!,19,)</f>
        <v>#REF!</v>
      </c>
      <c r="N58" s="123">
        <f>RKAP!$S$102</f>
        <v>63.3</v>
      </c>
      <c r="O58" s="1">
        <v>26</v>
      </c>
      <c r="P58" s="128"/>
      <c r="S58" s="124" t="str">
        <f t="shared" si="72"/>
        <v/>
      </c>
      <c r="T58" s="125"/>
      <c r="U58" s="41" t="str">
        <f t="shared" si="77"/>
        <v/>
      </c>
      <c r="V58" s="126" t="str">
        <f>IF(U58="","",U58*(1-$T$31))</f>
        <v/>
      </c>
      <c r="W58" s="127" t="e">
        <f t="shared" ref="W58:X58" si="96">SUM(W59:W60)</f>
        <v>#REF!</v>
      </c>
      <c r="X58" s="127" t="e">
        <f t="shared" si="96"/>
        <v>#REF!</v>
      </c>
      <c r="Y58" s="128" t="str">
        <f t="shared" si="74"/>
        <v/>
      </c>
      <c r="Z58" s="128" t="e">
        <f t="shared" si="75"/>
        <v>#VALUE!</v>
      </c>
    </row>
    <row r="59" spans="1:40" ht="12.5" x14ac:dyDescent="0.25">
      <c r="A59" s="1" t="s">
        <v>193</v>
      </c>
      <c r="B59" s="128" t="e">
        <f>VLOOKUP(B$2,#REF!,7,)</f>
        <v>#REF!</v>
      </c>
      <c r="C59" s="128" t="e">
        <f>VLOOKUP(C$2,#REF!,7,)</f>
        <v>#REF!</v>
      </c>
      <c r="D59" s="128" t="e">
        <f>VLOOKUP(D$2,#REF!,7,)</f>
        <v>#REF!</v>
      </c>
      <c r="E59" s="128" t="e">
        <f>VLOOKUP(E$2,#REF!,7,)</f>
        <v>#REF!</v>
      </c>
      <c r="F59" s="128" t="e">
        <f>VLOOKUP(F$2,#REF!,7,)</f>
        <v>#REF!</v>
      </c>
      <c r="G59" s="128" t="e">
        <f>VLOOKUP(G$2,#REF!,7,)</f>
        <v>#REF!</v>
      </c>
      <c r="H59" s="128" t="e">
        <f>VLOOKUP(H$2,#REF!,7,)</f>
        <v>#REF!</v>
      </c>
      <c r="I59" s="128" t="e">
        <f>VLOOKUP(I$2,#REF!,7,)</f>
        <v>#REF!</v>
      </c>
      <c r="J59" s="128" t="e">
        <f>VLOOKUP(J$2,#REF!,7,)</f>
        <v>#REF!</v>
      </c>
      <c r="K59" s="128" t="e">
        <f>VLOOKUP(K$2,#REF!,7,)</f>
        <v>#REF!</v>
      </c>
      <c r="L59" s="128" t="e">
        <f>VLOOKUP(L$2,#REF!,7,)</f>
        <v>#REF!</v>
      </c>
      <c r="M59" s="128" t="e">
        <f>VLOOKUP(M$2,#REF!,7,)</f>
        <v>#REF!</v>
      </c>
      <c r="N59" s="128">
        <f>RKAP!$G$102</f>
        <v>58.5</v>
      </c>
      <c r="O59" s="1">
        <v>27</v>
      </c>
      <c r="P59" s="128" t="e">
        <f t="shared" ref="P59:P60" si="97">IF(HLOOKUP(Q$1,$B$33:$M$61,O59,)-N59&lt;=0,"",HLOOKUP(Q$1,$B$33:$M$61,O59,)-N59)</f>
        <v>#REF!</v>
      </c>
      <c r="Q59" s="131" t="e">
        <f>VLOOKUP(Q$1,#REF!,3,)</f>
        <v>#REF!</v>
      </c>
      <c r="R59" s="131" t="e">
        <f>VLOOKUP(Q$1,#REF!,5,)</f>
        <v>#REF!</v>
      </c>
      <c r="S59" s="124" t="e">
        <f t="shared" si="72"/>
        <v>#REF!</v>
      </c>
      <c r="T59" s="129" t="s">
        <v>202</v>
      </c>
      <c r="U59" s="41" t="str">
        <f t="shared" si="77"/>
        <v/>
      </c>
      <c r="V59" s="126" t="str">
        <f t="shared" ref="V59:V60" si="98">IF(U59="","",U59*(1-$T$62))</f>
        <v/>
      </c>
      <c r="W59" s="131" t="e">
        <f t="shared" ref="W59:W60" si="99">IF(T59="Yes",V59,Q59)</f>
        <v>#REF!</v>
      </c>
      <c r="X59" s="131" t="e">
        <f t="shared" ref="X59:X60" si="100">R59</f>
        <v>#REF!</v>
      </c>
      <c r="Y59" s="128" t="str">
        <f t="shared" si="74"/>
        <v/>
      </c>
      <c r="Z59" s="128" t="e">
        <f t="shared" si="75"/>
        <v>#VALUE!</v>
      </c>
    </row>
    <row r="60" spans="1:40" ht="12.5" x14ac:dyDescent="0.25">
      <c r="A60" s="1" t="s">
        <v>116</v>
      </c>
      <c r="B60" s="128" t="e">
        <f>VLOOKUP(B$2,#REF!,13,)</f>
        <v>#REF!</v>
      </c>
      <c r="C60" s="128" t="e">
        <f>VLOOKUP(C$2,#REF!,13,)</f>
        <v>#REF!</v>
      </c>
      <c r="D60" s="128" t="e">
        <f>VLOOKUP(D$2,#REF!,13,)</f>
        <v>#REF!</v>
      </c>
      <c r="E60" s="128" t="e">
        <f>VLOOKUP(E$2,#REF!,13,)</f>
        <v>#REF!</v>
      </c>
      <c r="F60" s="128" t="e">
        <f>VLOOKUP(F$2,#REF!,13,)</f>
        <v>#REF!</v>
      </c>
      <c r="G60" s="128" t="e">
        <f>VLOOKUP(G$2,#REF!,13,)</f>
        <v>#REF!</v>
      </c>
      <c r="H60" s="128" t="e">
        <f>VLOOKUP(H$2,#REF!,13,)</f>
        <v>#REF!</v>
      </c>
      <c r="I60" s="128" t="e">
        <f>VLOOKUP(I$2,#REF!,13,)</f>
        <v>#REF!</v>
      </c>
      <c r="J60" s="128" t="e">
        <f>VLOOKUP(J$2,#REF!,13,)</f>
        <v>#REF!</v>
      </c>
      <c r="K60" s="128" t="e">
        <f>VLOOKUP(K$2,#REF!,13,)</f>
        <v>#REF!</v>
      </c>
      <c r="L60" s="128" t="e">
        <f>VLOOKUP(L$2,#REF!,13,)</f>
        <v>#REF!</v>
      </c>
      <c r="M60" s="128" t="e">
        <f>VLOOKUP(M$2,#REF!,13,)</f>
        <v>#REF!</v>
      </c>
      <c r="N60" s="128">
        <f>RKAP!$M$102</f>
        <v>85.5</v>
      </c>
      <c r="O60" s="1">
        <v>28</v>
      </c>
      <c r="P60" s="128" t="e">
        <f t="shared" si="97"/>
        <v>#REF!</v>
      </c>
      <c r="Q60" s="131" t="e">
        <f>VLOOKUP(Q$1,#REF!,9,)</f>
        <v>#REF!</v>
      </c>
      <c r="R60" s="131" t="e">
        <f>VLOOKUP(Q$1,#REF!,11,)</f>
        <v>#REF!</v>
      </c>
      <c r="S60" s="124" t="e">
        <f t="shared" si="72"/>
        <v>#REF!</v>
      </c>
      <c r="T60" s="129" t="s">
        <v>191</v>
      </c>
      <c r="U60" s="131" t="e">
        <f t="shared" si="77"/>
        <v>#REF!</v>
      </c>
      <c r="V60" s="126" t="e">
        <f t="shared" si="98"/>
        <v>#REF!</v>
      </c>
      <c r="W60" s="131" t="e">
        <f t="shared" si="99"/>
        <v>#REF!</v>
      </c>
      <c r="X60" s="131" t="e">
        <f t="shared" si="100"/>
        <v>#REF!</v>
      </c>
      <c r="Y60" s="128" t="str">
        <f t="shared" si="74"/>
        <v/>
      </c>
      <c r="Z60" s="128" t="e">
        <f t="shared" si="75"/>
        <v>#VALUE!</v>
      </c>
    </row>
    <row r="61" spans="1:40" ht="13" x14ac:dyDescent="0.3">
      <c r="A61" s="121" t="s">
        <v>196</v>
      </c>
      <c r="B61" s="162" t="e">
        <f>VLOOKUP(B$2,#REF!,7,)</f>
        <v>#REF!</v>
      </c>
      <c r="C61" s="162" t="e">
        <f>VLOOKUP(C$2,#REF!,7,)</f>
        <v>#REF!</v>
      </c>
      <c r="D61" s="162" t="e">
        <f>VLOOKUP(D$2,#REF!,7,)</f>
        <v>#REF!</v>
      </c>
      <c r="E61" s="162" t="e">
        <f>VLOOKUP(E$2,#REF!,7,)</f>
        <v>#REF!</v>
      </c>
      <c r="F61" s="162" t="e">
        <f>VLOOKUP(F$2,#REF!,7,)</f>
        <v>#REF!</v>
      </c>
      <c r="G61" s="162" t="e">
        <f>VLOOKUP(G$2,#REF!,7,)</f>
        <v>#REF!</v>
      </c>
      <c r="H61" s="162" t="e">
        <f>VLOOKUP(H$2,#REF!,7,)</f>
        <v>#REF!</v>
      </c>
      <c r="I61" s="162" t="e">
        <f>VLOOKUP(I$2,#REF!,7,)</f>
        <v>#REF!</v>
      </c>
      <c r="J61" s="162" t="e">
        <f>VLOOKUP(J$2,#REF!,7,)</f>
        <v>#REF!</v>
      </c>
      <c r="K61" s="162" t="e">
        <f>VLOOKUP(K$2,#REF!,7,)</f>
        <v>#REF!</v>
      </c>
      <c r="L61" s="162" t="e">
        <f>VLOOKUP(L$2,#REF!,7,)</f>
        <v>#REF!</v>
      </c>
      <c r="M61" s="162" t="e">
        <f>VLOOKUP(M$2,#REF!,7,)</f>
        <v>#REF!</v>
      </c>
      <c r="N61" s="123">
        <f>RKAP!$G$118</f>
        <v>68.760000000000005</v>
      </c>
      <c r="O61" s="1">
        <v>29</v>
      </c>
      <c r="P61" s="128"/>
      <c r="Q61" s="127" t="e">
        <f t="shared" ref="Q61:R61" si="101">SUM(Q34:Q60)</f>
        <v>#REF!</v>
      </c>
      <c r="R61" s="127" t="e">
        <f t="shared" si="101"/>
        <v>#REF!</v>
      </c>
      <c r="S61" s="151" t="e">
        <f t="shared" ref="S61:S62" si="102">Q61/R61*100</f>
        <v>#REF!</v>
      </c>
      <c r="T61" s="125"/>
      <c r="U61" s="126" t="e">
        <f>SUM(U34:U60)</f>
        <v>#REF!</v>
      </c>
    </row>
    <row r="62" spans="1:40" ht="13" x14ac:dyDescent="0.3">
      <c r="M62" s="1" t="s">
        <v>198</v>
      </c>
      <c r="N62" s="165">
        <v>67.5</v>
      </c>
      <c r="O62" s="1">
        <v>30</v>
      </c>
      <c r="P62" s="128"/>
      <c r="Q62" s="166" t="e">
        <f>N62/100*R62</f>
        <v>#REF!</v>
      </c>
      <c r="R62" s="166" t="e">
        <f>$R$61</f>
        <v>#REF!</v>
      </c>
      <c r="S62" s="156" t="e">
        <f t="shared" si="102"/>
        <v>#REF!</v>
      </c>
      <c r="T62" s="167">
        <v>4.0842899315670908E-2</v>
      </c>
      <c r="U62" s="168" t="e">
        <f>U61-(Q61-Q62)</f>
        <v>#REF!</v>
      </c>
      <c r="V62" s="169" t="e">
        <f>SUM(V34:V60)</f>
        <v>#REF!</v>
      </c>
      <c r="W62" s="166" t="e">
        <f t="shared" ref="W62:X62" si="103">SUM(W35:W41,W43:W45,W46,W48:W51,W53:W57,W59:W60)</f>
        <v>#REF!</v>
      </c>
      <c r="X62" s="166" t="e">
        <f t="shared" si="103"/>
        <v>#REF!</v>
      </c>
      <c r="Y62" s="170" t="str">
        <f>IFERROR(W62/X62*100,"")</f>
        <v/>
      </c>
    </row>
    <row r="63" spans="1:40" ht="12.5" x14ac:dyDescent="0.25">
      <c r="A63" s="171"/>
      <c r="B63" s="172"/>
      <c r="C63" s="117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73"/>
      <c r="Q63" s="120"/>
      <c r="R63" s="120"/>
      <c r="S63" s="120"/>
      <c r="T63" s="117" t="s">
        <v>199</v>
      </c>
      <c r="U63" s="117" t="s">
        <v>200</v>
      </c>
      <c r="V63" s="117" t="s">
        <v>201</v>
      </c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</row>
    <row r="64" spans="1:40" ht="12.5" x14ac:dyDescent="0.25"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</row>
    <row r="65" spans="1:40" ht="12.5" x14ac:dyDescent="0.25"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</row>
    <row r="66" spans="1:40" ht="12.5" x14ac:dyDescent="0.25">
      <c r="A66" s="1" t="s">
        <v>138</v>
      </c>
    </row>
    <row r="67" spans="1:40" ht="13" x14ac:dyDescent="0.3">
      <c r="A67" s="130" t="s">
        <v>203</v>
      </c>
    </row>
    <row r="68" spans="1:40" ht="13" x14ac:dyDescent="0.3">
      <c r="A68" s="130" t="s">
        <v>204</v>
      </c>
    </row>
    <row r="69" spans="1:40" ht="13" x14ac:dyDescent="0.3">
      <c r="A69" s="130" t="s">
        <v>205</v>
      </c>
    </row>
    <row r="70" spans="1:40" ht="12.5" x14ac:dyDescent="0.25">
      <c r="A70" s="1" t="s">
        <v>206</v>
      </c>
    </row>
    <row r="71" spans="1:40" ht="12.5" x14ac:dyDescent="0.25">
      <c r="A71" s="1" t="s">
        <v>207</v>
      </c>
    </row>
    <row r="72" spans="1:40" ht="12.5" x14ac:dyDescent="0.25">
      <c r="A72" s="1" t="s">
        <v>208</v>
      </c>
    </row>
  </sheetData>
  <mergeCells count="1">
    <mergeCell ref="W1:Y1"/>
  </mergeCells>
  <conditionalFormatting sqref="B3:M3">
    <cfRule type="cellIs" dxfId="108" priority="1" operator="greaterThan">
      <formula>87.6</formula>
    </cfRule>
  </conditionalFormatting>
  <conditionalFormatting sqref="B4:M4">
    <cfRule type="cellIs" dxfId="107" priority="2" operator="greaterThan">
      <formula>85</formula>
    </cfRule>
  </conditionalFormatting>
  <conditionalFormatting sqref="B5:M5">
    <cfRule type="cellIs" dxfId="106" priority="3" operator="greaterThan">
      <formula>95.5</formula>
    </cfRule>
  </conditionalFormatting>
  <conditionalFormatting sqref="B6:M6">
    <cfRule type="cellIs" dxfId="105" priority="4" operator="greaterThan">
      <formula>88.4</formula>
    </cfRule>
  </conditionalFormatting>
  <conditionalFormatting sqref="B6:M6">
    <cfRule type="cellIs" dxfId="104" priority="5" operator="lessThanOrEqual">
      <formula>88.4</formula>
    </cfRule>
  </conditionalFormatting>
  <conditionalFormatting sqref="B3:M3">
    <cfRule type="cellIs" dxfId="103" priority="6" operator="lessThanOrEqual">
      <formula>87.6</formula>
    </cfRule>
  </conditionalFormatting>
  <conditionalFormatting sqref="B4:M4">
    <cfRule type="cellIs" dxfId="102" priority="7" operator="lessThanOrEqual">
      <formula>85</formula>
    </cfRule>
  </conditionalFormatting>
  <conditionalFormatting sqref="B5:M5">
    <cfRule type="cellIs" dxfId="101" priority="8" operator="lessThanOrEqual">
      <formula>95.5</formula>
    </cfRule>
  </conditionalFormatting>
  <conditionalFormatting sqref="B7:M7">
    <cfRule type="cellIs" dxfId="100" priority="9" operator="greaterThan">
      <formula>88.2</formula>
    </cfRule>
  </conditionalFormatting>
  <conditionalFormatting sqref="B7:M7">
    <cfRule type="cellIs" dxfId="99" priority="10" operator="lessThanOrEqual">
      <formula>88.2</formula>
    </cfRule>
  </conditionalFormatting>
  <conditionalFormatting sqref="B8:M8">
    <cfRule type="cellIs" dxfId="98" priority="11" operator="greaterThan">
      <formula>96.4</formula>
    </cfRule>
  </conditionalFormatting>
  <conditionalFormatting sqref="B8:M8">
    <cfRule type="cellIs" dxfId="97" priority="12" operator="lessThanOrEqual">
      <formula>96.4</formula>
    </cfRule>
  </conditionalFormatting>
  <conditionalFormatting sqref="B9:M9">
    <cfRule type="cellIs" dxfId="96" priority="13" operator="greaterThan">
      <formula>93</formula>
    </cfRule>
  </conditionalFormatting>
  <conditionalFormatting sqref="B9:M9">
    <cfRule type="cellIs" dxfId="95" priority="14" operator="lessThanOrEqual">
      <formula>93</formula>
    </cfRule>
  </conditionalFormatting>
  <conditionalFormatting sqref="B10:M10">
    <cfRule type="cellIs" dxfId="94" priority="15" operator="greaterThan">
      <formula>70</formula>
    </cfRule>
  </conditionalFormatting>
  <conditionalFormatting sqref="B10:M10">
    <cfRule type="cellIs" dxfId="93" priority="16" operator="lessThanOrEqual">
      <formula>70</formula>
    </cfRule>
  </conditionalFormatting>
  <conditionalFormatting sqref="B11:M11">
    <cfRule type="cellIs" dxfId="92" priority="17" operator="greaterThan">
      <formula>58.61</formula>
    </cfRule>
  </conditionalFormatting>
  <conditionalFormatting sqref="B11:M11">
    <cfRule type="cellIs" dxfId="91" priority="18" operator="lessThanOrEqual">
      <formula>58.61</formula>
    </cfRule>
  </conditionalFormatting>
  <conditionalFormatting sqref="B12:M12">
    <cfRule type="cellIs" dxfId="90" priority="19" operator="greaterThan">
      <formula>58</formula>
    </cfRule>
  </conditionalFormatting>
  <conditionalFormatting sqref="B12:M12">
    <cfRule type="cellIs" dxfId="89" priority="20" operator="lessThanOrEqual">
      <formula>58</formula>
    </cfRule>
  </conditionalFormatting>
  <conditionalFormatting sqref="B15:M15">
    <cfRule type="cellIs" dxfId="88" priority="21" operator="greaterThan">
      <formula>58</formula>
    </cfRule>
  </conditionalFormatting>
  <conditionalFormatting sqref="B15:M15">
    <cfRule type="cellIs" dxfId="87" priority="22" operator="lessThanOrEqual">
      <formula>58</formula>
    </cfRule>
  </conditionalFormatting>
  <conditionalFormatting sqref="B16:M16">
    <cfRule type="cellIs" dxfId="86" priority="23" operator="greaterThan">
      <formula>89.81</formula>
    </cfRule>
  </conditionalFormatting>
  <conditionalFormatting sqref="B16:M16">
    <cfRule type="cellIs" dxfId="85" priority="24" operator="lessThanOrEqual">
      <formula>89.81</formula>
    </cfRule>
  </conditionalFormatting>
  <conditionalFormatting sqref="B17:M17">
    <cfRule type="cellIs" dxfId="84" priority="25" operator="greaterThan">
      <formula>80.36</formula>
    </cfRule>
  </conditionalFormatting>
  <conditionalFormatting sqref="B17:M17">
    <cfRule type="cellIs" dxfId="83" priority="26" operator="lessThanOrEqual">
      <formula>80.36</formula>
    </cfRule>
  </conditionalFormatting>
  <conditionalFormatting sqref="B18:M18">
    <cfRule type="cellIs" dxfId="82" priority="27" operator="greaterThan">
      <formula>90.32</formula>
    </cfRule>
  </conditionalFormatting>
  <conditionalFormatting sqref="B18:M18">
    <cfRule type="cellIs" dxfId="81" priority="28" operator="lessThanOrEqual">
      <formula>90.32</formula>
    </cfRule>
  </conditionalFormatting>
  <conditionalFormatting sqref="B19:M19">
    <cfRule type="cellIs" dxfId="80" priority="29" operator="greaterThan">
      <formula>86.96</formula>
    </cfRule>
  </conditionalFormatting>
  <conditionalFormatting sqref="B19:M19">
    <cfRule type="cellIs" dxfId="79" priority="30" operator="lessThanOrEqual">
      <formula>86.96</formula>
    </cfRule>
  </conditionalFormatting>
  <conditionalFormatting sqref="B21:M21">
    <cfRule type="cellIs" dxfId="78" priority="31" operator="greaterThan">
      <formula>70.41</formula>
    </cfRule>
  </conditionalFormatting>
  <conditionalFormatting sqref="B21:M21">
    <cfRule type="cellIs" dxfId="77" priority="32" operator="lessThanOrEqual">
      <formula>70.41</formula>
    </cfRule>
  </conditionalFormatting>
  <conditionalFormatting sqref="B22:M22">
    <cfRule type="cellIs" dxfId="76" priority="33" operator="greaterThan">
      <formula>60.91</formula>
    </cfRule>
  </conditionalFormatting>
  <conditionalFormatting sqref="B22:M22">
    <cfRule type="cellIs" dxfId="75" priority="34" operator="lessThanOrEqual">
      <formula>60.91</formula>
    </cfRule>
  </conditionalFormatting>
  <conditionalFormatting sqref="B23:M23">
    <cfRule type="cellIs" dxfId="74" priority="35" operator="greaterThan">
      <formula>95.5</formula>
    </cfRule>
  </conditionalFormatting>
  <conditionalFormatting sqref="B23:M23">
    <cfRule type="cellIs" dxfId="73" priority="36" operator="lessThanOrEqual">
      <formula>95.5</formula>
    </cfRule>
  </conditionalFormatting>
  <conditionalFormatting sqref="B24:M24">
    <cfRule type="cellIs" dxfId="72" priority="37" operator="greaterThan">
      <formula>86.96</formula>
    </cfRule>
  </conditionalFormatting>
  <conditionalFormatting sqref="B24:M24">
    <cfRule type="cellIs" dxfId="71" priority="38" operator="lessThanOrEqual">
      <formula>86.96</formula>
    </cfRule>
  </conditionalFormatting>
  <conditionalFormatting sqref="B27:M27">
    <cfRule type="cellIs" dxfId="70" priority="39" operator="greaterThan">
      <formula>63.3</formula>
    </cfRule>
  </conditionalFormatting>
  <conditionalFormatting sqref="B27:M27">
    <cfRule type="cellIs" dxfId="69" priority="40" operator="lessThanOrEqual">
      <formula>63.3</formula>
    </cfRule>
  </conditionalFormatting>
  <conditionalFormatting sqref="B28:M28">
    <cfRule type="cellIs" dxfId="68" priority="41" operator="greaterThan">
      <formula>58.5</formula>
    </cfRule>
  </conditionalFormatting>
  <conditionalFormatting sqref="B28:M28">
    <cfRule type="cellIs" dxfId="67" priority="42" operator="lessThanOrEqual">
      <formula>58.5</formula>
    </cfRule>
  </conditionalFormatting>
  <conditionalFormatting sqref="B29:M29">
    <cfRule type="cellIs" dxfId="66" priority="43" operator="greaterThan">
      <formula>85.5</formula>
    </cfRule>
  </conditionalFormatting>
  <conditionalFormatting sqref="B29:M29">
    <cfRule type="cellIs" dxfId="65" priority="44" operator="lessThanOrEqual">
      <formula>85.5</formula>
    </cfRule>
  </conditionalFormatting>
  <conditionalFormatting sqref="B13:M13">
    <cfRule type="cellIs" dxfId="64" priority="45" operator="greaterThan">
      <formula>91.12</formula>
    </cfRule>
  </conditionalFormatting>
  <conditionalFormatting sqref="B13:M13">
    <cfRule type="cellIs" dxfId="63" priority="46" operator="lessThanOrEqual">
      <formula>91.12</formula>
    </cfRule>
  </conditionalFormatting>
  <conditionalFormatting sqref="B14:M14">
    <cfRule type="cellIs" dxfId="62" priority="47" operator="greaterThan">
      <formula>70</formula>
    </cfRule>
  </conditionalFormatting>
  <conditionalFormatting sqref="B14:M14">
    <cfRule type="cellIs" dxfId="61" priority="48" operator="lessThanOrEqual">
      <formula>70</formula>
    </cfRule>
  </conditionalFormatting>
  <conditionalFormatting sqref="B20:M20">
    <cfRule type="cellIs" dxfId="60" priority="49" operator="greaterThan">
      <formula>95.5</formula>
    </cfRule>
  </conditionalFormatting>
  <conditionalFormatting sqref="B20:M20">
    <cfRule type="cellIs" dxfId="59" priority="50" operator="lessThanOrEqual">
      <formula>95.5</formula>
    </cfRule>
  </conditionalFormatting>
  <conditionalFormatting sqref="B25:M25">
    <cfRule type="cellIs" dxfId="58" priority="51" operator="greaterThan">
      <formula>90.32</formula>
    </cfRule>
  </conditionalFormatting>
  <conditionalFormatting sqref="B25:M25">
    <cfRule type="cellIs" dxfId="57" priority="52" operator="lessThanOrEqual">
      <formula>90.32</formula>
    </cfRule>
  </conditionalFormatting>
  <conditionalFormatting sqref="B30:M30">
    <cfRule type="cellIs" dxfId="56" priority="53" operator="greaterThan">
      <formula>68.76</formula>
    </cfRule>
  </conditionalFormatting>
  <conditionalFormatting sqref="B30:M30">
    <cfRule type="cellIs" dxfId="55" priority="54" operator="lessThanOrEqual">
      <formula>68.76</formula>
    </cfRule>
  </conditionalFormatting>
  <conditionalFormatting sqref="B34:M34">
    <cfRule type="cellIs" dxfId="54" priority="55" operator="greaterThan">
      <formula>87.12</formula>
    </cfRule>
  </conditionalFormatting>
  <conditionalFormatting sqref="B35:M35">
    <cfRule type="cellIs" dxfId="53" priority="56" operator="greaterThan">
      <formula>88.5</formula>
    </cfRule>
  </conditionalFormatting>
  <conditionalFormatting sqref="B35:M35">
    <cfRule type="cellIs" dxfId="52" priority="57" operator="lessThanOrEqual">
      <formula>88.5</formula>
    </cfRule>
  </conditionalFormatting>
  <conditionalFormatting sqref="B34:M34">
    <cfRule type="cellIs" dxfId="51" priority="58" operator="lessThanOrEqual">
      <formula>87.12</formula>
    </cfRule>
  </conditionalFormatting>
  <conditionalFormatting sqref="B36:M36">
    <cfRule type="cellIs" dxfId="50" priority="59" operator="greaterThan">
      <formula>94.6</formula>
    </cfRule>
  </conditionalFormatting>
  <conditionalFormatting sqref="B36:M36">
    <cfRule type="cellIs" dxfId="49" priority="60" operator="lessThanOrEqual">
      <formula>94.6</formula>
    </cfRule>
  </conditionalFormatting>
  <conditionalFormatting sqref="B37:M37">
    <cfRule type="cellIs" dxfId="48" priority="61" operator="greaterThan">
      <formula>88</formula>
    </cfRule>
  </conditionalFormatting>
  <conditionalFormatting sqref="B37:M37">
    <cfRule type="cellIs" dxfId="47" priority="62" operator="lessThanOrEqual">
      <formula>88</formula>
    </cfRule>
  </conditionalFormatting>
  <conditionalFormatting sqref="B38:M38">
    <cfRule type="cellIs" dxfId="46" priority="63" operator="greaterThan">
      <formula>87.3</formula>
    </cfRule>
  </conditionalFormatting>
  <conditionalFormatting sqref="B38:M38">
    <cfRule type="cellIs" dxfId="45" priority="64" operator="lessThanOrEqual">
      <formula>87.3</formula>
    </cfRule>
  </conditionalFormatting>
  <conditionalFormatting sqref="B39:M39">
    <cfRule type="cellIs" dxfId="44" priority="65" operator="greaterThan">
      <formula>96.4</formula>
    </cfRule>
  </conditionalFormatting>
  <conditionalFormatting sqref="B39:M39">
    <cfRule type="cellIs" dxfId="43" priority="66" operator="lessThanOrEqual">
      <formula>96.4</formula>
    </cfRule>
  </conditionalFormatting>
  <conditionalFormatting sqref="B40:M40">
    <cfRule type="cellIs" dxfId="42" priority="67" operator="greaterThan">
      <formula>93</formula>
    </cfRule>
  </conditionalFormatting>
  <conditionalFormatting sqref="B40:M40">
    <cfRule type="cellIs" dxfId="41" priority="68" operator="lessThanOrEqual">
      <formula>93</formula>
    </cfRule>
  </conditionalFormatting>
  <conditionalFormatting sqref="B41:M41">
    <cfRule type="cellIs" dxfId="40" priority="69" operator="greaterThan">
      <formula>70</formula>
    </cfRule>
  </conditionalFormatting>
  <conditionalFormatting sqref="B41:M41">
    <cfRule type="cellIs" dxfId="39" priority="70" operator="lessThanOrEqual">
      <formula>70</formula>
    </cfRule>
  </conditionalFormatting>
  <conditionalFormatting sqref="B42:M42">
    <cfRule type="cellIs" dxfId="38" priority="71" operator="greaterThan">
      <formula>58.65</formula>
    </cfRule>
  </conditionalFormatting>
  <conditionalFormatting sqref="B42:M42">
    <cfRule type="cellIs" dxfId="37" priority="72" operator="lessThanOrEqual">
      <formula>58.65</formula>
    </cfRule>
  </conditionalFormatting>
  <conditionalFormatting sqref="B43:M43">
    <cfRule type="cellIs" dxfId="36" priority="73" operator="greaterThan">
      <formula>58</formula>
    </cfRule>
  </conditionalFormatting>
  <conditionalFormatting sqref="B43:M43">
    <cfRule type="cellIs" dxfId="35" priority="74" operator="lessThanOrEqual">
      <formula>58</formula>
    </cfRule>
  </conditionalFormatting>
  <conditionalFormatting sqref="B44:M44">
    <cfRule type="cellIs" dxfId="34" priority="75" operator="greaterThan">
      <formula>91.12</formula>
    </cfRule>
  </conditionalFormatting>
  <conditionalFormatting sqref="B44:M44">
    <cfRule type="cellIs" dxfId="33" priority="76" operator="lessThanOrEqual">
      <formula>91.12</formula>
    </cfRule>
  </conditionalFormatting>
  <conditionalFormatting sqref="B45:M45">
    <cfRule type="cellIs" dxfId="32" priority="77" operator="greaterThan">
      <formula>70</formula>
    </cfRule>
  </conditionalFormatting>
  <conditionalFormatting sqref="B45:M45">
    <cfRule type="cellIs" dxfId="31" priority="78" operator="lessThanOrEqual">
      <formula>70</formula>
    </cfRule>
  </conditionalFormatting>
  <conditionalFormatting sqref="B46:M46">
    <cfRule type="cellIs" dxfId="30" priority="79" operator="greaterThan">
      <formula>58</formula>
    </cfRule>
  </conditionalFormatting>
  <conditionalFormatting sqref="B46:M46">
    <cfRule type="cellIs" dxfId="29" priority="80" operator="lessThanOrEqual">
      <formula>58</formula>
    </cfRule>
  </conditionalFormatting>
  <conditionalFormatting sqref="B47:M47">
    <cfRule type="cellIs" dxfId="28" priority="81" operator="greaterThan">
      <formula>91.1</formula>
    </cfRule>
  </conditionalFormatting>
  <conditionalFormatting sqref="B47:M47">
    <cfRule type="cellIs" dxfId="27" priority="82" operator="lessThanOrEqual">
      <formula>91.1</formula>
    </cfRule>
  </conditionalFormatting>
  <conditionalFormatting sqref="B48:M48">
    <cfRule type="cellIs" dxfId="26" priority="83" operator="greaterThan">
      <formula>84.78</formula>
    </cfRule>
  </conditionalFormatting>
  <conditionalFormatting sqref="B48:M48">
    <cfRule type="cellIs" dxfId="25" priority="84" operator="lessThanOrEqual">
      <formula>84.78</formula>
    </cfRule>
  </conditionalFormatting>
  <conditionalFormatting sqref="B49:M49">
    <cfRule type="cellIs" dxfId="24" priority="85" operator="greaterThan">
      <formula>90.32</formula>
    </cfRule>
  </conditionalFormatting>
  <conditionalFormatting sqref="B49:M49">
    <cfRule type="cellIs" dxfId="23" priority="86" operator="lessThanOrEqual">
      <formula>90.32</formula>
    </cfRule>
  </conditionalFormatting>
  <conditionalFormatting sqref="B50:M50">
    <cfRule type="cellIs" dxfId="22" priority="87" operator="greaterThan">
      <formula>86.96</formula>
    </cfRule>
  </conditionalFormatting>
  <conditionalFormatting sqref="B50:M50">
    <cfRule type="cellIs" dxfId="21" priority="88" operator="lessThanOrEqual">
      <formula>86.96</formula>
    </cfRule>
  </conditionalFormatting>
  <conditionalFormatting sqref="B51:M51">
    <cfRule type="cellIs" dxfId="20" priority="89" operator="greaterThan">
      <formula>95.5</formula>
    </cfRule>
  </conditionalFormatting>
  <conditionalFormatting sqref="B51:M51">
    <cfRule type="cellIs" dxfId="19" priority="90" operator="lessThanOrEqual">
      <formula>95.5</formula>
    </cfRule>
  </conditionalFormatting>
  <conditionalFormatting sqref="B52:M52">
    <cfRule type="cellIs" dxfId="18" priority="91" operator="greaterThan">
      <formula>74.09</formula>
    </cfRule>
  </conditionalFormatting>
  <conditionalFormatting sqref="B52:M52">
    <cfRule type="cellIs" dxfId="17" priority="92" operator="lessThanOrEqual">
      <formula>74.09</formula>
    </cfRule>
  </conditionalFormatting>
  <conditionalFormatting sqref="B53:M53">
    <cfRule type="cellIs" dxfId="16" priority="93" operator="greaterThan">
      <formula>62.71</formula>
    </cfRule>
  </conditionalFormatting>
  <conditionalFormatting sqref="B53:M53">
    <cfRule type="cellIs" dxfId="15" priority="94" operator="lessThanOrEqual">
      <formula>62.71</formula>
    </cfRule>
  </conditionalFormatting>
  <conditionalFormatting sqref="B54:M54">
    <cfRule type="cellIs" dxfId="14" priority="95" operator="greaterThan">
      <formula>95.5</formula>
    </cfRule>
  </conditionalFormatting>
  <conditionalFormatting sqref="B54:M54">
    <cfRule type="cellIs" dxfId="13" priority="96" operator="lessThanOrEqual">
      <formula>95.5</formula>
    </cfRule>
  </conditionalFormatting>
  <conditionalFormatting sqref="B55:M55">
    <cfRule type="cellIs" dxfId="12" priority="97" operator="greaterThan">
      <formula>86.96</formula>
    </cfRule>
  </conditionalFormatting>
  <conditionalFormatting sqref="B55:M55">
    <cfRule type="cellIs" dxfId="11" priority="98" operator="lessThanOrEqual">
      <formula>86.96</formula>
    </cfRule>
  </conditionalFormatting>
  <conditionalFormatting sqref="B56:M56">
    <cfRule type="cellIs" dxfId="10" priority="99" operator="greaterThan">
      <formula>90.32</formula>
    </cfRule>
  </conditionalFormatting>
  <conditionalFormatting sqref="B56:M56">
    <cfRule type="cellIs" dxfId="9" priority="100" operator="lessThanOrEqual">
      <formula>90.32</formula>
    </cfRule>
  </conditionalFormatting>
  <conditionalFormatting sqref="B58:M58">
    <cfRule type="cellIs" dxfId="8" priority="101" operator="greaterThan">
      <formula>64.78</formula>
    </cfRule>
  </conditionalFormatting>
  <conditionalFormatting sqref="B58:M58">
    <cfRule type="cellIs" dxfId="7" priority="102" operator="lessThanOrEqual">
      <formula>64.78</formula>
    </cfRule>
  </conditionalFormatting>
  <conditionalFormatting sqref="B59:M59">
    <cfRule type="cellIs" dxfId="6" priority="103" operator="greaterThan">
      <formula>58.5</formula>
    </cfRule>
  </conditionalFormatting>
  <conditionalFormatting sqref="B59:M59">
    <cfRule type="cellIs" dxfId="5" priority="104" operator="lessThanOrEqual">
      <formula>58.5</formula>
    </cfRule>
  </conditionalFormatting>
  <conditionalFormatting sqref="B60:M60">
    <cfRule type="cellIs" dxfId="4" priority="105" operator="greaterThan">
      <formula>85.5</formula>
    </cfRule>
  </conditionalFormatting>
  <conditionalFormatting sqref="B60:M60">
    <cfRule type="cellIs" dxfId="3" priority="106" operator="lessThanOrEqual">
      <formula>85.5</formula>
    </cfRule>
  </conditionalFormatting>
  <conditionalFormatting sqref="B61:M61">
    <cfRule type="cellIs" dxfId="2" priority="107" operator="greaterThan">
      <formula>69.61</formula>
    </cfRule>
  </conditionalFormatting>
  <conditionalFormatting sqref="B61:M61">
    <cfRule type="cellIs" dxfId="1" priority="108" operator="lessThanOrEqual">
      <formula>69.61</formula>
    </cfRule>
  </conditionalFormatting>
  <conditionalFormatting sqref="U4:U5 U17 U26">
    <cfRule type="cellIs" dxfId="0" priority="109" operator="equal">
      <formula>"MIN("</formula>
    </cfRule>
  </conditionalFormatting>
  <dataValidations count="1">
    <dataValidation type="list" allowBlank="1" showErrorMessage="1" sqref="T5:T10 T12:T15 T18:T20 T22:T25 T28:T29 T35:T41 T43:T46 T48:T51 T53:T57 T59:T60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Formula!$A$1:$A$12</xm:f>
          </x14:formula1>
          <xm:sqref>Q1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topLeftCell="A20" workbookViewId="0"/>
  </sheetViews>
  <sheetFormatPr defaultColWidth="12.6328125" defaultRowHeight="15.75" customHeight="1" x14ac:dyDescent="0.25"/>
  <sheetData>
    <row r="1" spans="1:26" ht="14.5" hidden="1" x14ac:dyDescent="0.35">
      <c r="A1" s="223" t="s">
        <v>209</v>
      </c>
      <c r="B1" s="221" t="s">
        <v>106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23" t="s">
        <v>209</v>
      </c>
      <c r="O1" s="221" t="s">
        <v>107</v>
      </c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spans="1:26" ht="14.5" hidden="1" x14ac:dyDescent="0.35">
      <c r="A2" s="219"/>
      <c r="B2" s="174" t="s">
        <v>4</v>
      </c>
      <c r="C2" s="174" t="s">
        <v>5</v>
      </c>
      <c r="D2" s="174" t="s">
        <v>6</v>
      </c>
      <c r="E2" s="174" t="s">
        <v>7</v>
      </c>
      <c r="F2" s="174" t="s">
        <v>8</v>
      </c>
      <c r="G2" s="174" t="s">
        <v>9</v>
      </c>
      <c r="H2" s="174" t="s">
        <v>10</v>
      </c>
      <c r="I2" s="174" t="s">
        <v>11</v>
      </c>
      <c r="J2" s="174" t="s">
        <v>12</v>
      </c>
      <c r="K2" s="174" t="s">
        <v>13</v>
      </c>
      <c r="L2" s="174" t="s">
        <v>14</v>
      </c>
      <c r="M2" s="174" t="s">
        <v>15</v>
      </c>
      <c r="N2" s="219"/>
      <c r="O2" s="174" t="s">
        <v>4</v>
      </c>
      <c r="P2" s="174" t="s">
        <v>5</v>
      </c>
      <c r="Q2" s="174" t="s">
        <v>6</v>
      </c>
      <c r="R2" s="174" t="s">
        <v>7</v>
      </c>
      <c r="S2" s="174" t="s">
        <v>8</v>
      </c>
      <c r="T2" s="174" t="s">
        <v>9</v>
      </c>
      <c r="U2" s="174" t="s">
        <v>10</v>
      </c>
      <c r="V2" s="174" t="s">
        <v>11</v>
      </c>
      <c r="W2" s="174" t="s">
        <v>12</v>
      </c>
      <c r="X2" s="174" t="s">
        <v>13</v>
      </c>
      <c r="Y2" s="174" t="s">
        <v>14</v>
      </c>
      <c r="Z2" s="174" t="s">
        <v>15</v>
      </c>
    </row>
    <row r="3" spans="1:26" ht="14.5" hidden="1" x14ac:dyDescent="0.35">
      <c r="A3" s="10" t="s">
        <v>145</v>
      </c>
      <c r="B3" s="175">
        <f ca="1">IFERROR(__xludf.DUMMYFUNCTION("IMPORTRANGE(""https://docs.google.com/spreadsheets/d/15DATFXlrV_2m6DgF3D4RmzewL4LTELVJeEZLGqbYM2M/edit?usp=drive_link"",""stec_tsr!C2:N2"")"),3361.3040013049)</f>
        <v>3361.3040013048999</v>
      </c>
      <c r="C3" s="53">
        <f ca="1">IFERROR(__xludf.DUMMYFUNCTION("""COMPUTED_VALUE"""),3322.87029508488)</f>
        <v>3322.8702950848801</v>
      </c>
      <c r="D3" s="53">
        <f ca="1">IFERROR(__xludf.DUMMYFUNCTION("""COMPUTED_VALUE"""),0)</f>
        <v>0</v>
      </c>
      <c r="E3" s="53">
        <f ca="1">IFERROR(__xludf.DUMMYFUNCTION("""COMPUTED_VALUE"""),3497.47186592886)</f>
        <v>3497.4718659288601</v>
      </c>
      <c r="F3" s="53">
        <f ca="1">IFERROR(__xludf.DUMMYFUNCTION("""COMPUTED_VALUE"""),3369.65693466651)</f>
        <v>3369.6569346665101</v>
      </c>
      <c r="G3" s="53"/>
      <c r="H3" s="53"/>
      <c r="I3" s="53"/>
      <c r="J3" s="53"/>
      <c r="K3" s="53"/>
      <c r="L3" s="53"/>
      <c r="M3" s="53"/>
      <c r="N3" s="10" t="s">
        <v>145</v>
      </c>
      <c r="O3" s="175">
        <f ca="1">IFERROR(__xludf.DUMMYFUNCTION("IMPORTRANGE(""https://docs.google.com/spreadsheets/d/15DATFXlrV_2m6DgF3D4RmzewL4LTELVJeEZLGqbYM2M/edit?usp=drive_link"",""stec_tsr!O2:Z2"")"),3361.3040013049)</f>
        <v>3361.3040013048999</v>
      </c>
      <c r="P3" s="53">
        <f ca="1">IFERROR(__xludf.DUMMYFUNCTION("""COMPUTED_VALUE"""),3356.66894435796)</f>
        <v>3356.6689443579598</v>
      </c>
      <c r="Q3" s="53">
        <f ca="1">IFERROR(__xludf.DUMMYFUNCTION("""COMPUTED_VALUE"""),3356.66894435796)</f>
        <v>3356.6689443579598</v>
      </c>
      <c r="R3" s="53">
        <f ca="1">IFERROR(__xludf.DUMMYFUNCTION("""COMPUTED_VALUE"""),3385.96988306283)</f>
        <v>3385.9698830628299</v>
      </c>
      <c r="S3" s="53">
        <f ca="1">IFERROR(__xludf.DUMMYFUNCTION("""COMPUTED_VALUE"""),3379.60314862827)</f>
        <v>3379.60314862827</v>
      </c>
      <c r="T3" s="53"/>
      <c r="U3" s="53"/>
      <c r="V3" s="53"/>
      <c r="W3" s="53"/>
      <c r="X3" s="53"/>
      <c r="Y3" s="53"/>
      <c r="Z3" s="53"/>
    </row>
    <row r="4" spans="1:26" ht="14.5" hidden="1" x14ac:dyDescent="0.35">
      <c r="A4" s="10" t="s">
        <v>146</v>
      </c>
      <c r="B4" s="175">
        <f ca="1">IFERROR(__xludf.DUMMYFUNCTION("IMPORTRANGE(""https://docs.google.com/spreadsheets/d/15DATFXlrV_2m6DgF3D4RmzewL4LTELVJeEZLGqbYM2M/edit?usp=drive_link"",""stec_tsr!C3:N3"")"),3400.69981804349)</f>
        <v>3400.6998180434898</v>
      </c>
      <c r="C4" s="53">
        <f ca="1">IFERROR(__xludf.DUMMYFUNCTION("""COMPUTED_VALUE"""),3370.86911281634)</f>
        <v>3370.86911281634</v>
      </c>
      <c r="D4" s="53">
        <f ca="1">IFERROR(__xludf.DUMMYFUNCTION("""COMPUTED_VALUE"""),3370.95020258506)</f>
        <v>3370.9502025850602</v>
      </c>
      <c r="E4" s="53">
        <f ca="1">IFERROR(__xludf.DUMMYFUNCTION("""COMPUTED_VALUE"""),3369.86968496953)</f>
        <v>3369.8696849695302</v>
      </c>
      <c r="F4" s="53">
        <f ca="1">IFERROR(__xludf.DUMMYFUNCTION("""COMPUTED_VALUE"""),3402.85024177982)</f>
        <v>3402.85024177982</v>
      </c>
      <c r="G4" s="53"/>
      <c r="H4" s="53"/>
      <c r="I4" s="53"/>
      <c r="J4" s="53"/>
      <c r="K4" s="53"/>
      <c r="L4" s="53"/>
      <c r="M4" s="53"/>
      <c r="N4" s="10" t="s">
        <v>146</v>
      </c>
      <c r="O4" s="175">
        <f ca="1">IFERROR(__xludf.DUMMYFUNCTION("IMPORTRANGE(""https://docs.google.com/spreadsheets/d/15DATFXlrV_2m6DgF3D4RmzewL4LTELVJeEZLGqbYM2M/edit?usp=drive_link"",""stec_tsr!O3:Z3"")"),3400.69981804349)</f>
        <v>3400.6998180434898</v>
      </c>
      <c r="P4" s="53">
        <f ca="1">IFERROR(__xludf.DUMMYFUNCTION("""COMPUTED_VALUE"""),3387.59031145656)</f>
        <v>3387.5903114565599</v>
      </c>
      <c r="Q4" s="53">
        <f ca="1">IFERROR(__xludf.DUMMYFUNCTION("""COMPUTED_VALUE"""),3381.85605807067)</f>
        <v>3381.8560580706699</v>
      </c>
      <c r="R4" s="53">
        <f ca="1">IFERROR(__xludf.DUMMYFUNCTION("""COMPUTED_VALUE"""),3378.93392902187)</f>
        <v>3378.93392902187</v>
      </c>
      <c r="S4" s="53">
        <f ca="1">IFERROR(__xludf.DUMMYFUNCTION("""COMPUTED_VALUE"""),3383.41990074092)</f>
        <v>3383.4199007409202</v>
      </c>
      <c r="T4" s="53"/>
      <c r="U4" s="53"/>
      <c r="V4" s="53"/>
      <c r="W4" s="53"/>
      <c r="X4" s="53"/>
      <c r="Y4" s="53"/>
      <c r="Z4" s="53"/>
    </row>
    <row r="5" spans="1:26" ht="14.5" hidden="1" x14ac:dyDescent="0.35">
      <c r="A5" s="10" t="s">
        <v>147</v>
      </c>
      <c r="B5" s="175">
        <f ca="1">IFERROR(__xludf.DUMMYFUNCTION("IMPORTRANGE(""https://docs.google.com/spreadsheets/d/15DATFXlrV_2m6DgF3D4RmzewL4LTELVJeEZLGqbYM2M/edit?usp=drive_link"",""stec_tsr!C4:N4"")"),3620.18125977935)</f>
        <v>3620.1812597793501</v>
      </c>
      <c r="C5" s="53">
        <f ca="1">IFERROR(__xludf.DUMMYFUNCTION("""COMPUTED_VALUE"""),3436.32566428926)</f>
        <v>3436.3256642892602</v>
      </c>
      <c r="D5" s="53">
        <f ca="1">IFERROR(__xludf.DUMMYFUNCTION("""COMPUTED_VALUE"""),3330.45814820879)</f>
        <v>3330.4581482087901</v>
      </c>
      <c r="E5" s="53">
        <f ca="1">IFERROR(__xludf.DUMMYFUNCTION("""COMPUTED_VALUE"""),3339.86179242211)</f>
        <v>3339.8617924221098</v>
      </c>
      <c r="F5" s="53">
        <f ca="1">IFERROR(__xludf.DUMMYFUNCTION("""COMPUTED_VALUE"""),3516.57748399218)</f>
        <v>3516.5774839921801</v>
      </c>
      <c r="G5" s="53"/>
      <c r="H5" s="53"/>
      <c r="I5" s="53"/>
      <c r="J5" s="53"/>
      <c r="K5" s="53"/>
      <c r="L5" s="53"/>
      <c r="M5" s="53"/>
      <c r="N5" s="10" t="s">
        <v>147</v>
      </c>
      <c r="O5" s="175">
        <f ca="1">IFERROR(__xludf.DUMMYFUNCTION("IMPORTRANGE(""https://docs.google.com/spreadsheets/d/15DATFXlrV_2m6DgF3D4RmzewL4LTELVJeEZLGqbYM2M/edit?usp=drive_link"",""stec_tsr!O4:Z4"")"),3620.18125977935)</f>
        <v>3620.1812597793501</v>
      </c>
      <c r="P5" s="53">
        <f ca="1">IFERROR(__xludf.DUMMYFUNCTION("""COMPUTED_VALUE"""),3517.78901797158)</f>
        <v>3517.7890179715801</v>
      </c>
      <c r="Q5" s="53">
        <f ca="1">IFERROR(__xludf.DUMMYFUNCTION("""COMPUTED_VALUE"""),3439.79198372823)</f>
        <v>3439.7919837282302</v>
      </c>
      <c r="R5" s="53">
        <f ca="1">IFERROR(__xludf.DUMMYFUNCTION("""COMPUTED_VALUE"""),3416.99828326991)</f>
        <v>3416.9982832699102</v>
      </c>
      <c r="S5" s="53">
        <f ca="1">IFERROR(__xludf.DUMMYFUNCTION("""COMPUTED_VALUE"""),3433.81469032648)</f>
        <v>3433.8146903264801</v>
      </c>
      <c r="T5" s="53"/>
      <c r="U5" s="53"/>
      <c r="V5" s="53"/>
      <c r="W5" s="53"/>
      <c r="X5" s="53"/>
      <c r="Y5" s="53"/>
      <c r="Z5" s="53"/>
    </row>
    <row r="6" spans="1:26" ht="14.5" hidden="1" x14ac:dyDescent="0.35">
      <c r="A6" s="10" t="s">
        <v>148</v>
      </c>
      <c r="B6" s="175">
        <f ca="1">IFERROR(__xludf.DUMMYFUNCTION("IMPORTRANGE(""https://docs.google.com/spreadsheets/d/15DATFXlrV_2m6DgF3D4RmzewL4LTELVJeEZLGqbYM2M/edit?usp=drive_link"",""stec_tsr!C5:N5"")"),3248.99923531484)</f>
        <v>3248.99923531484</v>
      </c>
      <c r="C6" s="53">
        <f ca="1">IFERROR(__xludf.DUMMYFUNCTION("""COMPUTED_VALUE"""),3260.99999999999)</f>
        <v>3260.99999999999</v>
      </c>
      <c r="D6" s="53">
        <f ca="1">IFERROR(__xludf.DUMMYFUNCTION("""COMPUTED_VALUE"""),3280.99999999999)</f>
        <v>3280.99999999999</v>
      </c>
      <c r="E6" s="53">
        <f ca="1">IFERROR(__xludf.DUMMYFUNCTION("""COMPUTED_VALUE"""),3259)</f>
        <v>3259</v>
      </c>
      <c r="F6" s="53">
        <f ca="1">IFERROR(__xludf.DUMMYFUNCTION("""COMPUTED_VALUE"""),3268.99995581214)</f>
        <v>3268.9999558121399</v>
      </c>
      <c r="G6" s="53"/>
      <c r="H6" s="53"/>
      <c r="I6" s="53"/>
      <c r="J6" s="53"/>
      <c r="K6" s="53"/>
      <c r="L6" s="53"/>
      <c r="M6" s="53"/>
      <c r="N6" s="10" t="s">
        <v>148</v>
      </c>
      <c r="O6" s="175">
        <f ca="1">IFERROR(__xludf.DUMMYFUNCTION("IMPORTRANGE(""https://docs.google.com/spreadsheets/d/15DATFXlrV_2m6DgF3D4RmzewL4LTELVJeEZLGqbYM2M/edit?usp=drive_link"",""stec_tsr!O5:Z5"")"),3248.99923531484)</f>
        <v>3248.99923531484</v>
      </c>
      <c r="P6" s="53">
        <f ca="1">IFERROR(__xludf.DUMMYFUNCTION("""COMPUTED_VALUE"""),3254.62608407835)</f>
        <v>3254.6260840783498</v>
      </c>
      <c r="Q6" s="53">
        <f ca="1">IFERROR(__xludf.DUMMYFUNCTION("""COMPUTED_VALUE"""),3261.79093489784)</f>
        <v>3261.7909348978401</v>
      </c>
      <c r="R6" s="53">
        <f ca="1">IFERROR(__xludf.DUMMYFUNCTION("""COMPUTED_VALUE"""),3261.0457970917)</f>
        <v>3261.0457970917</v>
      </c>
      <c r="S6" s="53">
        <f ca="1">IFERROR(__xludf.DUMMYFUNCTION("""COMPUTED_VALUE"""),3262.74756997698)</f>
        <v>3262.7475699769798</v>
      </c>
      <c r="T6" s="53"/>
      <c r="U6" s="53"/>
      <c r="V6" s="53"/>
      <c r="W6" s="53"/>
      <c r="X6" s="53"/>
      <c r="Y6" s="53"/>
      <c r="Z6" s="53"/>
    </row>
    <row r="7" spans="1:26" ht="14.5" hidden="1" x14ac:dyDescent="0.35">
      <c r="A7" s="10" t="s">
        <v>149</v>
      </c>
      <c r="B7" s="175">
        <f ca="1">IFERROR(__xludf.DUMMYFUNCTION("IMPORTRANGE(""https://docs.google.com/spreadsheets/d/15DATFXlrV_2m6DgF3D4RmzewL4LTELVJeEZLGqbYM2M/edit?usp=drive_link"",""stec_tsr!C6:N6"")"),3251.99999999999)</f>
        <v>3251.99999999999</v>
      </c>
      <c r="C7" s="53">
        <f ca="1">IFERROR(__xludf.DUMMYFUNCTION("""COMPUTED_VALUE"""),3267)</f>
        <v>3267</v>
      </c>
      <c r="D7" s="53">
        <f ca="1">IFERROR(__xludf.DUMMYFUNCTION("""COMPUTED_VALUE"""),3263.99999999999)</f>
        <v>3263.99999999999</v>
      </c>
      <c r="E7" s="53">
        <f ca="1">IFERROR(__xludf.DUMMYFUNCTION("""COMPUTED_VALUE"""),3268.99999999999)</f>
        <v>3268.99999999999</v>
      </c>
      <c r="F7" s="53">
        <f ca="1">IFERROR(__xludf.DUMMYFUNCTION("""COMPUTED_VALUE"""),3302.0002026848)</f>
        <v>3302.0002026848001</v>
      </c>
      <c r="G7" s="53"/>
      <c r="H7" s="53"/>
      <c r="I7" s="53"/>
      <c r="J7" s="53"/>
      <c r="K7" s="53"/>
      <c r="L7" s="53"/>
      <c r="M7" s="53"/>
      <c r="N7" s="10" t="s">
        <v>149</v>
      </c>
      <c r="O7" s="175">
        <f ca="1">IFERROR(__xludf.DUMMYFUNCTION("IMPORTRANGE(""https://docs.google.com/spreadsheets/d/15DATFXlrV_2m6DgF3D4RmzewL4LTELVJeEZLGqbYM2M/edit?usp=drive_link"",""stec_tsr!O6:Z6"")"),3251.99999999999)</f>
        <v>3251.99999999999</v>
      </c>
      <c r="P7" s="53">
        <f ca="1">IFERROR(__xludf.DUMMYFUNCTION("""COMPUTED_VALUE"""),3258.97921562253)</f>
        <v>3258.9792156225299</v>
      </c>
      <c r="Q7" s="53">
        <f ca="1">IFERROR(__xludf.DUMMYFUNCTION("""COMPUTED_VALUE"""),3260.73009489951)</f>
        <v>3260.7300948995098</v>
      </c>
      <c r="R7" s="53">
        <f ca="1">IFERROR(__xludf.DUMMYFUNCTION("""COMPUTED_VALUE"""),3262.77284385335)</f>
        <v>3262.77284385335</v>
      </c>
      <c r="S7" s="53">
        <f ca="1">IFERROR(__xludf.DUMMYFUNCTION("""COMPUTED_VALUE"""),3267.02773503292)</f>
        <v>3267.0277350329202</v>
      </c>
      <c r="T7" s="53"/>
      <c r="U7" s="53"/>
      <c r="V7" s="53"/>
      <c r="W7" s="53"/>
      <c r="X7" s="53"/>
      <c r="Y7" s="53"/>
      <c r="Z7" s="53"/>
    </row>
    <row r="8" spans="1:26" ht="14.5" hidden="1" x14ac:dyDescent="0.35">
      <c r="A8" s="10" t="s">
        <v>150</v>
      </c>
      <c r="B8" s="175">
        <f ca="1">IFERROR(__xludf.DUMMYFUNCTION("IMPORTRANGE(""https://docs.google.com/spreadsheets/d/15DATFXlrV_2m6DgF3D4RmzewL4LTELVJeEZLGqbYM2M/edit?usp=drive_link"",""stec_tsr!C7:N7"")"),3744.29437237015)</f>
        <v>3744.2943723701501</v>
      </c>
      <c r="C8" s="53">
        <f ca="1">IFERROR(__xludf.DUMMYFUNCTION("""COMPUTED_VALUE"""),3794.24498767104)</f>
        <v>3794.2449876710398</v>
      </c>
      <c r="D8" s="53">
        <f ca="1">IFERROR(__xludf.DUMMYFUNCTION("""COMPUTED_VALUE"""),3687.38590664217)</f>
        <v>3687.3859066421701</v>
      </c>
      <c r="E8" s="53">
        <f ca="1">IFERROR(__xludf.DUMMYFUNCTION("""COMPUTED_VALUE"""),3811.13431515099)</f>
        <v>3811.13431515099</v>
      </c>
      <c r="F8" s="53">
        <f ca="1">IFERROR(__xludf.DUMMYFUNCTION("""COMPUTED_VALUE"""),3809.00180854097)</f>
        <v>3809.0018085409702</v>
      </c>
      <c r="G8" s="53"/>
      <c r="H8" s="53"/>
      <c r="I8" s="53"/>
      <c r="J8" s="53"/>
      <c r="K8" s="53"/>
      <c r="L8" s="53"/>
      <c r="M8" s="53"/>
      <c r="N8" s="10" t="s">
        <v>150</v>
      </c>
      <c r="O8" s="175">
        <f ca="1">IFERROR(__xludf.DUMMYFUNCTION("IMPORTRANGE(""https://docs.google.com/spreadsheets/d/15DATFXlrV_2m6DgF3D4RmzewL4LTELVJeEZLGqbYM2M/edit?usp=drive_link"",""stec_tsr!O7:Z7"")"),3744.29437237015)</f>
        <v>3744.2943723701501</v>
      </c>
      <c r="P8" s="53">
        <f ca="1">IFERROR(__xludf.DUMMYFUNCTION("""COMPUTED_VALUE"""),3772.08464177713)</f>
        <v>3772.0846417771299</v>
      </c>
      <c r="Q8" s="53">
        <f ca="1">IFERROR(__xludf.DUMMYFUNCTION("""COMPUTED_VALUE"""),3735.96596438284)</f>
        <v>3735.96596438284</v>
      </c>
      <c r="R8" s="53">
        <f ca="1">IFERROR(__xludf.DUMMYFUNCTION("""COMPUTED_VALUE"""),3760.92918704586)</f>
        <v>3760.9291870458601</v>
      </c>
      <c r="S8" s="53">
        <f ca="1">IFERROR(__xludf.DUMMYFUNCTION("""COMPUTED_VALUE"""),3767.77563488429)</f>
        <v>3767.77563488429</v>
      </c>
      <c r="T8" s="53"/>
      <c r="U8" s="53"/>
      <c r="V8" s="53"/>
      <c r="W8" s="53"/>
      <c r="X8" s="53"/>
      <c r="Y8" s="53"/>
      <c r="Z8" s="53"/>
    </row>
    <row r="9" spans="1:26" ht="14.5" hidden="1" x14ac:dyDescent="0.35">
      <c r="A9" s="10" t="s">
        <v>151</v>
      </c>
      <c r="B9" s="175">
        <f ca="1">IFERROR(__xludf.DUMMYFUNCTION("IMPORTRANGE(""https://docs.google.com/spreadsheets/d/15DATFXlrV_2m6DgF3D4RmzewL4LTELVJeEZLGqbYM2M/edit?usp=drive_link"",""stec_tsr!C8:N8"")"),3398.35933663557)</f>
        <v>3398.3593366355699</v>
      </c>
      <c r="C9" s="53">
        <f ca="1">IFERROR(__xludf.DUMMYFUNCTION("""COMPUTED_VALUE"""),3378.85632426255)</f>
        <v>3378.8563242625501</v>
      </c>
      <c r="D9" s="53">
        <f ca="1">IFERROR(__xludf.DUMMYFUNCTION("""COMPUTED_VALUE"""),3354.72491802675)</f>
        <v>3354.7249180267499</v>
      </c>
      <c r="E9" s="53">
        <f ca="1">IFERROR(__xludf.DUMMYFUNCTION("""COMPUTED_VALUE"""),3377.75308719933)</f>
        <v>3377.7530871993299</v>
      </c>
      <c r="F9" s="53">
        <f ca="1">IFERROR(__xludf.DUMMYFUNCTION("""COMPUTED_VALUE"""),3408.04205425434)</f>
        <v>3408.0420542543402</v>
      </c>
      <c r="G9" s="53"/>
      <c r="H9" s="53"/>
      <c r="I9" s="53"/>
      <c r="J9" s="53"/>
      <c r="K9" s="53"/>
      <c r="L9" s="53"/>
      <c r="M9" s="53"/>
      <c r="N9" s="10" t="s">
        <v>151</v>
      </c>
      <c r="O9" s="175">
        <f ca="1">IFERROR(__xludf.DUMMYFUNCTION("IMPORTRANGE(""https://docs.google.com/spreadsheets/d/15DATFXlrV_2m6DgF3D4RmzewL4LTELVJeEZLGqbYM2M/edit?usp=drive_link"",""stec_tsr!O8:Z8"")"),3398.35933663557)</f>
        <v>3398.3593366355699</v>
      </c>
      <c r="P9" s="53">
        <f ca="1">IFERROR(__xludf.DUMMYFUNCTION("""COMPUTED_VALUE"""),3389.64133489166)</f>
        <v>3389.6413348916599</v>
      </c>
      <c r="Q9" s="53">
        <f ca="1">IFERROR(__xludf.DUMMYFUNCTION("""COMPUTED_VALUE"""),3378.00316913089)</f>
        <v>3378.00316913089</v>
      </c>
      <c r="R9" s="53">
        <f ca="1">IFERROR(__xludf.DUMMYFUNCTION("""COMPUTED_VALUE"""),3377.94106100152)</f>
        <v>3377.9410610015202</v>
      </c>
      <c r="S9" s="53">
        <f ca="1">IFERROR(__xludf.DUMMYFUNCTION("""COMPUTED_VALUE"""),3383.64387366557)</f>
        <v>3383.64387366557</v>
      </c>
      <c r="T9" s="53"/>
      <c r="U9" s="53"/>
      <c r="V9" s="53"/>
      <c r="W9" s="53"/>
      <c r="X9" s="53"/>
      <c r="Y9" s="53"/>
      <c r="Z9" s="53"/>
    </row>
    <row r="10" spans="1:26" ht="14.5" hidden="1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5" hidden="1" x14ac:dyDescent="0.35">
      <c r="A11" s="223" t="s">
        <v>210</v>
      </c>
      <c r="B11" s="221" t="s">
        <v>106</v>
      </c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23" t="s">
        <v>210</v>
      </c>
      <c r="O11" s="221" t="s">
        <v>106</v>
      </c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</row>
    <row r="12" spans="1:26" ht="14.5" hidden="1" x14ac:dyDescent="0.35">
      <c r="A12" s="219"/>
      <c r="B12" s="174" t="s">
        <v>4</v>
      </c>
      <c r="C12" s="174" t="s">
        <v>5</v>
      </c>
      <c r="D12" s="174" t="s">
        <v>6</v>
      </c>
      <c r="E12" s="174" t="s">
        <v>7</v>
      </c>
      <c r="F12" s="174" t="s">
        <v>8</v>
      </c>
      <c r="G12" s="174" t="s">
        <v>9</v>
      </c>
      <c r="H12" s="174" t="s">
        <v>10</v>
      </c>
      <c r="I12" s="174" t="s">
        <v>11</v>
      </c>
      <c r="J12" s="174" t="s">
        <v>12</v>
      </c>
      <c r="K12" s="174" t="s">
        <v>13</v>
      </c>
      <c r="L12" s="174" t="s">
        <v>14</v>
      </c>
      <c r="M12" s="174" t="s">
        <v>15</v>
      </c>
      <c r="N12" s="219"/>
      <c r="O12" s="174" t="s">
        <v>4</v>
      </c>
      <c r="P12" s="174" t="s">
        <v>5</v>
      </c>
      <c r="Q12" s="174" t="s">
        <v>6</v>
      </c>
      <c r="R12" s="174" t="s">
        <v>7</v>
      </c>
      <c r="S12" s="174" t="s">
        <v>8</v>
      </c>
      <c r="T12" s="174" t="s">
        <v>9</v>
      </c>
      <c r="U12" s="174" t="s">
        <v>10</v>
      </c>
      <c r="V12" s="174" t="s">
        <v>11</v>
      </c>
      <c r="W12" s="174" t="s">
        <v>12</v>
      </c>
      <c r="X12" s="174" t="s">
        <v>13</v>
      </c>
      <c r="Y12" s="174" t="s">
        <v>14</v>
      </c>
      <c r="Z12" s="174" t="s">
        <v>15</v>
      </c>
    </row>
    <row r="13" spans="1:26" ht="14.5" hidden="1" x14ac:dyDescent="0.35">
      <c r="A13" s="10" t="s">
        <v>145</v>
      </c>
      <c r="B13" s="176">
        <f ca="1">IFERROR(__xludf.DUMMYFUNCTION("IMPORTRANGE(""https://docs.google.com/spreadsheets/d/15DATFXlrV_2m6DgF3D4RmzewL4LTELVJeEZLGqbYM2M/edit?usp=drive_link"",""stec_tsr!C10:N10"")"),12.8282987500943)</f>
        <v>12.8282987500943</v>
      </c>
      <c r="C13" s="54">
        <f ca="1">IFERROR(__xludf.DUMMYFUNCTION("""COMPUTED_VALUE"""),24.1995487168806)</f>
        <v>24.199548716880599</v>
      </c>
      <c r="D13" s="54">
        <f ca="1">IFERROR(__xludf.DUMMYFUNCTION("""COMPUTED_VALUE"""),0)</f>
        <v>0</v>
      </c>
      <c r="E13" s="54">
        <f ca="1">IFERROR(__xludf.DUMMYFUNCTION("""COMPUTED_VALUE"""),15.2634261797643)</f>
        <v>15.2634261797643</v>
      </c>
      <c r="F13" s="54">
        <f ca="1">IFERROR(__xludf.DUMMYFUNCTION("""COMPUTED_VALUE"""),17.9414965012472)</f>
        <v>17.941496501247201</v>
      </c>
      <c r="G13" s="54"/>
      <c r="H13" s="54"/>
      <c r="I13" s="54"/>
      <c r="J13" s="54"/>
      <c r="K13" s="54"/>
      <c r="L13" s="54"/>
      <c r="M13" s="54"/>
      <c r="N13" s="10" t="s">
        <v>145</v>
      </c>
      <c r="O13" s="176">
        <f ca="1">IFERROR(__xludf.DUMMYFUNCTION("IMPORTRANGE(""https://docs.google.com/spreadsheets/d/15DATFXlrV_2m6DgF3D4RmzewL4LTELVJeEZLGqbYM2M/edit?usp=drive_link"",""stec_tsr!O10:Z10"")"),12.8282987500943)</f>
        <v>12.8282987500943</v>
      </c>
      <c r="P13" s="54">
        <f ca="1">IFERROR(__xludf.DUMMYFUNCTION("""COMPUTED_VALUE"""),14.1858489356567)</f>
        <v>14.185848935656701</v>
      </c>
      <c r="Q13" s="54">
        <f ca="1">IFERROR(__xludf.DUMMYFUNCTION("""COMPUTED_VALUE"""),14.1858489356567)</f>
        <v>14.185848935656701</v>
      </c>
      <c r="R13" s="54">
        <f ca="1">IFERROR(__xludf.DUMMYFUNCTION("""COMPUTED_VALUE"""),14.4174760613668)</f>
        <v>14.4174760613668</v>
      </c>
      <c r="S13" s="54">
        <f ca="1">IFERROR(__xludf.DUMMYFUNCTION("""COMPUTED_VALUE"""),15.7888082592534)</f>
        <v>15.7888082592534</v>
      </c>
      <c r="T13" s="54"/>
      <c r="U13" s="54"/>
      <c r="V13" s="54"/>
      <c r="W13" s="54"/>
      <c r="X13" s="54"/>
      <c r="Y13" s="54"/>
      <c r="Z13" s="54"/>
    </row>
    <row r="14" spans="1:26" ht="14.5" hidden="1" x14ac:dyDescent="0.35">
      <c r="A14" s="10" t="s">
        <v>146</v>
      </c>
      <c r="B14" s="176">
        <f ca="1">IFERROR(__xludf.DUMMYFUNCTION("IMPORTRANGE(""https://docs.google.com/spreadsheets/d/15DATFXlrV_2m6DgF3D4RmzewL4LTELVJeEZLGqbYM2M/edit?usp=drive_link"",""stec_tsr!C11:N11"")"),20.1408952578366)</f>
        <v>20.140895257836601</v>
      </c>
      <c r="C14" s="54">
        <f ca="1">IFERROR(__xludf.DUMMYFUNCTION("""COMPUTED_VALUE"""),18.7387893401918)</f>
        <v>18.738789340191801</v>
      </c>
      <c r="D14" s="54">
        <f ca="1">IFERROR(__xludf.DUMMYFUNCTION("""COMPUTED_VALUE"""),22.6517079511375)</f>
        <v>22.651707951137499</v>
      </c>
      <c r="E14" s="54">
        <f ca="1">IFERROR(__xludf.DUMMYFUNCTION("""COMPUTED_VALUE"""),19.5278024516988)</f>
        <v>19.5278024516988</v>
      </c>
      <c r="F14" s="54">
        <f ca="1">IFERROR(__xludf.DUMMYFUNCTION("""COMPUTED_VALUE"""),20.3936313440609)</f>
        <v>20.3936313440609</v>
      </c>
      <c r="G14" s="54"/>
      <c r="H14" s="54"/>
      <c r="I14" s="54"/>
      <c r="J14" s="54"/>
      <c r="K14" s="54"/>
      <c r="L14" s="54"/>
      <c r="M14" s="54"/>
      <c r="N14" s="10" t="s">
        <v>146</v>
      </c>
      <c r="O14" s="176">
        <f ca="1">IFERROR(__xludf.DUMMYFUNCTION("IMPORTRANGE(""https://docs.google.com/spreadsheets/d/15DATFXlrV_2m6DgF3D4RmzewL4LTELVJeEZLGqbYM2M/edit?usp=drive_link"",""stec_tsr!O11:Z11"")"),20.1408952578366)</f>
        <v>20.140895257836601</v>
      </c>
      <c r="P14" s="54">
        <f ca="1">IFERROR(__xludf.DUMMYFUNCTION("""COMPUTED_VALUE"""),19.5277623086929)</f>
        <v>19.5277623086929</v>
      </c>
      <c r="Q14" s="54">
        <f ca="1">IFERROR(__xludf.DUMMYFUNCTION("""COMPUTED_VALUE"""),20.6008634524342)</f>
        <v>20.600863452434201</v>
      </c>
      <c r="R14" s="54">
        <f ca="1">IFERROR(__xludf.DUMMYFUNCTION("""COMPUTED_VALUE"""),20.3399662526279)</f>
        <v>20.339966252627899</v>
      </c>
      <c r="S14" s="54">
        <f ca="1">IFERROR(__xludf.DUMMYFUNCTION("""COMPUTED_VALUE"""),20.3500899957698)</f>
        <v>20.3500899957698</v>
      </c>
      <c r="T14" s="54"/>
      <c r="U14" s="54"/>
      <c r="V14" s="54"/>
      <c r="W14" s="54"/>
      <c r="X14" s="54"/>
      <c r="Y14" s="54"/>
      <c r="Z14" s="54"/>
    </row>
    <row r="15" spans="1:26" ht="14.5" hidden="1" x14ac:dyDescent="0.35">
      <c r="A15" s="10" t="s">
        <v>147</v>
      </c>
      <c r="B15" s="176">
        <f ca="1">IFERROR(__xludf.DUMMYFUNCTION("IMPORTRANGE(""https://docs.google.com/spreadsheets/d/15DATFXlrV_2m6DgF3D4RmzewL4LTELVJeEZLGqbYM2M/edit?usp=drive_link"",""stec_tsr!C12:N12"")"),18.3315294343743)</f>
        <v>18.3315294343743</v>
      </c>
      <c r="C15" s="54">
        <f ca="1">IFERROR(__xludf.DUMMYFUNCTION("""COMPUTED_VALUE"""),16.1193161425897)</f>
        <v>16.1193161425897</v>
      </c>
      <c r="D15" s="54">
        <f ca="1">IFERROR(__xludf.DUMMYFUNCTION("""COMPUTED_VALUE"""),15.8995371532295)</f>
        <v>15.899537153229501</v>
      </c>
      <c r="E15" s="54">
        <f ca="1">IFERROR(__xludf.DUMMYFUNCTION("""COMPUTED_VALUE"""),10.2861922806619)</f>
        <v>10.286192280661901</v>
      </c>
      <c r="F15" s="54">
        <f ca="1">IFERROR(__xludf.DUMMYFUNCTION("""COMPUTED_VALUE"""),17.0091838952886)</f>
        <v>17.009183895288601</v>
      </c>
      <c r="G15" s="54"/>
      <c r="H15" s="54"/>
      <c r="I15" s="54"/>
      <c r="J15" s="54"/>
      <c r="K15" s="54"/>
      <c r="L15" s="54"/>
      <c r="M15" s="54"/>
      <c r="N15" s="10" t="s">
        <v>147</v>
      </c>
      <c r="O15" s="176">
        <f ca="1">IFERROR(__xludf.DUMMYFUNCTION("IMPORTRANGE(""https://docs.google.com/spreadsheets/d/15DATFXlrV_2m6DgF3D4RmzewL4LTELVJeEZLGqbYM2M/edit?usp=drive_link"",""stec_tsr!O12:Z12"")"),18.3315294343743)</f>
        <v>18.3315294343743</v>
      </c>
      <c r="P15" s="54">
        <f ca="1">IFERROR(__xludf.DUMMYFUNCTION("""COMPUTED_VALUE"""),17.1280415454641)</f>
        <v>17.1280415454641</v>
      </c>
      <c r="Q15" s="54">
        <f ca="1">IFERROR(__xludf.DUMMYFUNCTION("""COMPUTED_VALUE"""),16.6327997905351)</f>
        <v>16.632799790535099</v>
      </c>
      <c r="R15" s="54">
        <f ca="1">IFERROR(__xludf.DUMMYFUNCTION("""COMPUTED_VALUE"""),15.2178420296328)</f>
        <v>15.2178420296328</v>
      </c>
      <c r="S15" s="54">
        <f ca="1">IFERROR(__xludf.DUMMYFUNCTION("""COMPUTED_VALUE"""),15.5276455782268)</f>
        <v>15.527645578226799</v>
      </c>
      <c r="T15" s="54"/>
      <c r="U15" s="54"/>
      <c r="V15" s="54"/>
      <c r="W15" s="54"/>
      <c r="X15" s="54"/>
      <c r="Y15" s="54"/>
      <c r="Z15" s="54"/>
    </row>
    <row r="16" spans="1:26" ht="14.5" hidden="1" x14ac:dyDescent="0.35">
      <c r="A16" s="10" t="s">
        <v>148</v>
      </c>
      <c r="B16" s="176">
        <f ca="1">IFERROR(__xludf.DUMMYFUNCTION("IMPORTRANGE(""https://docs.google.com/spreadsheets/d/15DATFXlrV_2m6DgF3D4RmzewL4LTELVJeEZLGqbYM2M/edit?usp=drive_link"",""stec_tsr!C13:N13"")"),8.15464633641855)</f>
        <v>8.1546463364185495</v>
      </c>
      <c r="C16" s="54">
        <f ca="1">IFERROR(__xludf.DUMMYFUNCTION("""COMPUTED_VALUE"""),8.55329121159318)</f>
        <v>8.5532912115931801</v>
      </c>
      <c r="D16" s="54">
        <f ca="1">IFERROR(__xludf.DUMMYFUNCTION("""COMPUTED_VALUE"""),8.27850503298175)</f>
        <v>8.2785050329817498</v>
      </c>
      <c r="E16" s="54">
        <f ca="1">IFERROR(__xludf.DUMMYFUNCTION("""COMPUTED_VALUE"""),8.50041214153828)</f>
        <v>8.5004121415382805</v>
      </c>
      <c r="F16" s="54">
        <f ca="1">IFERROR(__xludf.DUMMYFUNCTION("""COMPUTED_VALUE"""),7.56610280934931)</f>
        <v>7.5661028093493101</v>
      </c>
      <c r="G16" s="54"/>
      <c r="H16" s="54"/>
      <c r="I16" s="54"/>
      <c r="J16" s="54"/>
      <c r="K16" s="54"/>
      <c r="L16" s="54"/>
      <c r="M16" s="54"/>
      <c r="N16" s="10" t="s">
        <v>148</v>
      </c>
      <c r="O16" s="176">
        <f ca="1">IFERROR(__xludf.DUMMYFUNCTION("IMPORTRANGE(""https://docs.google.com/spreadsheets/d/15DATFXlrV_2m6DgF3D4RmzewL4LTELVJeEZLGqbYM2M/edit?usp=drive_link"",""stec_tsr!O13:Z13"")"),8.15464633641855)</f>
        <v>8.1546463364185495</v>
      </c>
      <c r="P16" s="54">
        <f ca="1">IFERROR(__xludf.DUMMYFUNCTION("""COMPUTED_VALUE"""),8.34192668362462)</f>
        <v>8.3419266836246209</v>
      </c>
      <c r="Q16" s="54">
        <f ca="1">IFERROR(__xludf.DUMMYFUNCTION("""COMPUTED_VALUE"""),8.32459582079434)</f>
        <v>8.3245958207943396</v>
      </c>
      <c r="R16" s="54">
        <f ca="1">IFERROR(__xludf.DUMMYFUNCTION("""COMPUTED_VALUE"""),8.37150669676749)</f>
        <v>8.37150669676749</v>
      </c>
      <c r="S16" s="54">
        <f ca="1">IFERROR(__xludf.DUMMYFUNCTION("""COMPUTED_VALUE"""),8.19886229189019)</f>
        <v>8.1988622918901903</v>
      </c>
      <c r="T16" s="54"/>
      <c r="U16" s="54"/>
      <c r="V16" s="54"/>
      <c r="W16" s="54"/>
      <c r="X16" s="54"/>
      <c r="Y16" s="54"/>
      <c r="Z16" s="54"/>
    </row>
    <row r="17" spans="1:26" ht="14.5" hidden="1" x14ac:dyDescent="0.35">
      <c r="A17" s="10" t="s">
        <v>149</v>
      </c>
      <c r="B17" s="176">
        <f ca="1">IFERROR(__xludf.DUMMYFUNCTION("IMPORTRANGE(""https://docs.google.com/spreadsheets/d/15DATFXlrV_2m6DgF3D4RmzewL4LTELVJeEZLGqbYM2M/edit?usp=drive_link"",""stec_tsr!C14:N14"")"),8.04534934563498)</f>
        <v>8.0453493456349801</v>
      </c>
      <c r="C17" s="54">
        <f ca="1">IFERROR(__xludf.DUMMYFUNCTION("""COMPUTED_VALUE"""),8.36267415046164)</f>
        <v>8.3626741504616398</v>
      </c>
      <c r="D17" s="54">
        <f ca="1">IFERROR(__xludf.DUMMYFUNCTION("""COMPUTED_VALUE"""),8.01250968252993)</f>
        <v>8.0125096825299291</v>
      </c>
      <c r="E17" s="54">
        <f ca="1">IFERROR(__xludf.DUMMYFUNCTION("""COMPUTED_VALUE"""),7.58016243703069)</f>
        <v>7.5801624370306904</v>
      </c>
      <c r="F17" s="54">
        <f ca="1">IFERROR(__xludf.DUMMYFUNCTION("""COMPUTED_VALUE"""),8.28708993381247)</f>
        <v>8.2870899338124708</v>
      </c>
      <c r="G17" s="54"/>
      <c r="H17" s="54"/>
      <c r="I17" s="54"/>
      <c r="J17" s="54"/>
      <c r="K17" s="54"/>
      <c r="L17" s="54"/>
      <c r="M17" s="54"/>
      <c r="N17" s="10" t="s">
        <v>149</v>
      </c>
      <c r="O17" s="176">
        <f ca="1">IFERROR(__xludf.DUMMYFUNCTION("IMPORTRANGE(""https://docs.google.com/spreadsheets/d/15DATFXlrV_2m6DgF3D4RmzewL4LTELVJeEZLGqbYM2M/edit?usp=drive_link"",""stec_tsr!O14:Z14"")"),8.04534934563498)</f>
        <v>8.0453493456349801</v>
      </c>
      <c r="P17" s="54">
        <f ca="1">IFERROR(__xludf.DUMMYFUNCTION("""COMPUTED_VALUE"""),8.19335793597158)</f>
        <v>8.19335793597158</v>
      </c>
      <c r="Q17" s="54">
        <f ca="1">IFERROR(__xludf.DUMMYFUNCTION("""COMPUTED_VALUE"""),8.13022815985949)</f>
        <v>8.1302281598594899</v>
      </c>
      <c r="R17" s="54">
        <f ca="1">IFERROR(__xludf.DUMMYFUNCTION("""COMPUTED_VALUE"""),7.99409712836609)</f>
        <v>7.9940971283660902</v>
      </c>
      <c r="S17" s="54">
        <f ca="1">IFERROR(__xludf.DUMMYFUNCTION("""COMPUTED_VALUE"""),8.02621750429891)</f>
        <v>8.0262175042989092</v>
      </c>
      <c r="T17" s="54"/>
      <c r="U17" s="54"/>
      <c r="V17" s="54"/>
      <c r="W17" s="54"/>
      <c r="X17" s="54"/>
      <c r="Y17" s="54"/>
      <c r="Z17" s="54"/>
    </row>
    <row r="18" spans="1:26" ht="14.5" hidden="1" x14ac:dyDescent="0.35">
      <c r="A18" s="10" t="s">
        <v>150</v>
      </c>
      <c r="B18" s="176">
        <f ca="1">IFERROR(__xludf.DUMMYFUNCTION("IMPORTRANGE(""https://docs.google.com/spreadsheets/d/15DATFXlrV_2m6DgF3D4RmzewL4LTELVJeEZLGqbYM2M/edit?usp=drive_link"",""stec_tsr!C15:N15"")"),8.19850487911314)</f>
        <v>8.1985048791131394</v>
      </c>
      <c r="C18" s="54">
        <f ca="1">IFERROR(__xludf.DUMMYFUNCTION("""COMPUTED_VALUE"""),7.45762003243052)</f>
        <v>7.45762003243052</v>
      </c>
      <c r="D18" s="54">
        <f ca="1">IFERROR(__xludf.DUMMYFUNCTION("""COMPUTED_VALUE"""),9.66291412767389)</f>
        <v>9.6629141276738899</v>
      </c>
      <c r="E18" s="54">
        <f ca="1">IFERROR(__xludf.DUMMYFUNCTION("""COMPUTED_VALUE"""),6.2035742336278)</f>
        <v>6.2035742336278004</v>
      </c>
      <c r="F18" s="54">
        <f ca="1">IFERROR(__xludf.DUMMYFUNCTION("""COMPUTED_VALUE"""),8.62769082015605)</f>
        <v>8.6276908201560492</v>
      </c>
      <c r="G18" s="54"/>
      <c r="H18" s="54"/>
      <c r="I18" s="54"/>
      <c r="J18" s="54"/>
      <c r="K18" s="54"/>
      <c r="L18" s="54"/>
      <c r="M18" s="54"/>
      <c r="N18" s="10" t="s">
        <v>150</v>
      </c>
      <c r="O18" s="176">
        <f ca="1">IFERROR(__xludf.DUMMYFUNCTION("IMPORTRANGE(""https://docs.google.com/spreadsheets/d/15DATFXlrV_2m6DgF3D4RmzewL4LTELVJeEZLGqbYM2M/edit?usp=drive_link"",""stec_tsr!O15:Z15"")"),8.19850487911314)</f>
        <v>8.1985048791131394</v>
      </c>
      <c r="P18" s="54">
        <f ca="1">IFERROR(__xludf.DUMMYFUNCTION("""COMPUTED_VALUE"""),7.78388839297162)</f>
        <v>7.7838883929716198</v>
      </c>
      <c r="Q18" s="54">
        <f ca="1">IFERROR(__xludf.DUMMYFUNCTION("""COMPUTED_VALUE"""),8.57475515295773)</f>
        <v>8.5747551529577297</v>
      </c>
      <c r="R18" s="54">
        <f ca="1">IFERROR(__xludf.DUMMYFUNCTION("""COMPUTED_VALUE"""),7.77677990782623)</f>
        <v>7.7767799078262296</v>
      </c>
      <c r="S18" s="54">
        <f ca="1">IFERROR(__xludf.DUMMYFUNCTION("""COMPUTED_VALUE"""),7.89929165591414)</f>
        <v>7.8992916559141397</v>
      </c>
      <c r="T18" s="54"/>
      <c r="U18" s="54"/>
      <c r="V18" s="54"/>
      <c r="W18" s="54"/>
      <c r="X18" s="54"/>
      <c r="Y18" s="54"/>
      <c r="Z18" s="54"/>
    </row>
    <row r="19" spans="1:26" ht="14.5" hidden="1" x14ac:dyDescent="0.35">
      <c r="A19" s="10" t="s">
        <v>151</v>
      </c>
      <c r="B19" s="176">
        <f ca="1">IFERROR(__xludf.DUMMYFUNCTION("IMPORTRANGE(""https://docs.google.com/spreadsheets/d/15DATFXlrV_2m6DgF3D4RmzewL4LTELVJeEZLGqbYM2M/edit?usp=drive_link"",""stec_tsr!C16:N16"")"),14.3637675366233)</f>
        <v>14.3637675366233</v>
      </c>
      <c r="C19" s="54">
        <f ca="1">IFERROR(__xludf.DUMMYFUNCTION("""COMPUTED_VALUE"""),13.868805404047)</f>
        <v>13.868805404047</v>
      </c>
      <c r="D19" s="54">
        <f ca="1">IFERROR(__xludf.DUMMYFUNCTION("""COMPUTED_VALUE"""),15.1796066045883)</f>
        <v>15.179606604588299</v>
      </c>
      <c r="E19" s="54">
        <f ca="1">IFERROR(__xludf.DUMMYFUNCTION("""COMPUTED_VALUE"""),12.1331803944403)</f>
        <v>12.1331803944403</v>
      </c>
      <c r="F19" s="54">
        <f ca="1">IFERROR(__xludf.DUMMYFUNCTION("""COMPUTED_VALUE"""),15.3279361104729)</f>
        <v>15.3279361104729</v>
      </c>
      <c r="G19" s="54"/>
      <c r="H19" s="54"/>
      <c r="I19" s="54"/>
      <c r="J19" s="54"/>
      <c r="K19" s="54"/>
      <c r="L19" s="54"/>
      <c r="M19" s="54"/>
      <c r="N19" s="10" t="s">
        <v>151</v>
      </c>
      <c r="O19" s="176">
        <f ca="1">IFERROR(__xludf.DUMMYFUNCTION("IMPORTRANGE(""https://docs.google.com/spreadsheets/d/15DATFXlrV_2m6DgF3D4RmzewL4LTELVJeEZLGqbYM2M/edit?usp=drive_link"",""stec_tsr!O16:Z16"")"),14.3637675366233)</f>
        <v>14.3637675366233</v>
      </c>
      <c r="P19" s="54">
        <f ca="1">IFERROR(__xludf.DUMMYFUNCTION("""COMPUTED_VALUE"""),14.143219494096)</f>
        <v>14.143219494096</v>
      </c>
      <c r="Q19" s="54">
        <f ca="1">IFERROR(__xludf.DUMMYFUNCTION("""COMPUTED_VALUE"""),14.4862846684291)</f>
        <v>14.4862846684291</v>
      </c>
      <c r="R19" s="54">
        <f ca="1">IFERROR(__xludf.DUMMYFUNCTION("""COMPUTED_VALUE"""),13.9019229220855)</f>
        <v>13.9019229220855</v>
      </c>
      <c r="S19" s="54">
        <f ca="1">IFERROR(__xludf.DUMMYFUNCTION("""COMPUTED_VALUE"""),14.1740376942004)</f>
        <v>14.1740376942004</v>
      </c>
      <c r="T19" s="54"/>
      <c r="U19" s="54"/>
      <c r="V19" s="54"/>
      <c r="W19" s="54"/>
      <c r="X19" s="54"/>
      <c r="Y19" s="54"/>
      <c r="Z19" s="54"/>
    </row>
    <row r="20" spans="1:26" ht="14.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4" customHeight="1" x14ac:dyDescent="0.35">
      <c r="A21" s="222" t="s">
        <v>211</v>
      </c>
      <c r="B21" s="221" t="s">
        <v>106</v>
      </c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22" t="s">
        <v>211</v>
      </c>
      <c r="O21" s="221" t="s">
        <v>106</v>
      </c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</row>
    <row r="22" spans="1:26" ht="24" customHeight="1" x14ac:dyDescent="0.35">
      <c r="A22" s="219"/>
      <c r="B22" s="174" t="s">
        <v>4</v>
      </c>
      <c r="C22" s="174" t="s">
        <v>5</v>
      </c>
      <c r="D22" s="174" t="s">
        <v>6</v>
      </c>
      <c r="E22" s="174" t="s">
        <v>7</v>
      </c>
      <c r="F22" s="174" t="s">
        <v>8</v>
      </c>
      <c r="G22" s="174" t="s">
        <v>9</v>
      </c>
      <c r="H22" s="174" t="s">
        <v>10</v>
      </c>
      <c r="I22" s="174" t="s">
        <v>11</v>
      </c>
      <c r="J22" s="174" t="s">
        <v>12</v>
      </c>
      <c r="K22" s="174" t="s">
        <v>13</v>
      </c>
      <c r="L22" s="174" t="s">
        <v>14</v>
      </c>
      <c r="M22" s="174" t="s">
        <v>15</v>
      </c>
      <c r="N22" s="219"/>
      <c r="O22" s="174" t="s">
        <v>4</v>
      </c>
      <c r="P22" s="174" t="s">
        <v>5</v>
      </c>
      <c r="Q22" s="174" t="s">
        <v>6</v>
      </c>
      <c r="R22" s="174" t="s">
        <v>7</v>
      </c>
      <c r="S22" s="174" t="s">
        <v>8</v>
      </c>
      <c r="T22" s="174" t="s">
        <v>9</v>
      </c>
      <c r="U22" s="174" t="s">
        <v>10</v>
      </c>
      <c r="V22" s="174" t="s">
        <v>11</v>
      </c>
      <c r="W22" s="174" t="s">
        <v>12</v>
      </c>
      <c r="X22" s="174" t="s">
        <v>13</v>
      </c>
      <c r="Y22" s="174" t="s">
        <v>14</v>
      </c>
      <c r="Z22" s="174" t="s">
        <v>15</v>
      </c>
    </row>
    <row r="23" spans="1:26" ht="14.5" x14ac:dyDescent="0.35">
      <c r="A23" s="10" t="s">
        <v>145</v>
      </c>
      <c r="B23" s="175">
        <f t="shared" ref="B23:M23" si="0">B33*$B$30*(1-B43/100)</f>
        <v>280.81784593474447</v>
      </c>
      <c r="C23" s="175">
        <f t="shared" si="0"/>
        <v>241.42858674078775</v>
      </c>
      <c r="D23" s="175">
        <f t="shared" si="0"/>
        <v>0</v>
      </c>
      <c r="E23" s="175">
        <f t="shared" si="0"/>
        <v>284.03590139774593</v>
      </c>
      <c r="F23" s="175">
        <f t="shared" si="0"/>
        <v>265.0638847982371</v>
      </c>
      <c r="G23" s="175">
        <f t="shared" si="0"/>
        <v>256.65367036654277</v>
      </c>
      <c r="H23" s="175">
        <f t="shared" si="0"/>
        <v>269.36431897923683</v>
      </c>
      <c r="I23" s="175">
        <f t="shared" si="0"/>
        <v>260.01064986885058</v>
      </c>
      <c r="J23" s="175">
        <f t="shared" si="0"/>
        <v>256.65367036654277</v>
      </c>
      <c r="K23" s="175">
        <f t="shared" si="0"/>
        <v>256.65367036654277</v>
      </c>
      <c r="L23" s="175">
        <f t="shared" si="0"/>
        <v>269.36431897923683</v>
      </c>
      <c r="M23" s="175">
        <f t="shared" si="0"/>
        <v>256.65367036654277</v>
      </c>
      <c r="N23" s="10" t="s">
        <v>145</v>
      </c>
      <c r="O23" s="175">
        <f t="shared" ref="O23:Z23" si="1">O33*$B$30*(1-O43/100)</f>
        <v>280.81784593474447</v>
      </c>
      <c r="P23" s="175">
        <f t="shared" si="1"/>
        <v>276.10761746807464</v>
      </c>
      <c r="Q23" s="175">
        <f t="shared" si="1"/>
        <v>276.10761746807464</v>
      </c>
      <c r="R23" s="175">
        <f t="shared" si="1"/>
        <v>277.74636328870668</v>
      </c>
      <c r="S23" s="175">
        <f t="shared" si="1"/>
        <v>272.81579634987094</v>
      </c>
      <c r="T23" s="175">
        <f t="shared" si="1"/>
        <v>267.80604826789244</v>
      </c>
      <c r="U23" s="175">
        <f t="shared" si="1"/>
        <v>268.19533079392988</v>
      </c>
      <c r="V23" s="175">
        <f t="shared" si="1"/>
        <v>266.84874335898132</v>
      </c>
      <c r="W23" s="175">
        <f t="shared" si="1"/>
        <v>265.13851309753608</v>
      </c>
      <c r="X23" s="175">
        <f t="shared" si="1"/>
        <v>263.92601889495222</v>
      </c>
      <c r="Y23" s="175">
        <f t="shared" si="1"/>
        <v>264.61442805398764</v>
      </c>
      <c r="Z23" s="175">
        <f t="shared" si="1"/>
        <v>263.70623634898192</v>
      </c>
    </row>
    <row r="24" spans="1:26" ht="14.5" x14ac:dyDescent="0.35">
      <c r="A24" s="10" t="s">
        <v>146</v>
      </c>
      <c r="B24" s="175">
        <f t="shared" ref="B24:M24" si="2">B34*$B$30*(1-B44/100)</f>
        <v>260.33051829990688</v>
      </c>
      <c r="C24" s="175">
        <f t="shared" si="2"/>
        <v>262.55767365889795</v>
      </c>
      <c r="D24" s="175">
        <f t="shared" si="2"/>
        <v>249.92414542844892</v>
      </c>
      <c r="E24" s="175">
        <f t="shared" si="2"/>
        <v>259.92798939451791</v>
      </c>
      <c r="F24" s="175">
        <f t="shared" si="2"/>
        <v>259.66817057752633</v>
      </c>
      <c r="G24" s="175">
        <f t="shared" si="2"/>
        <v>279.87437208618371</v>
      </c>
      <c r="H24" s="175">
        <f t="shared" si="2"/>
        <v>266.40742422404406</v>
      </c>
      <c r="I24" s="175">
        <f t="shared" si="2"/>
        <v>266.40742422404406</v>
      </c>
      <c r="J24" s="175">
        <f t="shared" si="2"/>
        <v>266.40742422404406</v>
      </c>
      <c r="K24" s="175">
        <f t="shared" si="2"/>
        <v>266.40742422404406</v>
      </c>
      <c r="L24" s="175">
        <f t="shared" si="2"/>
        <v>266.40742422404406</v>
      </c>
      <c r="M24" s="175">
        <f t="shared" si="2"/>
        <v>267.77718803039062</v>
      </c>
      <c r="N24" s="10" t="s">
        <v>146</v>
      </c>
      <c r="O24" s="175">
        <f t="shared" ref="O24:Z24" si="3">O34*$B$30*(1-O44/100)</f>
        <v>260.33051829990688</v>
      </c>
      <c r="P24" s="175">
        <f t="shared" si="3"/>
        <v>261.31632880374679</v>
      </c>
      <c r="Q24" s="175">
        <f t="shared" si="3"/>
        <v>257.3850104467906</v>
      </c>
      <c r="R24" s="175">
        <f t="shared" si="3"/>
        <v>257.9987721366582</v>
      </c>
      <c r="S24" s="175">
        <f t="shared" si="3"/>
        <v>258.27176065352603</v>
      </c>
      <c r="T24" s="175">
        <f t="shared" si="3"/>
        <v>259.92259307644633</v>
      </c>
      <c r="U24" s="175">
        <f t="shared" si="3"/>
        <v>261.02004889626801</v>
      </c>
      <c r="V24" s="175">
        <f t="shared" si="3"/>
        <v>261.81343225693729</v>
      </c>
      <c r="W24" s="175">
        <f t="shared" si="3"/>
        <v>262.3905699124328</v>
      </c>
      <c r="X24" s="175">
        <f t="shared" si="3"/>
        <v>262.80452405963587</v>
      </c>
      <c r="Y24" s="175">
        <f t="shared" si="3"/>
        <v>263.13373780173981</v>
      </c>
      <c r="Z24" s="175">
        <f t="shared" si="3"/>
        <v>263.52169760682898</v>
      </c>
    </row>
    <row r="25" spans="1:26" ht="14.5" x14ac:dyDescent="0.35">
      <c r="A25" s="10" t="s">
        <v>147</v>
      </c>
      <c r="B25" s="175">
        <f t="shared" ref="B25:M25" si="4">B35*$B$30*(1-B45/100)</f>
        <v>283.37417669610181</v>
      </c>
      <c r="C25" s="175">
        <f t="shared" si="4"/>
        <v>276.24900483552375</v>
      </c>
      <c r="D25" s="175">
        <f t="shared" si="4"/>
        <v>268.42896357011949</v>
      </c>
      <c r="E25" s="175">
        <f t="shared" si="4"/>
        <v>287.19473155104174</v>
      </c>
      <c r="F25" s="175">
        <f t="shared" si="4"/>
        <v>279.76106857654941</v>
      </c>
      <c r="G25" s="175">
        <f t="shared" si="4"/>
        <v>270.76174490628426</v>
      </c>
      <c r="H25" s="175">
        <f t="shared" si="4"/>
        <v>270.76174490628426</v>
      </c>
      <c r="I25" s="175">
        <f t="shared" si="4"/>
        <v>270.76174490628426</v>
      </c>
      <c r="J25" s="175">
        <f t="shared" si="4"/>
        <v>270.76174490628426</v>
      </c>
      <c r="K25" s="175">
        <f t="shared" si="4"/>
        <v>270.76174490628426</v>
      </c>
      <c r="L25" s="175">
        <f t="shared" si="4"/>
        <v>270.76174490628426</v>
      </c>
      <c r="M25" s="175">
        <f t="shared" si="4"/>
        <v>272.36089536287778</v>
      </c>
      <c r="N25" s="10" t="s">
        <v>147</v>
      </c>
      <c r="O25" s="175">
        <f t="shared" ref="O25:Z25" si="5">O35*$B$30*(1-O45/100)</f>
        <v>283.37417669610181</v>
      </c>
      <c r="P25" s="175">
        <f t="shared" si="5"/>
        <v>279.43597635624081</v>
      </c>
      <c r="Q25" s="175">
        <f t="shared" si="5"/>
        <v>274.88901766227309</v>
      </c>
      <c r="R25" s="175">
        <f t="shared" si="5"/>
        <v>277.66908954751119</v>
      </c>
      <c r="S25" s="175">
        <f t="shared" si="5"/>
        <v>278.03017319652099</v>
      </c>
      <c r="T25" s="175">
        <f t="shared" si="5"/>
        <v>276.459125767611</v>
      </c>
      <c r="U25" s="175">
        <f t="shared" si="5"/>
        <v>275.45505596372436</v>
      </c>
      <c r="V25" s="175">
        <f t="shared" si="5"/>
        <v>274.69402175668125</v>
      </c>
      <c r="W25" s="175">
        <f t="shared" si="5"/>
        <v>274.17593688207211</v>
      </c>
      <c r="X25" s="175">
        <f t="shared" si="5"/>
        <v>273.77130887604778</v>
      </c>
      <c r="Y25" s="175">
        <f t="shared" si="5"/>
        <v>273.52853207243322</v>
      </c>
      <c r="Z25" s="175">
        <f t="shared" si="5"/>
        <v>273.39905877845297</v>
      </c>
    </row>
    <row r="26" spans="1:26" ht="14.5" x14ac:dyDescent="0.35">
      <c r="A26" s="10" t="s">
        <v>148</v>
      </c>
      <c r="B26" s="175">
        <f t="shared" ref="B26:M26" si="6">B36*$B$30*(1-B46/100)</f>
        <v>286.03423561762014</v>
      </c>
      <c r="C26" s="175">
        <f t="shared" si="6"/>
        <v>285.84042824389491</v>
      </c>
      <c r="D26" s="175">
        <f t="shared" si="6"/>
        <v>288.44261333145909</v>
      </c>
      <c r="E26" s="175">
        <f t="shared" si="6"/>
        <v>285.82130629975137</v>
      </c>
      <c r="F26" s="175">
        <f t="shared" si="6"/>
        <v>289.61231080191214</v>
      </c>
      <c r="G26" s="175">
        <f t="shared" si="6"/>
        <v>294.53314903232399</v>
      </c>
      <c r="H26" s="175">
        <f t="shared" si="6"/>
        <v>295.46742134385329</v>
      </c>
      <c r="I26" s="175">
        <f t="shared" si="6"/>
        <v>302.11283848251895</v>
      </c>
      <c r="J26" s="175">
        <f t="shared" si="6"/>
        <v>296.16762955714461</v>
      </c>
      <c r="K26" s="175">
        <f t="shared" si="6"/>
        <v>296.04567085174011</v>
      </c>
      <c r="L26" s="175">
        <f t="shared" si="6"/>
        <v>297.89006144009102</v>
      </c>
      <c r="M26" s="175">
        <f t="shared" si="6"/>
        <v>298.84866990008157</v>
      </c>
      <c r="N26" s="10" t="s">
        <v>148</v>
      </c>
      <c r="O26" s="175">
        <f t="shared" ref="O26:Z26" si="7">O36*$B$30*(1-O46/100)</f>
        <v>286.03423561762014</v>
      </c>
      <c r="P26" s="175">
        <f t="shared" si="7"/>
        <v>285.96968108438381</v>
      </c>
      <c r="Q26" s="175">
        <f t="shared" si="7"/>
        <v>286.6472017579319</v>
      </c>
      <c r="R26" s="175">
        <f t="shared" si="7"/>
        <v>286.4030447237626</v>
      </c>
      <c r="S26" s="175">
        <f t="shared" si="7"/>
        <v>287.11038412825337</v>
      </c>
      <c r="T26" s="175">
        <f t="shared" si="7"/>
        <v>288.24177061587847</v>
      </c>
      <c r="U26" s="175">
        <f t="shared" si="7"/>
        <v>289.24228440909991</v>
      </c>
      <c r="V26" s="175">
        <f t="shared" si="7"/>
        <v>289.7534873008043</v>
      </c>
      <c r="W26" s="175">
        <f t="shared" si="7"/>
        <v>290.53609719519932</v>
      </c>
      <c r="X26" s="175">
        <f t="shared" si="7"/>
        <v>291.16218511071531</v>
      </c>
      <c r="Y26" s="175">
        <f t="shared" si="7"/>
        <v>291.50184643132371</v>
      </c>
      <c r="Z26" s="175">
        <f t="shared" si="7"/>
        <v>291.87298467652721</v>
      </c>
    </row>
    <row r="27" spans="1:26" ht="14.5" x14ac:dyDescent="0.35">
      <c r="A27" s="10" t="s">
        <v>149</v>
      </c>
      <c r="B27" s="175">
        <f t="shared" ref="B27:M27" si="8">B37*$B$30*(1-B47/100)</f>
        <v>286.61005055216731</v>
      </c>
      <c r="C27" s="175">
        <f t="shared" si="8"/>
        <v>286.96131922834354</v>
      </c>
      <c r="D27" s="175">
        <f t="shared" si="8"/>
        <v>287.79279311834938</v>
      </c>
      <c r="E27" s="175">
        <f t="shared" si="8"/>
        <v>289.58097765133311</v>
      </c>
      <c r="F27" s="175">
        <f t="shared" si="8"/>
        <v>290.25713726419536</v>
      </c>
      <c r="G27" s="175">
        <f t="shared" si="8"/>
        <v>292.939557837687</v>
      </c>
      <c r="H27" s="175">
        <f t="shared" si="8"/>
        <v>292.939557837687</v>
      </c>
      <c r="I27" s="175">
        <f t="shared" si="8"/>
        <v>292.939557837687</v>
      </c>
      <c r="J27" s="175">
        <f t="shared" si="8"/>
        <v>292.939557837687</v>
      </c>
      <c r="K27" s="175">
        <f t="shared" si="8"/>
        <v>292.939557837687</v>
      </c>
      <c r="L27" s="175">
        <f t="shared" si="8"/>
        <v>293.86948817392954</v>
      </c>
      <c r="M27" s="175">
        <f t="shared" si="8"/>
        <v>293.86948817392954</v>
      </c>
      <c r="N27" s="10" t="s">
        <v>149</v>
      </c>
      <c r="O27" s="175">
        <f t="shared" ref="O27:Z27" si="9">O37*$B$30*(1-O47/100)</f>
        <v>286.61005055216731</v>
      </c>
      <c r="P27" s="175">
        <f t="shared" si="9"/>
        <v>286.78966263803471</v>
      </c>
      <c r="Q27" s="175">
        <f t="shared" si="9"/>
        <v>287.15320003025283</v>
      </c>
      <c r="R27" s="175">
        <f t="shared" si="9"/>
        <v>287.76717258867745</v>
      </c>
      <c r="S27" s="175">
        <f t="shared" si="9"/>
        <v>287.99468059178042</v>
      </c>
      <c r="T27" s="175">
        <f t="shared" si="9"/>
        <v>288.84565982330611</v>
      </c>
      <c r="U27" s="175">
        <f t="shared" si="9"/>
        <v>289.1327573636222</v>
      </c>
      <c r="V27" s="175">
        <f t="shared" si="9"/>
        <v>289.72735876960866</v>
      </c>
      <c r="W27" s="175">
        <f t="shared" si="9"/>
        <v>289.95147370593133</v>
      </c>
      <c r="X27" s="175">
        <f t="shared" si="9"/>
        <v>290.32689641681515</v>
      </c>
      <c r="Y27" s="175">
        <f t="shared" si="9"/>
        <v>290.60846344997805</v>
      </c>
      <c r="Z27" s="175">
        <f t="shared" si="9"/>
        <v>290.94785639242298</v>
      </c>
    </row>
    <row r="28" spans="1:26" ht="14.5" x14ac:dyDescent="0.35">
      <c r="A28" s="10" t="s">
        <v>150</v>
      </c>
      <c r="B28" s="175">
        <f t="shared" ref="B28:M28" si="10">B38*$B$30*(1-B48/100)</f>
        <v>329.43342880054564</v>
      </c>
      <c r="C28" s="175">
        <f t="shared" si="10"/>
        <v>336.52394153830517</v>
      </c>
      <c r="D28" s="175">
        <f t="shared" si="10"/>
        <v>319.25842666075698</v>
      </c>
      <c r="E28" s="175">
        <f t="shared" si="10"/>
        <v>342.63437556300067</v>
      </c>
      <c r="F28" s="175">
        <f t="shared" si="10"/>
        <v>333.58287150981965</v>
      </c>
      <c r="G28" s="175">
        <f t="shared" si="10"/>
        <v>326.08809499354328</v>
      </c>
      <c r="H28" s="175">
        <f t="shared" si="10"/>
        <v>310.23361664990159</v>
      </c>
      <c r="I28" s="175">
        <f t="shared" si="10"/>
        <v>310.23361664990159</v>
      </c>
      <c r="J28" s="175">
        <f t="shared" si="10"/>
        <v>310.23361664990159</v>
      </c>
      <c r="K28" s="175">
        <f t="shared" si="10"/>
        <v>310.23361664990159</v>
      </c>
      <c r="L28" s="175">
        <f t="shared" si="10"/>
        <v>310.23361664990159</v>
      </c>
      <c r="M28" s="175">
        <f t="shared" si="10"/>
        <v>310.23361664990159</v>
      </c>
      <c r="N28" s="10" t="s">
        <v>150</v>
      </c>
      <c r="O28" s="175">
        <f t="shared" ref="O28:Z28" si="11">O38*$B$30*(1-O48/100)</f>
        <v>329.43342880054564</v>
      </c>
      <c r="P28" s="175">
        <f t="shared" si="11"/>
        <v>333.41562398933837</v>
      </c>
      <c r="Q28" s="175">
        <f t="shared" si="11"/>
        <v>327.40456656458269</v>
      </c>
      <c r="R28" s="175">
        <f t="shared" si="11"/>
        <v>332.44330907314458</v>
      </c>
      <c r="S28" s="175">
        <f t="shared" si="11"/>
        <v>332.6286625347222</v>
      </c>
      <c r="T28" s="175">
        <f t="shared" si="11"/>
        <v>330.67786958951058</v>
      </c>
      <c r="U28" s="175">
        <f t="shared" si="11"/>
        <v>326.62580981381961</v>
      </c>
      <c r="V28" s="175">
        <f t="shared" si="11"/>
        <v>324.03140769299449</v>
      </c>
      <c r="W28" s="175">
        <f t="shared" si="11"/>
        <v>322.07580311071018</v>
      </c>
      <c r="X28" s="175">
        <f t="shared" si="11"/>
        <v>320.51008490533098</v>
      </c>
      <c r="Y28" s="175">
        <f t="shared" si="11"/>
        <v>319.36780993221851</v>
      </c>
      <c r="Z28" s="175">
        <f t="shared" si="11"/>
        <v>318.52510249908681</v>
      </c>
    </row>
    <row r="29" spans="1:26" ht="14.5" x14ac:dyDescent="0.35">
      <c r="A29" s="10" t="s">
        <v>151</v>
      </c>
      <c r="B29" s="175">
        <f t="shared" ref="B29:M29" si="12">B39*$B$30*(1-B49/100)</f>
        <v>278.92611535535355</v>
      </c>
      <c r="C29" s="175">
        <f t="shared" si="12"/>
        <v>278.95348034308773</v>
      </c>
      <c r="D29" s="175">
        <f t="shared" si="12"/>
        <v>272.75953278489726</v>
      </c>
      <c r="E29" s="175">
        <f t="shared" si="12"/>
        <v>284.5046813697615</v>
      </c>
      <c r="F29" s="175">
        <f t="shared" si="12"/>
        <v>276.57841986125027</v>
      </c>
      <c r="G29" s="175">
        <f t="shared" si="12"/>
        <v>283.14599774759029</v>
      </c>
      <c r="H29" s="175">
        <f t="shared" si="12"/>
        <v>277.76858116666392</v>
      </c>
      <c r="I29" s="175">
        <f t="shared" si="12"/>
        <v>276.39720709133678</v>
      </c>
      <c r="J29" s="175">
        <f t="shared" si="12"/>
        <v>276.57688627174497</v>
      </c>
      <c r="K29" s="175">
        <f t="shared" si="12"/>
        <v>277.32148231627872</v>
      </c>
      <c r="L29" s="175">
        <f t="shared" si="12"/>
        <v>278.1592439232561</v>
      </c>
      <c r="M29" s="175">
        <f t="shared" si="12"/>
        <v>277.44981500306443</v>
      </c>
      <c r="N29" s="10" t="s">
        <v>151</v>
      </c>
      <c r="O29" s="175">
        <f t="shared" ref="O29:Z29" si="13">O39*$B$30*(1-O49/100)</f>
        <v>278.92611535535355</v>
      </c>
      <c r="P29" s="175">
        <f t="shared" si="13"/>
        <v>278.98427673733994</v>
      </c>
      <c r="Q29" s="175">
        <f t="shared" si="13"/>
        <v>276.8634949804063</v>
      </c>
      <c r="R29" s="175">
        <f t="shared" si="13"/>
        <v>278.7737915777451</v>
      </c>
      <c r="S29" s="175">
        <f t="shared" si="13"/>
        <v>278.39319300228112</v>
      </c>
      <c r="T29" s="175">
        <f t="shared" si="13"/>
        <v>279.23356171141739</v>
      </c>
      <c r="U29" s="175">
        <f t="shared" si="13"/>
        <v>278.96468513141036</v>
      </c>
      <c r="V29" s="175">
        <f t="shared" si="13"/>
        <v>278.58747003779234</v>
      </c>
      <c r="W29" s="175">
        <f t="shared" si="13"/>
        <v>278.4042923563253</v>
      </c>
      <c r="X29" s="175">
        <f t="shared" si="13"/>
        <v>278.23515660376574</v>
      </c>
      <c r="Y29" s="175">
        <f t="shared" si="13"/>
        <v>278.19881053249139</v>
      </c>
      <c r="Z29" s="175">
        <f t="shared" si="13"/>
        <v>278.11611171842105</v>
      </c>
    </row>
    <row r="30" spans="1:26" ht="38.5" x14ac:dyDescent="0.35">
      <c r="A30" s="177" t="s">
        <v>212</v>
      </c>
      <c r="B30" s="178">
        <f>'CO2 Estimate'!B11</f>
        <v>9.5849344077770807E-2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5" x14ac:dyDescent="0.35">
      <c r="A31" s="220" t="s">
        <v>213</v>
      </c>
      <c r="B31" s="221" t="s">
        <v>106</v>
      </c>
      <c r="C31" s="219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20" t="s">
        <v>213</v>
      </c>
      <c r="O31" s="221" t="s">
        <v>107</v>
      </c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</row>
    <row r="32" spans="1:26" ht="14.5" x14ac:dyDescent="0.35">
      <c r="A32" s="219"/>
      <c r="B32" s="174" t="s">
        <v>4</v>
      </c>
      <c r="C32" s="174" t="s">
        <v>5</v>
      </c>
      <c r="D32" s="174" t="s">
        <v>6</v>
      </c>
      <c r="E32" s="174" t="s">
        <v>7</v>
      </c>
      <c r="F32" s="174" t="s">
        <v>8</v>
      </c>
      <c r="G32" s="174" t="s">
        <v>9</v>
      </c>
      <c r="H32" s="174" t="s">
        <v>10</v>
      </c>
      <c r="I32" s="174" t="s">
        <v>11</v>
      </c>
      <c r="J32" s="174" t="s">
        <v>12</v>
      </c>
      <c r="K32" s="174" t="s">
        <v>13</v>
      </c>
      <c r="L32" s="174" t="s">
        <v>14</v>
      </c>
      <c r="M32" s="174" t="s">
        <v>15</v>
      </c>
      <c r="N32" s="219"/>
      <c r="O32" s="174" t="s">
        <v>4</v>
      </c>
      <c r="P32" s="174" t="s">
        <v>5</v>
      </c>
      <c r="Q32" s="174" t="s">
        <v>6</v>
      </c>
      <c r="R32" s="174" t="s">
        <v>7</v>
      </c>
      <c r="S32" s="174" t="s">
        <v>8</v>
      </c>
      <c r="T32" s="174" t="s">
        <v>9</v>
      </c>
      <c r="U32" s="174" t="s">
        <v>10</v>
      </c>
      <c r="V32" s="174" t="s">
        <v>11</v>
      </c>
      <c r="W32" s="174" t="s">
        <v>12</v>
      </c>
      <c r="X32" s="174" t="s">
        <v>13</v>
      </c>
      <c r="Y32" s="174" t="s">
        <v>14</v>
      </c>
      <c r="Z32" s="174" t="s">
        <v>15</v>
      </c>
    </row>
    <row r="33" spans="1:26" ht="14.5" x14ac:dyDescent="0.35">
      <c r="A33" s="10" t="s">
        <v>145</v>
      </c>
      <c r="B33" s="179">
        <v>3361</v>
      </c>
      <c r="C33" s="179">
        <v>3323</v>
      </c>
      <c r="D33" s="179">
        <v>0</v>
      </c>
      <c r="E33" s="179">
        <v>3497</v>
      </c>
      <c r="F33" s="179">
        <v>3370</v>
      </c>
      <c r="G33" s="179">
        <v>3307</v>
      </c>
      <c r="H33" s="179">
        <v>3307</v>
      </c>
      <c r="I33" s="179">
        <v>3342</v>
      </c>
      <c r="J33" s="179">
        <v>3307</v>
      </c>
      <c r="K33" s="179">
        <v>3307</v>
      </c>
      <c r="L33" s="179">
        <v>3307</v>
      </c>
      <c r="M33" s="179">
        <v>3307</v>
      </c>
      <c r="N33" s="180" t="s">
        <v>145</v>
      </c>
      <c r="O33" s="179">
        <v>3361</v>
      </c>
      <c r="P33" s="179">
        <v>3357</v>
      </c>
      <c r="Q33" s="179">
        <v>3357</v>
      </c>
      <c r="R33" s="179">
        <v>3386</v>
      </c>
      <c r="S33" s="179">
        <v>3380</v>
      </c>
      <c r="T33" s="179">
        <v>3357</v>
      </c>
      <c r="U33" s="179">
        <v>3345</v>
      </c>
      <c r="V33" s="179">
        <v>3345</v>
      </c>
      <c r="W33" s="179">
        <v>3338</v>
      </c>
      <c r="X33" s="179">
        <v>3334</v>
      </c>
      <c r="Y33" s="179">
        <v>3331</v>
      </c>
      <c r="Z33" s="179">
        <v>3328</v>
      </c>
    </row>
    <row r="34" spans="1:26" ht="14.5" x14ac:dyDescent="0.35">
      <c r="A34" s="10" t="s">
        <v>146</v>
      </c>
      <c r="B34" s="179">
        <v>3401</v>
      </c>
      <c r="C34" s="179">
        <v>3371</v>
      </c>
      <c r="D34" s="179">
        <v>3371</v>
      </c>
      <c r="E34" s="179">
        <v>3370</v>
      </c>
      <c r="F34" s="179">
        <v>3403</v>
      </c>
      <c r="G34" s="179">
        <v>3484</v>
      </c>
      <c r="H34" s="179">
        <v>3356</v>
      </c>
      <c r="I34" s="179">
        <v>3356</v>
      </c>
      <c r="J34" s="179">
        <v>3356</v>
      </c>
      <c r="K34" s="179">
        <v>3356</v>
      </c>
      <c r="L34" s="179">
        <v>3356</v>
      </c>
      <c r="M34" s="179">
        <v>3370</v>
      </c>
      <c r="N34" s="180" t="s">
        <v>146</v>
      </c>
      <c r="O34" s="179">
        <v>3401</v>
      </c>
      <c r="P34" s="179">
        <v>3388</v>
      </c>
      <c r="Q34" s="179">
        <v>3382</v>
      </c>
      <c r="R34" s="179">
        <v>3379</v>
      </c>
      <c r="S34" s="179">
        <v>3383</v>
      </c>
      <c r="T34" s="179">
        <v>3391</v>
      </c>
      <c r="U34" s="179">
        <v>3385</v>
      </c>
      <c r="V34" s="179">
        <v>3381</v>
      </c>
      <c r="W34" s="179">
        <v>3378</v>
      </c>
      <c r="X34" s="179">
        <v>3375</v>
      </c>
      <c r="Y34" s="179">
        <v>3373</v>
      </c>
      <c r="Z34" s="179">
        <v>3373</v>
      </c>
    </row>
    <row r="35" spans="1:26" ht="14.5" x14ac:dyDescent="0.35">
      <c r="A35" s="10" t="s">
        <v>147</v>
      </c>
      <c r="B35" s="179">
        <v>3620</v>
      </c>
      <c r="C35" s="179">
        <v>3436</v>
      </c>
      <c r="D35" s="179">
        <v>3330</v>
      </c>
      <c r="E35" s="179">
        <v>3340</v>
      </c>
      <c r="F35" s="179">
        <v>3517</v>
      </c>
      <c r="G35" s="179">
        <v>3347</v>
      </c>
      <c r="H35" s="179">
        <v>3347</v>
      </c>
      <c r="I35" s="179">
        <v>3347</v>
      </c>
      <c r="J35" s="179">
        <v>3347</v>
      </c>
      <c r="K35" s="179">
        <v>3347</v>
      </c>
      <c r="L35" s="179">
        <v>3347</v>
      </c>
      <c r="M35" s="179">
        <v>3360</v>
      </c>
      <c r="N35" s="180" t="s">
        <v>147</v>
      </c>
      <c r="O35" s="179">
        <v>3620</v>
      </c>
      <c r="P35" s="179">
        <v>3518</v>
      </c>
      <c r="Q35" s="179">
        <v>3440</v>
      </c>
      <c r="R35" s="179">
        <v>3417</v>
      </c>
      <c r="S35" s="179">
        <v>3434</v>
      </c>
      <c r="T35" s="179">
        <v>3415</v>
      </c>
      <c r="U35" s="179">
        <v>3403</v>
      </c>
      <c r="V35" s="179">
        <v>3394</v>
      </c>
      <c r="W35" s="179">
        <v>3388</v>
      </c>
      <c r="X35" s="179">
        <v>3383</v>
      </c>
      <c r="Y35" s="179">
        <v>3380</v>
      </c>
      <c r="Z35" s="179">
        <v>3378</v>
      </c>
    </row>
    <row r="36" spans="1:26" ht="14.5" x14ac:dyDescent="0.35">
      <c r="A36" s="10" t="s">
        <v>148</v>
      </c>
      <c r="B36" s="179">
        <v>3249</v>
      </c>
      <c r="C36" s="179">
        <v>3261</v>
      </c>
      <c r="D36" s="179">
        <v>3281</v>
      </c>
      <c r="E36" s="179">
        <v>3259</v>
      </c>
      <c r="F36" s="179">
        <v>3269</v>
      </c>
      <c r="G36" s="179">
        <v>3260</v>
      </c>
      <c r="H36" s="179">
        <v>3261</v>
      </c>
      <c r="I36" s="179">
        <v>3356</v>
      </c>
      <c r="J36" s="179">
        <v>3267</v>
      </c>
      <c r="K36" s="179">
        <v>3266</v>
      </c>
      <c r="L36" s="179">
        <v>3286</v>
      </c>
      <c r="M36" s="179">
        <v>3282</v>
      </c>
      <c r="N36" s="180" t="s">
        <v>148</v>
      </c>
      <c r="O36" s="179">
        <v>3249</v>
      </c>
      <c r="P36" s="179">
        <v>3255</v>
      </c>
      <c r="Q36" s="179">
        <v>3262</v>
      </c>
      <c r="R36" s="179">
        <v>3261</v>
      </c>
      <c r="S36" s="179">
        <v>3263</v>
      </c>
      <c r="T36" s="179">
        <v>3262</v>
      </c>
      <c r="U36" s="179">
        <v>3262</v>
      </c>
      <c r="V36" s="179">
        <v>3266</v>
      </c>
      <c r="W36" s="179">
        <v>3266</v>
      </c>
      <c r="X36" s="179">
        <v>3266</v>
      </c>
      <c r="Y36" s="179">
        <v>3267</v>
      </c>
      <c r="Z36" s="179">
        <v>3268</v>
      </c>
    </row>
    <row r="37" spans="1:26" ht="14.5" x14ac:dyDescent="0.35">
      <c r="A37" s="10" t="s">
        <v>149</v>
      </c>
      <c r="B37" s="179">
        <v>3252</v>
      </c>
      <c r="C37" s="179">
        <v>3267</v>
      </c>
      <c r="D37" s="179">
        <v>3264</v>
      </c>
      <c r="E37" s="179">
        <v>3269</v>
      </c>
      <c r="F37" s="179">
        <v>3302</v>
      </c>
      <c r="G37" s="179">
        <v>3260</v>
      </c>
      <c r="H37" s="179">
        <v>3260</v>
      </c>
      <c r="I37" s="179">
        <v>3260</v>
      </c>
      <c r="J37" s="179">
        <v>3260</v>
      </c>
      <c r="K37" s="179">
        <v>3260</v>
      </c>
      <c r="L37" s="179">
        <v>3270</v>
      </c>
      <c r="M37" s="179">
        <v>3270</v>
      </c>
      <c r="N37" s="180" t="s">
        <v>149</v>
      </c>
      <c r="O37" s="179">
        <v>3252</v>
      </c>
      <c r="P37" s="179">
        <v>3259</v>
      </c>
      <c r="Q37" s="179">
        <v>3261</v>
      </c>
      <c r="R37" s="179">
        <v>3263</v>
      </c>
      <c r="S37" s="179">
        <v>3267</v>
      </c>
      <c r="T37" s="179">
        <v>3266</v>
      </c>
      <c r="U37" s="179">
        <v>3265</v>
      </c>
      <c r="V37" s="179">
        <v>3265</v>
      </c>
      <c r="W37" s="179">
        <v>3264</v>
      </c>
      <c r="X37" s="179">
        <v>3264</v>
      </c>
      <c r="Y37" s="179">
        <v>3264</v>
      </c>
      <c r="Z37" s="179">
        <v>3265</v>
      </c>
    </row>
    <row r="38" spans="1:26" ht="14.5" x14ac:dyDescent="0.35">
      <c r="A38" s="10" t="s">
        <v>150</v>
      </c>
      <c r="B38" s="179">
        <v>3744</v>
      </c>
      <c r="C38" s="179">
        <v>3794</v>
      </c>
      <c r="D38" s="179">
        <v>3687</v>
      </c>
      <c r="E38" s="179">
        <v>3811</v>
      </c>
      <c r="F38" s="179">
        <v>3809</v>
      </c>
      <c r="G38" s="179">
        <v>3670</v>
      </c>
      <c r="H38" s="179">
        <v>3542</v>
      </c>
      <c r="I38" s="179">
        <v>3542</v>
      </c>
      <c r="J38" s="179">
        <v>3542</v>
      </c>
      <c r="K38" s="179">
        <v>3542</v>
      </c>
      <c r="L38" s="179">
        <v>3542</v>
      </c>
      <c r="M38" s="179">
        <v>3542</v>
      </c>
      <c r="N38" s="180" t="s">
        <v>150</v>
      </c>
      <c r="O38" s="179">
        <v>3744</v>
      </c>
      <c r="P38" s="179">
        <v>3772</v>
      </c>
      <c r="Q38" s="179">
        <v>3736</v>
      </c>
      <c r="R38" s="179">
        <v>3761</v>
      </c>
      <c r="S38" s="179">
        <v>3768</v>
      </c>
      <c r="T38" s="179">
        <v>3739</v>
      </c>
      <c r="U38" s="179">
        <v>3700</v>
      </c>
      <c r="V38" s="179">
        <v>3675</v>
      </c>
      <c r="W38" s="179">
        <v>3656</v>
      </c>
      <c r="X38" s="179">
        <v>3641</v>
      </c>
      <c r="Y38" s="179">
        <v>3630</v>
      </c>
      <c r="Z38" s="179">
        <v>3622</v>
      </c>
    </row>
    <row r="39" spans="1:26" ht="14.5" x14ac:dyDescent="0.35">
      <c r="A39" s="10" t="s">
        <v>151</v>
      </c>
      <c r="B39" s="179">
        <v>3398</v>
      </c>
      <c r="C39" s="179">
        <v>3379</v>
      </c>
      <c r="D39" s="179">
        <v>3355</v>
      </c>
      <c r="E39" s="179">
        <v>3378</v>
      </c>
      <c r="F39" s="179">
        <v>3408</v>
      </c>
      <c r="G39" s="179">
        <v>3373</v>
      </c>
      <c r="H39" s="179">
        <v>3346</v>
      </c>
      <c r="I39" s="179">
        <v>3357</v>
      </c>
      <c r="J39" s="179">
        <v>3344</v>
      </c>
      <c r="K39" s="179">
        <v>3341</v>
      </c>
      <c r="L39" s="179">
        <v>3348</v>
      </c>
      <c r="M39" s="179">
        <v>3353</v>
      </c>
      <c r="N39" s="180" t="s">
        <v>151</v>
      </c>
      <c r="O39" s="179">
        <v>3398</v>
      </c>
      <c r="P39" s="179">
        <v>3390</v>
      </c>
      <c r="Q39" s="179">
        <v>3378</v>
      </c>
      <c r="R39" s="179">
        <v>3378</v>
      </c>
      <c r="S39" s="179">
        <v>3384</v>
      </c>
      <c r="T39" s="179">
        <v>3382</v>
      </c>
      <c r="U39" s="179">
        <v>3376</v>
      </c>
      <c r="V39" s="179">
        <v>3373</v>
      </c>
      <c r="W39" s="179">
        <v>3370</v>
      </c>
      <c r="X39" s="179">
        <v>3366</v>
      </c>
      <c r="Y39" s="179">
        <v>3364</v>
      </c>
      <c r="Z39" s="179">
        <v>3363</v>
      </c>
    </row>
    <row r="40" spans="1:26" ht="14.5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5" x14ac:dyDescent="0.35">
      <c r="A41" s="220" t="s">
        <v>214</v>
      </c>
      <c r="B41" s="221" t="s">
        <v>106</v>
      </c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20" t="s">
        <v>214</v>
      </c>
      <c r="O41" s="221" t="s">
        <v>107</v>
      </c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</row>
    <row r="42" spans="1:26" ht="14.5" x14ac:dyDescent="0.35">
      <c r="A42" s="219"/>
      <c r="B42" s="174" t="s">
        <v>4</v>
      </c>
      <c r="C42" s="174" t="s">
        <v>5</v>
      </c>
      <c r="D42" s="174" t="s">
        <v>6</v>
      </c>
      <c r="E42" s="174" t="s">
        <v>7</v>
      </c>
      <c r="F42" s="174" t="s">
        <v>8</v>
      </c>
      <c r="G42" s="174" t="s">
        <v>9</v>
      </c>
      <c r="H42" s="174" t="s">
        <v>10</v>
      </c>
      <c r="I42" s="174" t="s">
        <v>11</v>
      </c>
      <c r="J42" s="174" t="s">
        <v>12</v>
      </c>
      <c r="K42" s="174" t="s">
        <v>13</v>
      </c>
      <c r="L42" s="174" t="s">
        <v>14</v>
      </c>
      <c r="M42" s="174" t="s">
        <v>15</v>
      </c>
      <c r="N42" s="219"/>
      <c r="O42" s="174" t="s">
        <v>4</v>
      </c>
      <c r="P42" s="174" t="s">
        <v>5</v>
      </c>
      <c r="Q42" s="174" t="s">
        <v>6</v>
      </c>
      <c r="R42" s="174" t="s">
        <v>7</v>
      </c>
      <c r="S42" s="174" t="s">
        <v>8</v>
      </c>
      <c r="T42" s="174" t="s">
        <v>9</v>
      </c>
      <c r="U42" s="174" t="s">
        <v>10</v>
      </c>
      <c r="V42" s="174" t="s">
        <v>11</v>
      </c>
      <c r="W42" s="174" t="s">
        <v>12</v>
      </c>
      <c r="X42" s="174" t="s">
        <v>13</v>
      </c>
      <c r="Y42" s="174" t="s">
        <v>14</v>
      </c>
      <c r="Z42" s="174" t="s">
        <v>15</v>
      </c>
    </row>
    <row r="43" spans="1:26" ht="14.5" x14ac:dyDescent="0.35">
      <c r="A43" s="10" t="s">
        <v>145</v>
      </c>
      <c r="B43" s="181">
        <v>12.83</v>
      </c>
      <c r="C43" s="181">
        <v>24.2</v>
      </c>
      <c r="D43" s="181">
        <v>0</v>
      </c>
      <c r="E43" s="181">
        <v>15.26</v>
      </c>
      <c r="F43" s="181">
        <v>17.940000000000001</v>
      </c>
      <c r="G43" s="181">
        <v>19.03</v>
      </c>
      <c r="H43" s="181">
        <v>15.02</v>
      </c>
      <c r="I43" s="181">
        <v>18.829999999999998</v>
      </c>
      <c r="J43" s="181">
        <v>19.03</v>
      </c>
      <c r="K43" s="181">
        <v>19.03</v>
      </c>
      <c r="L43" s="181">
        <v>15.02</v>
      </c>
      <c r="M43" s="181">
        <v>19.03</v>
      </c>
      <c r="N43" s="180" t="s">
        <v>145</v>
      </c>
      <c r="O43" s="181">
        <v>12.83</v>
      </c>
      <c r="P43" s="181">
        <v>14.19</v>
      </c>
      <c r="Q43" s="181">
        <v>14.19</v>
      </c>
      <c r="R43" s="181">
        <v>14.42</v>
      </c>
      <c r="S43" s="181">
        <v>15.79</v>
      </c>
      <c r="T43" s="181">
        <v>16.77</v>
      </c>
      <c r="U43" s="181">
        <v>16.350000000000001</v>
      </c>
      <c r="V43" s="181">
        <v>16.77</v>
      </c>
      <c r="W43" s="181">
        <v>17.13</v>
      </c>
      <c r="X43" s="181">
        <v>17.41</v>
      </c>
      <c r="Y43" s="181">
        <v>17.12</v>
      </c>
      <c r="Z43" s="181">
        <v>17.329999999999998</v>
      </c>
    </row>
    <row r="44" spans="1:26" ht="14.5" x14ac:dyDescent="0.35">
      <c r="A44" s="10" t="s">
        <v>146</v>
      </c>
      <c r="B44" s="181">
        <v>20.14</v>
      </c>
      <c r="C44" s="181">
        <v>18.739999999999998</v>
      </c>
      <c r="D44" s="181">
        <v>22.65</v>
      </c>
      <c r="E44" s="181">
        <v>19.53</v>
      </c>
      <c r="F44" s="181">
        <v>20.39</v>
      </c>
      <c r="G44" s="181">
        <v>16.190000000000001</v>
      </c>
      <c r="H44" s="181">
        <v>17.18</v>
      </c>
      <c r="I44" s="181">
        <v>17.18</v>
      </c>
      <c r="J44" s="181">
        <v>17.18</v>
      </c>
      <c r="K44" s="181">
        <v>17.18</v>
      </c>
      <c r="L44" s="181">
        <v>17.18</v>
      </c>
      <c r="M44" s="181">
        <v>17.100000000000001</v>
      </c>
      <c r="N44" s="180" t="s">
        <v>146</v>
      </c>
      <c r="O44" s="181">
        <v>20.14</v>
      </c>
      <c r="P44" s="181">
        <v>19.53</v>
      </c>
      <c r="Q44" s="181">
        <v>20.6</v>
      </c>
      <c r="R44" s="181">
        <v>20.34</v>
      </c>
      <c r="S44" s="181">
        <v>20.350000000000001</v>
      </c>
      <c r="T44" s="181">
        <v>20.03</v>
      </c>
      <c r="U44" s="181">
        <v>19.55</v>
      </c>
      <c r="V44" s="181">
        <v>19.21</v>
      </c>
      <c r="W44" s="181">
        <v>18.96</v>
      </c>
      <c r="X44" s="181">
        <v>18.760000000000002</v>
      </c>
      <c r="Y44" s="181">
        <v>18.61</v>
      </c>
      <c r="Z44" s="181">
        <v>18.489999999999998</v>
      </c>
    </row>
    <row r="45" spans="1:26" ht="14.5" x14ac:dyDescent="0.35">
      <c r="A45" s="10" t="s">
        <v>147</v>
      </c>
      <c r="B45" s="181">
        <v>18.329999999999998</v>
      </c>
      <c r="C45" s="181">
        <v>16.12</v>
      </c>
      <c r="D45" s="181">
        <v>15.9</v>
      </c>
      <c r="E45" s="181">
        <v>10.29</v>
      </c>
      <c r="F45" s="181">
        <v>17.010000000000002</v>
      </c>
      <c r="G45" s="181">
        <v>15.6</v>
      </c>
      <c r="H45" s="181">
        <v>15.6</v>
      </c>
      <c r="I45" s="181">
        <v>15.6</v>
      </c>
      <c r="J45" s="181">
        <v>15.6</v>
      </c>
      <c r="K45" s="181">
        <v>15.6</v>
      </c>
      <c r="L45" s="181">
        <v>15.6</v>
      </c>
      <c r="M45" s="181">
        <v>15.43</v>
      </c>
      <c r="N45" s="180" t="s">
        <v>147</v>
      </c>
      <c r="O45" s="181">
        <v>18.329999999999998</v>
      </c>
      <c r="P45" s="181">
        <v>17.13</v>
      </c>
      <c r="Q45" s="181">
        <v>16.63</v>
      </c>
      <c r="R45" s="181">
        <v>15.22</v>
      </c>
      <c r="S45" s="181">
        <v>15.53</v>
      </c>
      <c r="T45" s="181">
        <v>15.54</v>
      </c>
      <c r="U45" s="181">
        <v>15.55</v>
      </c>
      <c r="V45" s="181">
        <v>15.56</v>
      </c>
      <c r="W45" s="181">
        <v>15.57</v>
      </c>
      <c r="X45" s="181">
        <v>15.57</v>
      </c>
      <c r="Y45" s="181">
        <v>15.57</v>
      </c>
      <c r="Z45" s="181">
        <v>15.56</v>
      </c>
    </row>
    <row r="46" spans="1:26" ht="14.5" x14ac:dyDescent="0.35">
      <c r="A46" s="10" t="s">
        <v>148</v>
      </c>
      <c r="B46" s="181">
        <v>8.15</v>
      </c>
      <c r="C46" s="181">
        <v>8.5500000000000007</v>
      </c>
      <c r="D46" s="181">
        <v>8.2799999999999994</v>
      </c>
      <c r="E46" s="181">
        <v>8.5</v>
      </c>
      <c r="F46" s="181">
        <v>7.57</v>
      </c>
      <c r="G46" s="181">
        <v>5.74</v>
      </c>
      <c r="H46" s="181">
        <v>5.47</v>
      </c>
      <c r="I46" s="181">
        <v>6.08</v>
      </c>
      <c r="J46" s="181">
        <v>5.42</v>
      </c>
      <c r="K46" s="181">
        <v>5.43</v>
      </c>
      <c r="L46" s="181">
        <v>5.42</v>
      </c>
      <c r="M46" s="181">
        <v>5</v>
      </c>
      <c r="N46" s="180" t="s">
        <v>148</v>
      </c>
      <c r="O46" s="181">
        <v>8.15</v>
      </c>
      <c r="P46" s="181">
        <v>8.34</v>
      </c>
      <c r="Q46" s="181">
        <v>8.32</v>
      </c>
      <c r="R46" s="181">
        <v>8.3699999999999992</v>
      </c>
      <c r="S46" s="181">
        <v>8.1999999999999993</v>
      </c>
      <c r="T46" s="181">
        <v>7.81</v>
      </c>
      <c r="U46" s="181">
        <v>7.49</v>
      </c>
      <c r="V46" s="181">
        <v>7.44</v>
      </c>
      <c r="W46" s="181">
        <v>7.19</v>
      </c>
      <c r="X46" s="181">
        <v>6.99</v>
      </c>
      <c r="Y46" s="181">
        <v>6.91</v>
      </c>
      <c r="Z46" s="181">
        <v>6.82</v>
      </c>
    </row>
    <row r="47" spans="1:26" ht="14.5" x14ac:dyDescent="0.35">
      <c r="A47" s="10" t="s">
        <v>149</v>
      </c>
      <c r="B47" s="181">
        <v>8.0500000000000007</v>
      </c>
      <c r="C47" s="181">
        <v>8.36</v>
      </c>
      <c r="D47" s="181">
        <v>8.01</v>
      </c>
      <c r="E47" s="181">
        <v>7.58</v>
      </c>
      <c r="F47" s="181">
        <v>8.2899999999999991</v>
      </c>
      <c r="G47" s="181">
        <v>6.25</v>
      </c>
      <c r="H47" s="181">
        <v>6.25</v>
      </c>
      <c r="I47" s="181">
        <v>6.25</v>
      </c>
      <c r="J47" s="181">
        <v>6.25</v>
      </c>
      <c r="K47" s="181">
        <v>6.25</v>
      </c>
      <c r="L47" s="181">
        <v>6.24</v>
      </c>
      <c r="M47" s="181">
        <v>6.24</v>
      </c>
      <c r="N47" s="180" t="s">
        <v>149</v>
      </c>
      <c r="O47" s="181">
        <v>8.0500000000000007</v>
      </c>
      <c r="P47" s="181">
        <v>8.19</v>
      </c>
      <c r="Q47" s="181">
        <v>8.1300000000000008</v>
      </c>
      <c r="R47" s="181">
        <v>7.99</v>
      </c>
      <c r="S47" s="181">
        <v>8.0299999999999994</v>
      </c>
      <c r="T47" s="181">
        <v>7.73</v>
      </c>
      <c r="U47" s="181">
        <v>7.61</v>
      </c>
      <c r="V47" s="181">
        <v>7.42</v>
      </c>
      <c r="W47" s="181">
        <v>7.32</v>
      </c>
      <c r="X47" s="181">
        <v>7.2</v>
      </c>
      <c r="Y47" s="181">
        <v>7.11</v>
      </c>
      <c r="Z47" s="181">
        <v>7.03</v>
      </c>
    </row>
    <row r="48" spans="1:26" ht="14.5" x14ac:dyDescent="0.35">
      <c r="A48" s="10" t="s">
        <v>150</v>
      </c>
      <c r="B48" s="181">
        <v>8.1999999999999993</v>
      </c>
      <c r="C48" s="181">
        <v>7.46</v>
      </c>
      <c r="D48" s="181">
        <v>9.66</v>
      </c>
      <c r="E48" s="181">
        <v>6.2</v>
      </c>
      <c r="F48" s="181">
        <v>8.6300000000000008</v>
      </c>
      <c r="G48" s="181">
        <v>7.3</v>
      </c>
      <c r="H48" s="181">
        <v>8.6199999999999992</v>
      </c>
      <c r="I48" s="181">
        <v>8.6199999999999992</v>
      </c>
      <c r="J48" s="181">
        <v>8.6199999999999992</v>
      </c>
      <c r="K48" s="181">
        <v>8.6199999999999992</v>
      </c>
      <c r="L48" s="181">
        <v>8.6199999999999992</v>
      </c>
      <c r="M48" s="181">
        <v>8.6199999999999992</v>
      </c>
      <c r="N48" s="180" t="s">
        <v>150</v>
      </c>
      <c r="O48" s="181">
        <v>8.1999999999999993</v>
      </c>
      <c r="P48" s="181">
        <v>7.78</v>
      </c>
      <c r="Q48" s="181">
        <v>8.57</v>
      </c>
      <c r="R48" s="181">
        <v>7.78</v>
      </c>
      <c r="S48" s="181">
        <v>7.9</v>
      </c>
      <c r="T48" s="181">
        <v>7.73</v>
      </c>
      <c r="U48" s="181">
        <v>7.9</v>
      </c>
      <c r="V48" s="181">
        <v>8.01</v>
      </c>
      <c r="W48" s="181">
        <v>8.09</v>
      </c>
      <c r="X48" s="181">
        <v>8.16</v>
      </c>
      <c r="Y48" s="181">
        <v>8.2100000000000009</v>
      </c>
      <c r="Z48" s="181">
        <v>8.25</v>
      </c>
    </row>
    <row r="49" spans="1:26" ht="14.5" x14ac:dyDescent="0.35">
      <c r="A49" s="10" t="s">
        <v>151</v>
      </c>
      <c r="B49" s="181">
        <v>14.36</v>
      </c>
      <c r="C49" s="181">
        <v>13.87</v>
      </c>
      <c r="D49" s="181">
        <v>15.18</v>
      </c>
      <c r="E49" s="181">
        <v>12.13</v>
      </c>
      <c r="F49" s="181">
        <v>15.33</v>
      </c>
      <c r="G49" s="181">
        <v>12.42</v>
      </c>
      <c r="H49" s="181">
        <v>13.39</v>
      </c>
      <c r="I49" s="181">
        <v>14.1</v>
      </c>
      <c r="J49" s="181">
        <v>13.71</v>
      </c>
      <c r="K49" s="181">
        <v>13.4</v>
      </c>
      <c r="L49" s="181">
        <v>13.32</v>
      </c>
      <c r="M49" s="181">
        <v>13.67</v>
      </c>
      <c r="N49" s="180" t="s">
        <v>151</v>
      </c>
      <c r="O49" s="181">
        <v>14.36</v>
      </c>
      <c r="P49" s="181">
        <v>14.14</v>
      </c>
      <c r="Q49" s="181">
        <v>14.49</v>
      </c>
      <c r="R49" s="181">
        <v>13.9</v>
      </c>
      <c r="S49" s="181">
        <v>14.17</v>
      </c>
      <c r="T49" s="181">
        <v>13.86</v>
      </c>
      <c r="U49" s="181">
        <v>13.79</v>
      </c>
      <c r="V49" s="181">
        <v>13.83</v>
      </c>
      <c r="W49" s="181">
        <v>13.81</v>
      </c>
      <c r="X49" s="181">
        <v>13.76</v>
      </c>
      <c r="Y49" s="181">
        <v>13.72</v>
      </c>
      <c r="Z49" s="181">
        <v>13.72</v>
      </c>
    </row>
    <row r="50" spans="1:26" ht="14.5" x14ac:dyDescent="0.35">
      <c r="A50" s="10" t="s">
        <v>215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5" x14ac:dyDescent="0.35">
      <c r="A51" s="10" t="s">
        <v>145</v>
      </c>
      <c r="B51" s="54">
        <f t="shared" ref="B51:M51" ca="1" si="14">IF(B13-B43=0,"",B13-B43)</f>
        <v>-1.7012499057003083E-3</v>
      </c>
      <c r="C51" s="54">
        <f t="shared" ca="1" si="14"/>
        <v>-4.512831193999034E-4</v>
      </c>
      <c r="D51" s="54" t="str">
        <f t="shared" ca="1" si="14"/>
        <v/>
      </c>
      <c r="E51" s="54">
        <f t="shared" ca="1" si="14"/>
        <v>3.4261797643004854E-3</v>
      </c>
      <c r="F51" s="54">
        <f t="shared" ca="1" si="14"/>
        <v>1.4965012471996886E-3</v>
      </c>
      <c r="G51" s="54">
        <f t="shared" si="14"/>
        <v>-19.03</v>
      </c>
      <c r="H51" s="54">
        <f t="shared" si="14"/>
        <v>-15.02</v>
      </c>
      <c r="I51" s="54">
        <f t="shared" si="14"/>
        <v>-18.829999999999998</v>
      </c>
      <c r="J51" s="54">
        <f t="shared" si="14"/>
        <v>-19.03</v>
      </c>
      <c r="K51" s="54">
        <f t="shared" si="14"/>
        <v>-19.03</v>
      </c>
      <c r="L51" s="54">
        <f t="shared" si="14"/>
        <v>-15.02</v>
      </c>
      <c r="M51" s="54">
        <f t="shared" si="14"/>
        <v>-19.03</v>
      </c>
      <c r="N51" s="10" t="s">
        <v>145</v>
      </c>
      <c r="O51" s="54">
        <f t="shared" ref="O51:Z51" ca="1" si="15">IF(O13-O43=0,"",O13-O43)</f>
        <v>-1.7012499057003083E-3</v>
      </c>
      <c r="P51" s="54">
        <f t="shared" ca="1" si="15"/>
        <v>-4.1510643432989269E-3</v>
      </c>
      <c r="Q51" s="54">
        <f t="shared" ca="1" si="15"/>
        <v>-4.1510643432989269E-3</v>
      </c>
      <c r="R51" s="54">
        <f t="shared" ca="1" si="15"/>
        <v>-2.5239386331996627E-3</v>
      </c>
      <c r="S51" s="54">
        <f t="shared" ca="1" si="15"/>
        <v>-1.1917407465986685E-3</v>
      </c>
      <c r="T51" s="54">
        <f t="shared" si="15"/>
        <v>-16.77</v>
      </c>
      <c r="U51" s="54">
        <f t="shared" si="15"/>
        <v>-16.350000000000001</v>
      </c>
      <c r="V51" s="54">
        <f t="shared" si="15"/>
        <v>-16.77</v>
      </c>
      <c r="W51" s="54">
        <f t="shared" si="15"/>
        <v>-17.13</v>
      </c>
      <c r="X51" s="54">
        <f t="shared" si="15"/>
        <v>-17.41</v>
      </c>
      <c r="Y51" s="54">
        <f t="shared" si="15"/>
        <v>-17.12</v>
      </c>
      <c r="Z51" s="54">
        <f t="shared" si="15"/>
        <v>-17.329999999999998</v>
      </c>
    </row>
    <row r="52" spans="1:26" ht="14.5" x14ac:dyDescent="0.35">
      <c r="A52" s="10" t="s">
        <v>146</v>
      </c>
      <c r="B52" s="54">
        <f t="shared" ref="B52:M52" ca="1" si="16">IF(B14-B44=0,"",B14-B44)</f>
        <v>8.9525783659993863E-4</v>
      </c>
      <c r="C52" s="54">
        <f t="shared" ca="1" si="16"/>
        <v>-1.2106598081977893E-3</v>
      </c>
      <c r="D52" s="54">
        <f t="shared" ca="1" si="16"/>
        <v>1.7079511375008849E-3</v>
      </c>
      <c r="E52" s="54">
        <f t="shared" ca="1" si="16"/>
        <v>-2.1975483012006691E-3</v>
      </c>
      <c r="F52" s="54">
        <f t="shared" ca="1" si="16"/>
        <v>3.6313440608992664E-3</v>
      </c>
      <c r="G52" s="54">
        <f t="shared" si="16"/>
        <v>-16.190000000000001</v>
      </c>
      <c r="H52" s="54">
        <f t="shared" si="16"/>
        <v>-17.18</v>
      </c>
      <c r="I52" s="54">
        <f t="shared" si="16"/>
        <v>-17.18</v>
      </c>
      <c r="J52" s="54">
        <f t="shared" si="16"/>
        <v>-17.18</v>
      </c>
      <c r="K52" s="54">
        <f t="shared" si="16"/>
        <v>-17.18</v>
      </c>
      <c r="L52" s="54">
        <f t="shared" si="16"/>
        <v>-17.18</v>
      </c>
      <c r="M52" s="54">
        <f t="shared" si="16"/>
        <v>-17.100000000000001</v>
      </c>
      <c r="N52" s="10" t="s">
        <v>146</v>
      </c>
      <c r="O52" s="54">
        <f t="shared" ref="O52:Z52" ca="1" si="17">IF(O14-O44=0,"",O14-O44)</f>
        <v>8.9525783659993863E-4</v>
      </c>
      <c r="P52" s="54">
        <f t="shared" ca="1" si="17"/>
        <v>-2.237691307101386E-3</v>
      </c>
      <c r="Q52" s="54">
        <f t="shared" ca="1" si="17"/>
        <v>8.6345243419927442E-4</v>
      </c>
      <c r="R52" s="54">
        <f t="shared" ca="1" si="17"/>
        <v>-3.3747372100378925E-5</v>
      </c>
      <c r="S52" s="54">
        <f t="shared" ca="1" si="17"/>
        <v>8.9995769798179026E-5</v>
      </c>
      <c r="T52" s="54">
        <f t="shared" si="17"/>
        <v>-20.03</v>
      </c>
      <c r="U52" s="54">
        <f t="shared" si="17"/>
        <v>-19.55</v>
      </c>
      <c r="V52" s="54">
        <f t="shared" si="17"/>
        <v>-19.21</v>
      </c>
      <c r="W52" s="54">
        <f t="shared" si="17"/>
        <v>-18.96</v>
      </c>
      <c r="X52" s="54">
        <f t="shared" si="17"/>
        <v>-18.760000000000002</v>
      </c>
      <c r="Y52" s="54">
        <f t="shared" si="17"/>
        <v>-18.61</v>
      </c>
      <c r="Z52" s="54">
        <f t="shared" si="17"/>
        <v>-18.489999999999998</v>
      </c>
    </row>
    <row r="53" spans="1:26" ht="14.5" x14ac:dyDescent="0.35">
      <c r="A53" s="10" t="s">
        <v>147</v>
      </c>
      <c r="B53" s="54">
        <f t="shared" ref="B53:M53" ca="1" si="18">IF(B15-B45=0,"",B15-B45)</f>
        <v>1.5294343743015304E-3</v>
      </c>
      <c r="C53" s="54">
        <f t="shared" ca="1" si="18"/>
        <v>-6.8385741030141389E-4</v>
      </c>
      <c r="D53" s="54">
        <f t="shared" ca="1" si="18"/>
        <v>-4.6284677049968082E-4</v>
      </c>
      <c r="E53" s="54">
        <f t="shared" ca="1" si="18"/>
        <v>-3.8077193380985364E-3</v>
      </c>
      <c r="F53" s="54">
        <f t="shared" ca="1" si="18"/>
        <v>-8.1610471140081131E-4</v>
      </c>
      <c r="G53" s="54">
        <f t="shared" si="18"/>
        <v>-15.6</v>
      </c>
      <c r="H53" s="54">
        <f t="shared" si="18"/>
        <v>-15.6</v>
      </c>
      <c r="I53" s="54">
        <f t="shared" si="18"/>
        <v>-15.6</v>
      </c>
      <c r="J53" s="54">
        <f t="shared" si="18"/>
        <v>-15.6</v>
      </c>
      <c r="K53" s="54">
        <f t="shared" si="18"/>
        <v>-15.6</v>
      </c>
      <c r="L53" s="54">
        <f t="shared" si="18"/>
        <v>-15.6</v>
      </c>
      <c r="M53" s="54">
        <f t="shared" si="18"/>
        <v>-15.43</v>
      </c>
      <c r="N53" s="10" t="s">
        <v>147</v>
      </c>
      <c r="O53" s="54">
        <f t="shared" ref="O53:Z53" ca="1" si="19">IF(O15-O45=0,"",O15-O45)</f>
        <v>1.5294343743015304E-3</v>
      </c>
      <c r="P53" s="54">
        <f t="shared" ca="1" si="19"/>
        <v>-1.9584545358988237E-3</v>
      </c>
      <c r="Q53" s="54">
        <f t="shared" ca="1" si="19"/>
        <v>2.7997905351000441E-3</v>
      </c>
      <c r="R53" s="54">
        <f t="shared" ca="1" si="19"/>
        <v>-2.1579703672003347E-3</v>
      </c>
      <c r="S53" s="54">
        <f t="shared" ca="1" si="19"/>
        <v>-2.3544217731998884E-3</v>
      </c>
      <c r="T53" s="54">
        <f t="shared" si="19"/>
        <v>-15.54</v>
      </c>
      <c r="U53" s="54">
        <f t="shared" si="19"/>
        <v>-15.55</v>
      </c>
      <c r="V53" s="54">
        <f t="shared" si="19"/>
        <v>-15.56</v>
      </c>
      <c r="W53" s="54">
        <f t="shared" si="19"/>
        <v>-15.57</v>
      </c>
      <c r="X53" s="54">
        <f t="shared" si="19"/>
        <v>-15.57</v>
      </c>
      <c r="Y53" s="54">
        <f t="shared" si="19"/>
        <v>-15.57</v>
      </c>
      <c r="Z53" s="54">
        <f t="shared" si="19"/>
        <v>-15.56</v>
      </c>
    </row>
    <row r="54" spans="1:26" ht="14.5" x14ac:dyDescent="0.35">
      <c r="A54" s="10" t="s">
        <v>148</v>
      </c>
      <c r="B54" s="54">
        <f t="shared" ref="B54:M54" ca="1" si="20">IF(B16-B46=0,"",B16-B46)</f>
        <v>4.6463364185491685E-3</v>
      </c>
      <c r="C54" s="54">
        <f t="shared" ca="1" si="20"/>
        <v>3.2912115931793551E-3</v>
      </c>
      <c r="D54" s="54">
        <f t="shared" ca="1" si="20"/>
        <v>-1.4949670182495822E-3</v>
      </c>
      <c r="E54" s="54">
        <f t="shared" ca="1" si="20"/>
        <v>4.1214153828050826E-4</v>
      </c>
      <c r="F54" s="54">
        <f t="shared" ca="1" si="20"/>
        <v>-3.8971906506901632E-3</v>
      </c>
      <c r="G54" s="54">
        <f t="shared" si="20"/>
        <v>-5.74</v>
      </c>
      <c r="H54" s="54">
        <f t="shared" si="20"/>
        <v>-5.47</v>
      </c>
      <c r="I54" s="54">
        <f t="shared" si="20"/>
        <v>-6.08</v>
      </c>
      <c r="J54" s="54">
        <f t="shared" si="20"/>
        <v>-5.42</v>
      </c>
      <c r="K54" s="54">
        <f t="shared" si="20"/>
        <v>-5.43</v>
      </c>
      <c r="L54" s="54">
        <f t="shared" si="20"/>
        <v>-5.42</v>
      </c>
      <c r="M54" s="54">
        <f t="shared" si="20"/>
        <v>-5</v>
      </c>
      <c r="N54" s="10" t="s">
        <v>148</v>
      </c>
      <c r="O54" s="54">
        <f t="shared" ref="O54:Z54" ca="1" si="21">IF(O16-O46=0,"",O16-O46)</f>
        <v>4.6463364185491685E-3</v>
      </c>
      <c r="P54" s="54">
        <f t="shared" ca="1" si="21"/>
        <v>1.9266836246210062E-3</v>
      </c>
      <c r="Q54" s="54">
        <f t="shared" ca="1" si="21"/>
        <v>4.5958207943392893E-3</v>
      </c>
      <c r="R54" s="54">
        <f t="shared" ca="1" si="21"/>
        <v>1.5066967674908227E-3</v>
      </c>
      <c r="S54" s="54">
        <f t="shared" ca="1" si="21"/>
        <v>-1.1377081098089548E-3</v>
      </c>
      <c r="T54" s="54">
        <f t="shared" si="21"/>
        <v>-7.81</v>
      </c>
      <c r="U54" s="54">
        <f t="shared" si="21"/>
        <v>-7.49</v>
      </c>
      <c r="V54" s="54">
        <f t="shared" si="21"/>
        <v>-7.44</v>
      </c>
      <c r="W54" s="54">
        <f t="shared" si="21"/>
        <v>-7.19</v>
      </c>
      <c r="X54" s="54">
        <f t="shared" si="21"/>
        <v>-6.99</v>
      </c>
      <c r="Y54" s="54">
        <f t="shared" si="21"/>
        <v>-6.91</v>
      </c>
      <c r="Z54" s="54">
        <f t="shared" si="21"/>
        <v>-6.82</v>
      </c>
    </row>
    <row r="55" spans="1:26" ht="14.5" x14ac:dyDescent="0.35">
      <c r="A55" s="10" t="s">
        <v>149</v>
      </c>
      <c r="B55" s="54">
        <f t="shared" ref="B55:M55" ca="1" si="22">IF(B17-B47=0,"",B17-B47)</f>
        <v>-4.6506543650206567E-3</v>
      </c>
      <c r="C55" s="54">
        <f t="shared" ca="1" si="22"/>
        <v>2.6741504616403233E-3</v>
      </c>
      <c r="D55" s="54">
        <f t="shared" ca="1" si="22"/>
        <v>2.5096825299293357E-3</v>
      </c>
      <c r="E55" s="54">
        <f t="shared" ca="1" si="22"/>
        <v>1.6243703069029891E-4</v>
      </c>
      <c r="F55" s="54">
        <f t="shared" ca="1" si="22"/>
        <v>-2.9100661875283151E-3</v>
      </c>
      <c r="G55" s="54">
        <f t="shared" si="22"/>
        <v>-6.25</v>
      </c>
      <c r="H55" s="54">
        <f t="shared" si="22"/>
        <v>-6.25</v>
      </c>
      <c r="I55" s="54">
        <f t="shared" si="22"/>
        <v>-6.25</v>
      </c>
      <c r="J55" s="54">
        <f t="shared" si="22"/>
        <v>-6.25</v>
      </c>
      <c r="K55" s="54">
        <f t="shared" si="22"/>
        <v>-6.25</v>
      </c>
      <c r="L55" s="54">
        <f t="shared" si="22"/>
        <v>-6.24</v>
      </c>
      <c r="M55" s="54">
        <f t="shared" si="22"/>
        <v>-6.24</v>
      </c>
      <c r="N55" s="10" t="s">
        <v>149</v>
      </c>
      <c r="O55" s="54">
        <f t="shared" ref="O55:Z55" ca="1" si="23">IF(O17-O47=0,"",O17-O47)</f>
        <v>-4.6506543650206567E-3</v>
      </c>
      <c r="P55" s="54">
        <f t="shared" ca="1" si="23"/>
        <v>3.3579359715805168E-3</v>
      </c>
      <c r="Q55" s="54">
        <f t="shared" ca="1" si="23"/>
        <v>2.2815985948909656E-4</v>
      </c>
      <c r="R55" s="54">
        <f t="shared" ca="1" si="23"/>
        <v>4.0971283660899971E-3</v>
      </c>
      <c r="S55" s="54">
        <f t="shared" ca="1" si="23"/>
        <v>-3.7824957010901272E-3</v>
      </c>
      <c r="T55" s="54">
        <f t="shared" si="23"/>
        <v>-7.73</v>
      </c>
      <c r="U55" s="54">
        <f t="shared" si="23"/>
        <v>-7.61</v>
      </c>
      <c r="V55" s="54">
        <f t="shared" si="23"/>
        <v>-7.42</v>
      </c>
      <c r="W55" s="54">
        <f t="shared" si="23"/>
        <v>-7.32</v>
      </c>
      <c r="X55" s="54">
        <f t="shared" si="23"/>
        <v>-7.2</v>
      </c>
      <c r="Y55" s="54">
        <f t="shared" si="23"/>
        <v>-7.11</v>
      </c>
      <c r="Z55" s="54">
        <f t="shared" si="23"/>
        <v>-7.03</v>
      </c>
    </row>
    <row r="56" spans="1:26" ht="14.5" x14ac:dyDescent="0.35">
      <c r="A56" s="10" t="s">
        <v>150</v>
      </c>
      <c r="B56" s="54">
        <f t="shared" ref="B56:M56" ca="1" si="24">IF(B18-B48=0,"",B18-B48)</f>
        <v>-1.4951208868598798E-3</v>
      </c>
      <c r="C56" s="54">
        <f t="shared" ca="1" si="24"/>
        <v>-2.3799675694800015E-3</v>
      </c>
      <c r="D56" s="54">
        <f t="shared" ca="1" si="24"/>
        <v>2.9141276738897659E-3</v>
      </c>
      <c r="E56" s="54">
        <f t="shared" ca="1" si="24"/>
        <v>3.5742336278001829E-3</v>
      </c>
      <c r="F56" s="54">
        <f t="shared" ca="1" si="24"/>
        <v>-2.3091798439516253E-3</v>
      </c>
      <c r="G56" s="54">
        <f t="shared" si="24"/>
        <v>-7.3</v>
      </c>
      <c r="H56" s="54">
        <f t="shared" si="24"/>
        <v>-8.6199999999999992</v>
      </c>
      <c r="I56" s="54">
        <f t="shared" si="24"/>
        <v>-8.6199999999999992</v>
      </c>
      <c r="J56" s="54">
        <f t="shared" si="24"/>
        <v>-8.6199999999999992</v>
      </c>
      <c r="K56" s="54">
        <f t="shared" si="24"/>
        <v>-8.6199999999999992</v>
      </c>
      <c r="L56" s="54">
        <f t="shared" si="24"/>
        <v>-8.6199999999999992</v>
      </c>
      <c r="M56" s="54">
        <f t="shared" si="24"/>
        <v>-8.6199999999999992</v>
      </c>
      <c r="N56" s="10" t="s">
        <v>150</v>
      </c>
      <c r="O56" s="54">
        <f t="shared" ref="O56:Z56" ca="1" si="25">IF(O18-O48=0,"",O18-O48)</f>
        <v>-1.4951208868598798E-3</v>
      </c>
      <c r="P56" s="54">
        <f t="shared" ca="1" si="25"/>
        <v>3.8883929716195809E-3</v>
      </c>
      <c r="Q56" s="54">
        <f t="shared" ca="1" si="25"/>
        <v>4.755152957729436E-3</v>
      </c>
      <c r="R56" s="54">
        <f t="shared" ca="1" si="25"/>
        <v>-3.2200921737706167E-3</v>
      </c>
      <c r="S56" s="54">
        <f t="shared" ca="1" si="25"/>
        <v>-7.0834408586062381E-4</v>
      </c>
      <c r="T56" s="54">
        <f t="shared" si="25"/>
        <v>-7.73</v>
      </c>
      <c r="U56" s="54">
        <f t="shared" si="25"/>
        <v>-7.9</v>
      </c>
      <c r="V56" s="54">
        <f t="shared" si="25"/>
        <v>-8.01</v>
      </c>
      <c r="W56" s="54">
        <f t="shared" si="25"/>
        <v>-8.09</v>
      </c>
      <c r="X56" s="54">
        <f t="shared" si="25"/>
        <v>-8.16</v>
      </c>
      <c r="Y56" s="54">
        <f t="shared" si="25"/>
        <v>-8.2100000000000009</v>
      </c>
      <c r="Z56" s="54">
        <f t="shared" si="25"/>
        <v>-8.25</v>
      </c>
    </row>
    <row r="57" spans="1:26" ht="14.5" x14ac:dyDescent="0.35">
      <c r="A57" s="10" t="s">
        <v>151</v>
      </c>
      <c r="B57" s="54">
        <f t="shared" ref="B57:M57" ca="1" si="26">IF(B19-B49=0,"",B19-B49)</f>
        <v>3.767536623300316E-3</v>
      </c>
      <c r="C57" s="54">
        <f t="shared" ca="1" si="26"/>
        <v>-1.194595952998867E-3</v>
      </c>
      <c r="D57" s="54">
        <f t="shared" ca="1" si="26"/>
        <v>-3.9339541170058112E-4</v>
      </c>
      <c r="E57" s="54">
        <f t="shared" ca="1" si="26"/>
        <v>3.1803944402994944E-3</v>
      </c>
      <c r="F57" s="54">
        <f t="shared" ca="1" si="26"/>
        <v>-2.0638895271005708E-3</v>
      </c>
      <c r="G57" s="54">
        <f t="shared" si="26"/>
        <v>-12.42</v>
      </c>
      <c r="H57" s="54">
        <f t="shared" si="26"/>
        <v>-13.39</v>
      </c>
      <c r="I57" s="54">
        <f t="shared" si="26"/>
        <v>-14.1</v>
      </c>
      <c r="J57" s="54">
        <f t="shared" si="26"/>
        <v>-13.71</v>
      </c>
      <c r="K57" s="54">
        <f t="shared" si="26"/>
        <v>-13.4</v>
      </c>
      <c r="L57" s="54">
        <f t="shared" si="26"/>
        <v>-13.32</v>
      </c>
      <c r="M57" s="54">
        <f t="shared" si="26"/>
        <v>-13.67</v>
      </c>
      <c r="N57" s="10" t="s">
        <v>151</v>
      </c>
      <c r="O57" s="54">
        <f t="shared" ref="O57:Z57" ca="1" si="27">IF(O19-O49=0,"",O19-O49)</f>
        <v>3.767536623300316E-3</v>
      </c>
      <c r="P57" s="54">
        <f t="shared" ca="1" si="27"/>
        <v>3.219494095999309E-3</v>
      </c>
      <c r="Q57" s="54">
        <f t="shared" ca="1" si="27"/>
        <v>-3.7153315709002044E-3</v>
      </c>
      <c r="R57" s="54">
        <f t="shared" ca="1" si="27"/>
        <v>1.922922085499934E-3</v>
      </c>
      <c r="S57" s="54">
        <f t="shared" ca="1" si="27"/>
        <v>4.0376942004005656E-3</v>
      </c>
      <c r="T57" s="54">
        <f t="shared" si="27"/>
        <v>-13.86</v>
      </c>
      <c r="U57" s="54">
        <f t="shared" si="27"/>
        <v>-13.79</v>
      </c>
      <c r="V57" s="54">
        <f t="shared" si="27"/>
        <v>-13.83</v>
      </c>
      <c r="W57" s="54">
        <f t="shared" si="27"/>
        <v>-13.81</v>
      </c>
      <c r="X57" s="54">
        <f t="shared" si="27"/>
        <v>-13.76</v>
      </c>
      <c r="Y57" s="54">
        <f t="shared" si="27"/>
        <v>-13.72</v>
      </c>
      <c r="Z57" s="54">
        <f t="shared" si="27"/>
        <v>-13.72</v>
      </c>
    </row>
    <row r="58" spans="1:26" ht="14.5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5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5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5" x14ac:dyDescent="0.35">
      <c r="A61" s="9"/>
      <c r="B61" s="17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5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5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5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5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5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5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5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5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5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5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5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5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5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5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5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5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5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5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5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5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5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5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5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5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5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5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5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5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5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5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5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5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5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5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5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5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5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5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5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5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5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5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5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5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5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5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5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5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5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5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5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5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5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5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5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5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5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5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5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5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5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5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5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5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5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5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5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5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5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5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5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5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5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5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5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5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5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5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5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5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5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5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5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5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5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5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5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5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5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5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5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5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5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5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5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5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5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5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5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5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5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5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5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5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5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5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5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5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5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5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5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5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5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5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5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5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5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5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5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5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5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5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5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5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5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5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5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5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5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5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5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5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5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5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5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5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5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5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5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5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5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5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5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5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5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5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5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5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5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5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5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5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5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5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5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5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5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5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5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5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5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5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5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5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5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5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5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5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5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5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5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5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5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5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5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5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5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5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5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5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5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5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5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5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5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5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5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5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5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5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5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5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5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5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5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5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5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5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5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5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5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5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5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5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5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5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5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5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5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5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5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5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5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5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5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5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5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5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5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5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5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5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5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5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5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5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5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5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5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5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5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5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5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5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5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5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5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5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5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5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5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5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5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5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5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5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5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5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5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5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5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5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5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5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5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5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5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5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5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5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5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5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5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5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5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5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5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5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5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5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5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5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5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5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5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5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5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5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5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5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5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5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5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5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5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5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5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5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5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5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5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5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5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5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5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5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5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5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5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5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5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5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5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5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5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5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5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5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5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5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5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5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5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5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5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5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5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5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5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5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5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5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5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5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5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5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5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5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5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5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5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5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5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5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5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5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5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5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5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5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5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5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5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5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5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5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5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5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5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5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5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5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5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5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5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5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5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5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5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5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5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5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5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5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5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5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5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5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5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5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5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5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5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5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5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5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5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5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5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5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5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5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5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5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5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5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5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5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5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5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5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5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5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5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5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5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5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5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5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5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5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5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5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5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5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5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5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5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5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5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5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5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5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5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5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5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5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5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5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5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5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5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5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5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5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5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5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5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5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5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5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5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5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5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5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5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5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5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5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5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5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5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5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5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5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5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5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5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5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5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5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5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5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5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5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5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5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5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5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5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5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5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5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5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5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5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5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5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5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5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5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5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5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5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5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5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5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5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5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5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5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5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5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5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5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5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5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5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5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5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5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5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5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5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5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5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5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5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5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5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5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5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5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5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5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5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5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5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5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5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5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5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5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5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5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5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5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5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5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5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5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5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5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5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5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5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5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5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5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5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5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5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5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5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5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5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5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5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5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5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5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5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5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5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5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5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5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5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5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5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5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5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5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5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5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5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5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5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5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5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5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5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5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5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5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5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5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5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5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5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5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5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5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5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5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5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5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5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5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5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5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5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5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5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5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5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5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5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5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5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5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5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5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5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5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5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5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5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5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5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5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5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5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5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5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5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5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5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5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5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5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5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5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5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5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5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5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5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5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5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5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5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5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5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5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5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5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5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5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5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5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5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5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5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5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5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5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5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5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5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5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5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5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5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5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5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5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5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5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5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5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5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5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5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5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5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5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5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5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5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5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5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5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5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5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5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5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5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5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5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5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5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5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5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5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5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5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5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5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5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5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5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5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5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5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5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5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5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5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5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5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5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5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5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5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5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5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5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5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5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5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5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5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5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5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5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5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5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5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5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5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5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5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5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5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5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5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5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5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5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5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5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5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5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5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5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5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5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5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5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5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5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5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5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5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5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5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5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5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5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5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5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5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5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5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5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5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5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5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5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5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5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5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5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5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5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5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5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5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5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5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5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5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5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5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5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5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5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5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5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5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5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5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5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5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5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5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5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5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5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5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5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5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5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5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5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5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5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5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5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5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5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5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5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5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5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5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5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5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5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5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5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5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5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5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5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5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5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5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5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5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5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5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5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5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5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5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5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5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5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5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5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5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5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5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5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5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5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5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5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5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5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5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5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5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5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5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5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5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5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5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5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5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5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5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5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5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5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5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5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5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5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5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5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5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5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5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5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5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5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5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5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5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5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5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5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5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5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5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5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5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5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5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5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5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5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5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5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5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5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5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5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5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5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5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5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5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5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5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5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5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5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5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5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5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5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5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5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5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5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5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5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5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5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5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5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5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5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5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5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5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5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5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5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5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5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5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5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5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5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5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5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5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5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5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5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5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5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5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5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5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5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5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5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5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5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5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5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0">
    <mergeCell ref="A21:A22"/>
    <mergeCell ref="B21:M21"/>
    <mergeCell ref="N21:N22"/>
    <mergeCell ref="O21:Z21"/>
    <mergeCell ref="A1:A2"/>
    <mergeCell ref="B1:M1"/>
    <mergeCell ref="N1:N2"/>
    <mergeCell ref="O1:Z1"/>
    <mergeCell ref="B11:M11"/>
    <mergeCell ref="N11:N12"/>
    <mergeCell ref="O11:Z11"/>
    <mergeCell ref="A11:A12"/>
    <mergeCell ref="A31:A32"/>
    <mergeCell ref="N31:N32"/>
    <mergeCell ref="B31:M31"/>
    <mergeCell ref="O31:Z31"/>
    <mergeCell ref="A41:A42"/>
    <mergeCell ref="B41:M41"/>
    <mergeCell ref="N41:N42"/>
    <mergeCell ref="O41:Z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C1021"/>
  <sheetViews>
    <sheetView workbookViewId="0"/>
  </sheetViews>
  <sheetFormatPr defaultColWidth="12.6328125" defaultRowHeight="15.75" customHeight="1" x14ac:dyDescent="0.25"/>
  <cols>
    <col min="1" max="1" width="51.7265625" customWidth="1"/>
    <col min="16" max="16" width="48.6328125" customWidth="1"/>
  </cols>
  <sheetData>
    <row r="1" spans="1:29" ht="15.75" customHeight="1" x14ac:dyDescent="0.25">
      <c r="A1" s="171" t="s">
        <v>216</v>
      </c>
      <c r="B1" s="172">
        <v>0.53100000000000003</v>
      </c>
      <c r="C1" s="182" t="s">
        <v>217</v>
      </c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83"/>
      <c r="Q1" s="120"/>
      <c r="R1" s="120"/>
      <c r="S1" s="120"/>
      <c r="W1" s="120"/>
      <c r="X1" s="120"/>
      <c r="Y1" s="120"/>
      <c r="Z1" s="120"/>
      <c r="AA1" s="120"/>
      <c r="AB1" s="120"/>
      <c r="AC1" s="120"/>
    </row>
    <row r="2" spans="1:29" ht="15.75" customHeight="1" x14ac:dyDescent="0.3">
      <c r="A2" s="184" t="s">
        <v>218</v>
      </c>
      <c r="B2" s="117" t="s">
        <v>4</v>
      </c>
      <c r="C2" s="117" t="s">
        <v>5</v>
      </c>
      <c r="D2" s="117" t="s">
        <v>6</v>
      </c>
      <c r="E2" s="117" t="s">
        <v>7</v>
      </c>
      <c r="F2" s="117" t="s">
        <v>8</v>
      </c>
      <c r="G2" s="117" t="s">
        <v>9</v>
      </c>
      <c r="H2" s="117" t="s">
        <v>10</v>
      </c>
      <c r="I2" s="117" t="s">
        <v>11</v>
      </c>
      <c r="J2" s="117" t="s">
        <v>12</v>
      </c>
      <c r="K2" s="117" t="s">
        <v>13</v>
      </c>
      <c r="L2" s="117" t="s">
        <v>14</v>
      </c>
      <c r="M2" s="117" t="s">
        <v>15</v>
      </c>
      <c r="N2" s="120"/>
      <c r="O2" s="120"/>
      <c r="P2" s="182" t="s">
        <v>218</v>
      </c>
      <c r="Q2" s="117" t="s">
        <v>4</v>
      </c>
      <c r="R2" s="117" t="s">
        <v>5</v>
      </c>
      <c r="S2" s="117" t="s">
        <v>6</v>
      </c>
      <c r="T2" s="117" t="s">
        <v>7</v>
      </c>
      <c r="U2" s="117" t="s">
        <v>8</v>
      </c>
      <c r="V2" s="117" t="s">
        <v>9</v>
      </c>
      <c r="W2" s="117" t="s">
        <v>10</v>
      </c>
      <c r="X2" s="117" t="s">
        <v>11</v>
      </c>
      <c r="Y2" s="117" t="s">
        <v>12</v>
      </c>
      <c r="Z2" s="117" t="s">
        <v>13</v>
      </c>
      <c r="AA2" s="117" t="s">
        <v>14</v>
      </c>
      <c r="AB2" s="117" t="s">
        <v>15</v>
      </c>
      <c r="AC2" s="117"/>
    </row>
    <row r="3" spans="1:29" ht="15.75" customHeight="1" x14ac:dyDescent="0.25">
      <c r="A3" s="182" t="s">
        <v>145</v>
      </c>
      <c r="B3" s="138" t="e">
        <f>'CF Monitor Dashboard'!B3/100*$B$1*1000</f>
        <v>#REF!</v>
      </c>
      <c r="C3" s="138" t="e">
        <f>'CF Monitor Dashboard'!C3/100*$B$1*1000</f>
        <v>#REF!</v>
      </c>
      <c r="D3" s="138" t="e">
        <f>'CF Monitor Dashboard'!D3/100*$B$1*1000</f>
        <v>#REF!</v>
      </c>
      <c r="E3" s="138" t="e">
        <f>'CF Monitor Dashboard'!E3/100*$B$1*1000</f>
        <v>#REF!</v>
      </c>
      <c r="F3" s="138" t="e">
        <f>'CF Monitor Dashboard'!F3/100*$B$1*1000</f>
        <v>#REF!</v>
      </c>
      <c r="G3" s="138" t="e">
        <f>'CF Monitor Dashboard'!G3/100*$B$1*1000</f>
        <v>#REF!</v>
      </c>
      <c r="H3" s="138" t="e">
        <f>'CF Monitor Dashboard'!H3/100*$B$1*1000</f>
        <v>#REF!</v>
      </c>
      <c r="I3" s="138" t="e">
        <f>'CF Monitor Dashboard'!I3/100*$B$1*1000</f>
        <v>#REF!</v>
      </c>
      <c r="J3" s="138" t="e">
        <f>'CF Monitor Dashboard'!J3/100*$B$1*1000</f>
        <v>#REF!</v>
      </c>
      <c r="K3" s="138" t="e">
        <f>'CF Monitor Dashboard'!K3/100*$B$1*1000</f>
        <v>#REF!</v>
      </c>
      <c r="L3" s="138" t="e">
        <f>'CF Monitor Dashboard'!L3/100*$B$1*1000</f>
        <v>#REF!</v>
      </c>
      <c r="M3" s="138" t="e">
        <f>'CF Monitor Dashboard'!M3/100*$B$1*1000</f>
        <v>#REF!</v>
      </c>
      <c r="P3" s="185" t="s">
        <v>145</v>
      </c>
      <c r="Q3" s="138" t="e">
        <f>'CF Monitor Dashboard'!B34/100*$B$1*1000</f>
        <v>#REF!</v>
      </c>
      <c r="R3" s="138" t="e">
        <f>'CF Monitor Dashboard'!C34/100*$B$1*1000</f>
        <v>#REF!</v>
      </c>
      <c r="S3" s="138" t="e">
        <f>'CF Monitor Dashboard'!D34/100*$B$1*1000</f>
        <v>#REF!</v>
      </c>
      <c r="T3" s="138" t="e">
        <f>'CF Monitor Dashboard'!E34/100*$B$1*1000</f>
        <v>#REF!</v>
      </c>
      <c r="U3" s="138" t="e">
        <f>'CF Monitor Dashboard'!F34/100*$B$1*1000</f>
        <v>#REF!</v>
      </c>
      <c r="V3" s="138" t="e">
        <f>'CF Monitor Dashboard'!G34/100*$B$1*1000</f>
        <v>#REF!</v>
      </c>
      <c r="W3" s="138" t="e">
        <f>'CF Monitor Dashboard'!H34/100*$B$1*1000</f>
        <v>#REF!</v>
      </c>
      <c r="X3" s="138" t="e">
        <f>'CF Monitor Dashboard'!I34/100*$B$1*1000</f>
        <v>#REF!</v>
      </c>
      <c r="Y3" s="138" t="e">
        <f>'CF Monitor Dashboard'!J34/100*$B$1*1000</f>
        <v>#REF!</v>
      </c>
      <c r="Z3" s="138" t="e">
        <f>'CF Monitor Dashboard'!K34/100*$B$1*1000</f>
        <v>#REF!</v>
      </c>
      <c r="AA3" s="138" t="e">
        <f>'CF Monitor Dashboard'!L34/100*$B$1*1000</f>
        <v>#REF!</v>
      </c>
      <c r="AB3" s="138" t="e">
        <f>'CF Monitor Dashboard'!M34/100*$B$1*1000</f>
        <v>#REF!</v>
      </c>
      <c r="AC3" s="138"/>
    </row>
    <row r="4" spans="1:29" ht="15.75" customHeight="1" x14ac:dyDescent="0.25">
      <c r="A4" s="182" t="s">
        <v>146</v>
      </c>
      <c r="B4" s="138" t="e">
        <f>'CF Monitor Dashboard'!B11/100*$B$1*1000</f>
        <v>#REF!</v>
      </c>
      <c r="C4" s="138" t="e">
        <f>'CF Monitor Dashboard'!C11/100*$B$1*1000</f>
        <v>#REF!</v>
      </c>
      <c r="D4" s="138" t="e">
        <f>'CF Monitor Dashboard'!D11/100*$B$1*1000</f>
        <v>#REF!</v>
      </c>
      <c r="E4" s="138" t="e">
        <f>'CF Monitor Dashboard'!E11/100*$B$1*1000</f>
        <v>#REF!</v>
      </c>
      <c r="F4" s="138" t="e">
        <f>'CF Monitor Dashboard'!F11/100*$B$1*1000</f>
        <v>#REF!</v>
      </c>
      <c r="G4" s="138" t="e">
        <f>'CF Monitor Dashboard'!G11/100*$B$1*1000</f>
        <v>#REF!</v>
      </c>
      <c r="H4" s="138" t="e">
        <f>'CF Monitor Dashboard'!H11/100*$B$1*1000</f>
        <v>#REF!</v>
      </c>
      <c r="I4" s="138" t="e">
        <f>'CF Monitor Dashboard'!I11/100*$B$1*1000</f>
        <v>#REF!</v>
      </c>
      <c r="J4" s="138" t="e">
        <f>'CF Monitor Dashboard'!J11/100*$B$1*1000</f>
        <v>#REF!</v>
      </c>
      <c r="K4" s="138" t="e">
        <f>'CF Monitor Dashboard'!K11/100*$B$1*1000</f>
        <v>#REF!</v>
      </c>
      <c r="L4" s="138" t="e">
        <f>'CF Monitor Dashboard'!L11/100*$B$1*1000</f>
        <v>#REF!</v>
      </c>
      <c r="M4" s="138" t="e">
        <f>'CF Monitor Dashboard'!M11/100*$B$1*1000</f>
        <v>#REF!</v>
      </c>
      <c r="P4" s="185" t="s">
        <v>146</v>
      </c>
      <c r="Q4" s="138" t="e">
        <f>'CF Monitor Dashboard'!B42/100*$B$1*1000</f>
        <v>#REF!</v>
      </c>
      <c r="R4" s="138" t="e">
        <f>'CF Monitor Dashboard'!C42/100*$B$1*1000</f>
        <v>#REF!</v>
      </c>
      <c r="S4" s="138" t="e">
        <f>'CF Monitor Dashboard'!D42/100*$B$1*1000</f>
        <v>#REF!</v>
      </c>
      <c r="T4" s="138" t="e">
        <f>'CF Monitor Dashboard'!E42/100*$B$1*1000</f>
        <v>#REF!</v>
      </c>
      <c r="U4" s="138" t="e">
        <f>'CF Monitor Dashboard'!F42/100*$B$1*1000</f>
        <v>#REF!</v>
      </c>
      <c r="V4" s="138" t="e">
        <f>'CF Monitor Dashboard'!G42/100*$B$1*1000</f>
        <v>#REF!</v>
      </c>
      <c r="W4" s="138" t="e">
        <f>'CF Monitor Dashboard'!H42/100*$B$1*1000</f>
        <v>#REF!</v>
      </c>
      <c r="X4" s="138" t="e">
        <f>'CF Monitor Dashboard'!I42/100*$B$1*1000</f>
        <v>#REF!</v>
      </c>
      <c r="Y4" s="138" t="e">
        <f>'CF Monitor Dashboard'!J42/100*$B$1*1000</f>
        <v>#REF!</v>
      </c>
      <c r="Z4" s="138" t="e">
        <f>'CF Monitor Dashboard'!K42/100*$B$1*1000</f>
        <v>#REF!</v>
      </c>
      <c r="AA4" s="138" t="e">
        <f>'CF Monitor Dashboard'!L42/100*$B$1*1000</f>
        <v>#REF!</v>
      </c>
      <c r="AB4" s="138" t="e">
        <f>'CF Monitor Dashboard'!M42/100*$B$1*1000</f>
        <v>#REF!</v>
      </c>
      <c r="AC4" s="138"/>
    </row>
    <row r="5" spans="1:29" ht="15.75" customHeight="1" x14ac:dyDescent="0.25">
      <c r="A5" s="182" t="s">
        <v>147</v>
      </c>
      <c r="B5" s="138" t="e">
        <f>'CF Monitor Dashboard'!B15/100*$B$1*1000</f>
        <v>#REF!</v>
      </c>
      <c r="C5" s="138" t="e">
        <f>'CF Monitor Dashboard'!C15/100*$B$1*1000</f>
        <v>#REF!</v>
      </c>
      <c r="D5" s="138" t="e">
        <f>'CF Monitor Dashboard'!D15/100*$B$1*1000</f>
        <v>#REF!</v>
      </c>
      <c r="E5" s="138" t="e">
        <f>'CF Monitor Dashboard'!E15/100*$B$1*1000</f>
        <v>#REF!</v>
      </c>
      <c r="F5" s="138" t="e">
        <f>'CF Monitor Dashboard'!F15/100*$B$1*1000</f>
        <v>#REF!</v>
      </c>
      <c r="G5" s="138" t="e">
        <f>'CF Monitor Dashboard'!G15/100*$B$1*1000</f>
        <v>#REF!</v>
      </c>
      <c r="H5" s="138" t="e">
        <f>'CF Monitor Dashboard'!H15/100*$B$1*1000</f>
        <v>#REF!</v>
      </c>
      <c r="I5" s="138" t="e">
        <f>'CF Monitor Dashboard'!I15/100*$B$1*1000</f>
        <v>#REF!</v>
      </c>
      <c r="J5" s="138" t="e">
        <f>'CF Monitor Dashboard'!J15/100*$B$1*1000</f>
        <v>#REF!</v>
      </c>
      <c r="K5" s="138" t="e">
        <f>'CF Monitor Dashboard'!K15/100*$B$1*1000</f>
        <v>#REF!</v>
      </c>
      <c r="L5" s="138" t="e">
        <f>'CF Monitor Dashboard'!L15/100*$B$1*1000</f>
        <v>#REF!</v>
      </c>
      <c r="M5" s="138" t="e">
        <f>'CF Monitor Dashboard'!M15/100*$B$1*1000</f>
        <v>#REF!</v>
      </c>
      <c r="P5" s="185" t="s">
        <v>147</v>
      </c>
      <c r="Q5" s="138" t="e">
        <f>'CF Monitor Dashboard'!B46/100*$B$1*1000</f>
        <v>#REF!</v>
      </c>
      <c r="R5" s="138" t="e">
        <f>'CF Monitor Dashboard'!C46/100*$B$1*1000</f>
        <v>#REF!</v>
      </c>
      <c r="S5" s="138" t="e">
        <f>'CF Monitor Dashboard'!D46/100*$B$1*1000</f>
        <v>#REF!</v>
      </c>
      <c r="T5" s="138" t="e">
        <f>'CF Monitor Dashboard'!E46/100*$B$1*1000</f>
        <v>#REF!</v>
      </c>
      <c r="U5" s="138" t="e">
        <f>'CF Monitor Dashboard'!F46/100*$B$1*1000</f>
        <v>#REF!</v>
      </c>
      <c r="V5" s="138" t="e">
        <f>'CF Monitor Dashboard'!G46/100*$B$1*1000</f>
        <v>#REF!</v>
      </c>
      <c r="W5" s="138" t="e">
        <f>'CF Monitor Dashboard'!H46/100*$B$1*1000</f>
        <v>#REF!</v>
      </c>
      <c r="X5" s="138" t="e">
        <f>'CF Monitor Dashboard'!I46/100*$B$1*1000</f>
        <v>#REF!</v>
      </c>
      <c r="Y5" s="138" t="e">
        <f>'CF Monitor Dashboard'!J46/100*$B$1*1000</f>
        <v>#REF!</v>
      </c>
      <c r="Z5" s="138" t="e">
        <f>'CF Monitor Dashboard'!K46/100*$B$1*1000</f>
        <v>#REF!</v>
      </c>
      <c r="AA5" s="138" t="e">
        <f>'CF Monitor Dashboard'!L46/100*$B$1*1000</f>
        <v>#REF!</v>
      </c>
      <c r="AB5" s="138" t="e">
        <f>'CF Monitor Dashboard'!M46/100*$B$1*1000</f>
        <v>#REF!</v>
      </c>
      <c r="AC5" s="138"/>
    </row>
    <row r="6" spans="1:29" ht="15.75" customHeight="1" x14ac:dyDescent="0.25">
      <c r="A6" s="182" t="s">
        <v>148</v>
      </c>
      <c r="B6" s="138" t="e">
        <f>'CF Monitor Dashboard'!B16/100*$B$1*1000</f>
        <v>#REF!</v>
      </c>
      <c r="C6" s="138" t="e">
        <f>'CF Monitor Dashboard'!C16/100*$B$1*1000</f>
        <v>#REF!</v>
      </c>
      <c r="D6" s="138" t="e">
        <f>'CF Monitor Dashboard'!D16/100*$B$1*1000</f>
        <v>#REF!</v>
      </c>
      <c r="E6" s="138" t="e">
        <f>'CF Monitor Dashboard'!E16/100*$B$1*1000</f>
        <v>#REF!</v>
      </c>
      <c r="F6" s="138" t="e">
        <f>'CF Monitor Dashboard'!F16/100*$B$1*1000</f>
        <v>#REF!</v>
      </c>
      <c r="G6" s="138" t="e">
        <f>'CF Monitor Dashboard'!G16/100*$B$1*1000</f>
        <v>#REF!</v>
      </c>
      <c r="H6" s="138" t="e">
        <f>'CF Monitor Dashboard'!H16/100*$B$1*1000</f>
        <v>#REF!</v>
      </c>
      <c r="I6" s="138" t="e">
        <f>'CF Monitor Dashboard'!I16/100*$B$1*1000</f>
        <v>#REF!</v>
      </c>
      <c r="J6" s="138" t="e">
        <f>'CF Monitor Dashboard'!J16/100*$B$1*1000</f>
        <v>#REF!</v>
      </c>
      <c r="K6" s="138" t="e">
        <f>'CF Monitor Dashboard'!K16/100*$B$1*1000</f>
        <v>#REF!</v>
      </c>
      <c r="L6" s="138" t="e">
        <f>'CF Monitor Dashboard'!L16/100*$B$1*1000</f>
        <v>#REF!</v>
      </c>
      <c r="M6" s="138" t="e">
        <f>'CF Monitor Dashboard'!M16/100*$B$1*1000</f>
        <v>#REF!</v>
      </c>
      <c r="P6" s="185" t="s">
        <v>148</v>
      </c>
      <c r="Q6" s="138" t="e">
        <f>'CF Monitor Dashboard'!B47/100*$B$1*1000</f>
        <v>#REF!</v>
      </c>
      <c r="R6" s="138" t="e">
        <f>'CF Monitor Dashboard'!C47/100*$B$1*1000</f>
        <v>#REF!</v>
      </c>
      <c r="S6" s="138" t="e">
        <f>'CF Monitor Dashboard'!D47/100*$B$1*1000</f>
        <v>#REF!</v>
      </c>
      <c r="T6" s="138" t="e">
        <f>'CF Monitor Dashboard'!E47/100*$B$1*1000</f>
        <v>#REF!</v>
      </c>
      <c r="U6" s="138" t="e">
        <f>'CF Monitor Dashboard'!F47/100*$B$1*1000</f>
        <v>#REF!</v>
      </c>
      <c r="V6" s="138" t="e">
        <f>'CF Monitor Dashboard'!G47/100*$B$1*1000</f>
        <v>#REF!</v>
      </c>
      <c r="W6" s="138" t="e">
        <f>'CF Monitor Dashboard'!H47/100*$B$1*1000</f>
        <v>#REF!</v>
      </c>
      <c r="X6" s="138" t="e">
        <f>'CF Monitor Dashboard'!I47/100*$B$1*1000</f>
        <v>#REF!</v>
      </c>
      <c r="Y6" s="138" t="e">
        <f>'CF Monitor Dashboard'!J47/100*$B$1*1000</f>
        <v>#REF!</v>
      </c>
      <c r="Z6" s="138" t="e">
        <f>'CF Monitor Dashboard'!K47/100*$B$1*1000</f>
        <v>#REF!</v>
      </c>
      <c r="AA6" s="138" t="e">
        <f>'CF Monitor Dashboard'!L47/100*$B$1*1000</f>
        <v>#REF!</v>
      </c>
      <c r="AB6" s="138" t="e">
        <f>'CF Monitor Dashboard'!M47/100*$B$1*1000</f>
        <v>#REF!</v>
      </c>
      <c r="AC6" s="138"/>
    </row>
    <row r="7" spans="1:29" ht="15.75" customHeight="1" x14ac:dyDescent="0.25">
      <c r="A7" s="182" t="s">
        <v>149</v>
      </c>
      <c r="B7" s="138" t="e">
        <f>'CF Monitor Dashboard'!B21/100*$B$1*1000</f>
        <v>#REF!</v>
      </c>
      <c r="C7" s="138" t="e">
        <f>'CF Monitor Dashboard'!C21/100*$B$1*1000</f>
        <v>#REF!</v>
      </c>
      <c r="D7" s="138" t="e">
        <f>'CF Monitor Dashboard'!D21/100*$B$1*1000</f>
        <v>#REF!</v>
      </c>
      <c r="E7" s="138" t="e">
        <f>'CF Monitor Dashboard'!E21/100*$B$1*1000</f>
        <v>#REF!</v>
      </c>
      <c r="F7" s="138" t="e">
        <f>'CF Monitor Dashboard'!F21/100*$B$1*1000</f>
        <v>#REF!</v>
      </c>
      <c r="G7" s="138" t="e">
        <f>'CF Monitor Dashboard'!G21/100*$B$1*1000</f>
        <v>#REF!</v>
      </c>
      <c r="H7" s="138" t="e">
        <f>'CF Monitor Dashboard'!H21/100*$B$1*1000</f>
        <v>#REF!</v>
      </c>
      <c r="I7" s="138" t="e">
        <f>'CF Monitor Dashboard'!I21/100*$B$1*1000</f>
        <v>#REF!</v>
      </c>
      <c r="J7" s="138" t="e">
        <f>'CF Monitor Dashboard'!J21/100*$B$1*1000</f>
        <v>#REF!</v>
      </c>
      <c r="K7" s="138" t="e">
        <f>'CF Monitor Dashboard'!K21/100*$B$1*1000</f>
        <v>#REF!</v>
      </c>
      <c r="L7" s="138" t="e">
        <f>'CF Monitor Dashboard'!L21/100*$B$1*1000</f>
        <v>#REF!</v>
      </c>
      <c r="M7" s="138" t="e">
        <f>'CF Monitor Dashboard'!M21/100*$B$1*1000</f>
        <v>#REF!</v>
      </c>
      <c r="P7" s="185" t="s">
        <v>149</v>
      </c>
      <c r="Q7" s="138" t="e">
        <f>'CF Monitor Dashboard'!B52/100*$B$1*1000</f>
        <v>#REF!</v>
      </c>
      <c r="R7" s="138" t="e">
        <f>'CF Monitor Dashboard'!C52/100*$B$1*1000</f>
        <v>#REF!</v>
      </c>
      <c r="S7" s="138" t="e">
        <f>'CF Monitor Dashboard'!D52/100*$B$1*1000</f>
        <v>#REF!</v>
      </c>
      <c r="T7" s="138" t="e">
        <f>'CF Monitor Dashboard'!E52/100*$B$1*1000</f>
        <v>#REF!</v>
      </c>
      <c r="U7" s="138" t="e">
        <f>'CF Monitor Dashboard'!F52/100*$B$1*1000</f>
        <v>#REF!</v>
      </c>
      <c r="V7" s="138" t="e">
        <f>'CF Monitor Dashboard'!G52/100*$B$1*1000</f>
        <v>#REF!</v>
      </c>
      <c r="W7" s="138" t="e">
        <f>'CF Monitor Dashboard'!H52/100*$B$1*1000</f>
        <v>#REF!</v>
      </c>
      <c r="X7" s="138" t="e">
        <f>'CF Monitor Dashboard'!I52/100*$B$1*1000</f>
        <v>#REF!</v>
      </c>
      <c r="Y7" s="138" t="e">
        <f>'CF Monitor Dashboard'!J52/100*$B$1*1000</f>
        <v>#REF!</v>
      </c>
      <c r="Z7" s="138" t="e">
        <f>'CF Monitor Dashboard'!K52/100*$B$1*1000</f>
        <v>#REF!</v>
      </c>
      <c r="AA7" s="138" t="e">
        <f>'CF Monitor Dashboard'!L52/100*$B$1*1000</f>
        <v>#REF!</v>
      </c>
      <c r="AB7" s="138" t="e">
        <f>'CF Monitor Dashboard'!M52/100*$B$1*1000</f>
        <v>#REF!</v>
      </c>
      <c r="AC7" s="138"/>
    </row>
    <row r="8" spans="1:29" ht="15.75" customHeight="1" x14ac:dyDescent="0.25">
      <c r="A8" s="182" t="s">
        <v>150</v>
      </c>
      <c r="B8" s="138" t="e">
        <f>'CF Monitor Dashboard'!B27/100*$B$1*1000</f>
        <v>#REF!</v>
      </c>
      <c r="C8" s="138" t="e">
        <f>'CF Monitor Dashboard'!C27/100*$B$1*1000</f>
        <v>#REF!</v>
      </c>
      <c r="D8" s="138" t="e">
        <f>'CF Monitor Dashboard'!D27/100*$B$1*1000</f>
        <v>#REF!</v>
      </c>
      <c r="E8" s="138" t="e">
        <f>'CF Monitor Dashboard'!E27/100*$B$1*1000</f>
        <v>#REF!</v>
      </c>
      <c r="F8" s="138" t="e">
        <f>'CF Monitor Dashboard'!F27/100*$B$1*1000</f>
        <v>#REF!</v>
      </c>
      <c r="G8" s="138" t="e">
        <f>'CF Monitor Dashboard'!G27/100*$B$1*1000</f>
        <v>#REF!</v>
      </c>
      <c r="H8" s="138" t="e">
        <f>'CF Monitor Dashboard'!H27/100*$B$1*1000</f>
        <v>#REF!</v>
      </c>
      <c r="I8" s="138" t="e">
        <f>'CF Monitor Dashboard'!I27/100*$B$1*1000</f>
        <v>#REF!</v>
      </c>
      <c r="J8" s="138" t="e">
        <f>'CF Monitor Dashboard'!J27/100*$B$1*1000</f>
        <v>#REF!</v>
      </c>
      <c r="K8" s="138" t="e">
        <f>'CF Monitor Dashboard'!K27/100*$B$1*1000</f>
        <v>#REF!</v>
      </c>
      <c r="L8" s="138" t="e">
        <f>'CF Monitor Dashboard'!L27/100*$B$1*1000</f>
        <v>#REF!</v>
      </c>
      <c r="M8" s="138" t="e">
        <f>'CF Monitor Dashboard'!M27/100*$B$1*1000</f>
        <v>#REF!</v>
      </c>
      <c r="P8" s="185" t="s">
        <v>150</v>
      </c>
      <c r="Q8" s="138" t="e">
        <f>'CF Monitor Dashboard'!B58/100*$B$1*1000</f>
        <v>#REF!</v>
      </c>
      <c r="R8" s="138" t="e">
        <f>'CF Monitor Dashboard'!C58/100*$B$1*1000</f>
        <v>#REF!</v>
      </c>
      <c r="S8" s="138" t="e">
        <f>'CF Monitor Dashboard'!D58/100*$B$1*1000</f>
        <v>#REF!</v>
      </c>
      <c r="T8" s="138" t="e">
        <f>'CF Monitor Dashboard'!E58/100*$B$1*1000</f>
        <v>#REF!</v>
      </c>
      <c r="U8" s="138" t="e">
        <f>'CF Monitor Dashboard'!F58/100*$B$1*1000</f>
        <v>#REF!</v>
      </c>
      <c r="V8" s="138" t="e">
        <f>'CF Monitor Dashboard'!G58/100*$B$1*1000</f>
        <v>#REF!</v>
      </c>
      <c r="W8" s="138" t="e">
        <f>'CF Monitor Dashboard'!H58/100*$B$1*1000</f>
        <v>#REF!</v>
      </c>
      <c r="X8" s="138" t="e">
        <f>'CF Monitor Dashboard'!I58/100*$B$1*1000</f>
        <v>#REF!</v>
      </c>
      <c r="Y8" s="138" t="e">
        <f>'CF Monitor Dashboard'!J58/100*$B$1*1000</f>
        <v>#REF!</v>
      </c>
      <c r="Z8" s="138" t="e">
        <f>'CF Monitor Dashboard'!K58/100*$B$1*1000</f>
        <v>#REF!</v>
      </c>
      <c r="AA8" s="138" t="e">
        <f>'CF Monitor Dashboard'!L58/100*$B$1*1000</f>
        <v>#REF!</v>
      </c>
      <c r="AB8" s="138" t="e">
        <f>'CF Monitor Dashboard'!M58/100*$B$1*1000</f>
        <v>#REF!</v>
      </c>
      <c r="AC8" s="138"/>
    </row>
    <row r="9" spans="1:29" ht="15.75" customHeight="1" x14ac:dyDescent="0.25">
      <c r="A9" s="182" t="s">
        <v>151</v>
      </c>
      <c r="B9" s="138" t="e">
        <f>'CF Monitor Dashboard'!B30/100*$B$1*1000</f>
        <v>#REF!</v>
      </c>
      <c r="C9" s="138" t="e">
        <f>'CF Monitor Dashboard'!C30/100*$B$1*1000</f>
        <v>#REF!</v>
      </c>
      <c r="D9" s="138" t="e">
        <f>'CF Monitor Dashboard'!D30/100*$B$1*1000</f>
        <v>#REF!</v>
      </c>
      <c r="E9" s="138" t="e">
        <f>'CF Monitor Dashboard'!E30/100*$B$1*1000</f>
        <v>#REF!</v>
      </c>
      <c r="F9" s="138" t="e">
        <f>'CF Monitor Dashboard'!F30/100*$B$1*1000</f>
        <v>#REF!</v>
      </c>
      <c r="G9" s="138" t="e">
        <f>'CF Monitor Dashboard'!G30/100*$B$1*1000</f>
        <v>#REF!</v>
      </c>
      <c r="H9" s="138" t="e">
        <f>'CF Monitor Dashboard'!H30/100*$B$1*1000</f>
        <v>#REF!</v>
      </c>
      <c r="I9" s="138" t="e">
        <f>'CF Monitor Dashboard'!I30/100*$B$1*1000</f>
        <v>#REF!</v>
      </c>
      <c r="J9" s="138" t="e">
        <f>'CF Monitor Dashboard'!J30/100*$B$1*1000</f>
        <v>#REF!</v>
      </c>
      <c r="K9" s="138" t="e">
        <f>'CF Monitor Dashboard'!K30/100*$B$1*1000</f>
        <v>#REF!</v>
      </c>
      <c r="L9" s="138" t="e">
        <f>'CF Monitor Dashboard'!L30/100*$B$1*1000</f>
        <v>#REF!</v>
      </c>
      <c r="M9" s="138" t="e">
        <f>'CF Monitor Dashboard'!M30/100*$B$1*1000</f>
        <v>#REF!</v>
      </c>
      <c r="P9" s="185" t="s">
        <v>151</v>
      </c>
      <c r="Q9" s="138" t="e">
        <f>'CF Monitor Dashboard'!B61/100*$B$1*1000</f>
        <v>#REF!</v>
      </c>
      <c r="R9" s="138" t="e">
        <f>'CF Monitor Dashboard'!C61/100*$B$1*1000</f>
        <v>#REF!</v>
      </c>
      <c r="S9" s="138" t="e">
        <f>'CF Monitor Dashboard'!D61/100*$B$1*1000</f>
        <v>#REF!</v>
      </c>
      <c r="T9" s="138" t="e">
        <f>'CF Monitor Dashboard'!E61/100*$B$1*1000</f>
        <v>#REF!</v>
      </c>
      <c r="U9" s="138" t="e">
        <f>'CF Monitor Dashboard'!F61/100*$B$1*1000</f>
        <v>#REF!</v>
      </c>
      <c r="V9" s="138" t="e">
        <f>'CF Monitor Dashboard'!G61/100*$B$1*1000</f>
        <v>#REF!</v>
      </c>
      <c r="W9" s="138" t="e">
        <f>'CF Monitor Dashboard'!H61/100*$B$1*1000</f>
        <v>#REF!</v>
      </c>
      <c r="X9" s="138" t="e">
        <f>'CF Monitor Dashboard'!I61/100*$B$1*1000</f>
        <v>#REF!</v>
      </c>
      <c r="Y9" s="138" t="e">
        <f>'CF Monitor Dashboard'!J61/100*$B$1*1000</f>
        <v>#REF!</v>
      </c>
      <c r="Z9" s="138" t="e">
        <f>'CF Monitor Dashboard'!K61/100*$B$1*1000</f>
        <v>#REF!</v>
      </c>
      <c r="AA9" s="138" t="e">
        <f>'CF Monitor Dashboard'!L61/100*$B$1*1000</f>
        <v>#REF!</v>
      </c>
      <c r="AB9" s="138" t="e">
        <f>'CF Monitor Dashboard'!M61/100*$B$1*1000</f>
        <v>#REF!</v>
      </c>
      <c r="AC9" s="138"/>
    </row>
    <row r="10" spans="1:29" ht="15.75" customHeight="1" x14ac:dyDescent="0.25">
      <c r="A10" s="186"/>
      <c r="P10" s="187"/>
    </row>
    <row r="11" spans="1:29" ht="15.75" customHeight="1" x14ac:dyDescent="0.25">
      <c r="A11" s="171" t="s">
        <v>212</v>
      </c>
      <c r="B11" s="188">
        <v>9.5849344077770807E-2</v>
      </c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89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</row>
    <row r="12" spans="1:29" ht="15.75" customHeight="1" x14ac:dyDescent="0.25">
      <c r="A12" s="182" t="s">
        <v>219</v>
      </c>
      <c r="B12" s="117" t="s">
        <v>4</v>
      </c>
      <c r="C12" s="117" t="s">
        <v>5</v>
      </c>
      <c r="D12" s="117" t="s">
        <v>6</v>
      </c>
      <c r="E12" s="117" t="s">
        <v>7</v>
      </c>
      <c r="F12" s="117" t="s">
        <v>8</v>
      </c>
      <c r="G12" s="117" t="s">
        <v>9</v>
      </c>
      <c r="H12" s="117" t="s">
        <v>10</v>
      </c>
      <c r="I12" s="117" t="s">
        <v>11</v>
      </c>
      <c r="J12" s="117" t="s">
        <v>12</v>
      </c>
      <c r="K12" s="117" t="s">
        <v>13</v>
      </c>
      <c r="L12" s="117" t="s">
        <v>14</v>
      </c>
      <c r="M12" s="117" t="s">
        <v>15</v>
      </c>
      <c r="N12" s="120"/>
      <c r="O12" s="120"/>
      <c r="P12" s="182" t="s">
        <v>219</v>
      </c>
      <c r="Q12" s="117" t="s">
        <v>4</v>
      </c>
      <c r="R12" s="117" t="s">
        <v>5</v>
      </c>
      <c r="S12" s="117" t="s">
        <v>6</v>
      </c>
      <c r="T12" s="117" t="s">
        <v>7</v>
      </c>
      <c r="U12" s="117" t="s">
        <v>8</v>
      </c>
      <c r="V12" s="117" t="s">
        <v>9</v>
      </c>
      <c r="W12" s="117" t="s">
        <v>10</v>
      </c>
      <c r="X12" s="117" t="s">
        <v>11</v>
      </c>
      <c r="Y12" s="117" t="s">
        <v>12</v>
      </c>
      <c r="Z12" s="117" t="s">
        <v>13</v>
      </c>
      <c r="AA12" s="117" t="s">
        <v>14</v>
      </c>
      <c r="AB12" s="117" t="s">
        <v>15</v>
      </c>
      <c r="AC12" s="117"/>
    </row>
    <row r="13" spans="1:29" ht="15.75" customHeight="1" x14ac:dyDescent="0.25">
      <c r="A13" s="182" t="s">
        <v>145</v>
      </c>
      <c r="B13" s="138">
        <f>'STEC TSR'!B23</f>
        <v>280.81784593474447</v>
      </c>
      <c r="C13" s="138">
        <f>'STEC TSR'!C23</f>
        <v>241.42858674078775</v>
      </c>
      <c r="D13" s="138">
        <f>'STEC TSR'!D23</f>
        <v>0</v>
      </c>
      <c r="E13" s="138">
        <f>'STEC TSR'!E23</f>
        <v>284.03590139774593</v>
      </c>
      <c r="F13" s="138">
        <f>'STEC TSR'!F23</f>
        <v>265.0638847982371</v>
      </c>
      <c r="G13" s="138">
        <f>'STEC TSR'!G23</f>
        <v>256.65367036654277</v>
      </c>
      <c r="H13" s="138">
        <f>'STEC TSR'!H23</f>
        <v>269.36431897923683</v>
      </c>
      <c r="I13" s="138">
        <f>'STEC TSR'!I23</f>
        <v>260.01064986885058</v>
      </c>
      <c r="J13" s="138">
        <f>'STEC TSR'!J23</f>
        <v>256.65367036654277</v>
      </c>
      <c r="K13" s="138">
        <f>'STEC TSR'!K23</f>
        <v>256.65367036654277</v>
      </c>
      <c r="L13" s="138">
        <f>'STEC TSR'!L23</f>
        <v>269.36431897923683</v>
      </c>
      <c r="M13" s="138">
        <f>'STEC TSR'!M23</f>
        <v>256.65367036654277</v>
      </c>
      <c r="P13" s="185" t="s">
        <v>145</v>
      </c>
      <c r="Q13" s="138">
        <f>'STEC TSR'!O23</f>
        <v>280.81784593474447</v>
      </c>
      <c r="R13" s="138">
        <f>'STEC TSR'!P23</f>
        <v>276.10761746807464</v>
      </c>
      <c r="S13" s="138">
        <f>'STEC TSR'!Q23</f>
        <v>276.10761746807464</v>
      </c>
      <c r="T13" s="138">
        <f>'STEC TSR'!R23</f>
        <v>277.74636328870668</v>
      </c>
      <c r="U13" s="138">
        <f>'STEC TSR'!S23</f>
        <v>272.81579634987094</v>
      </c>
      <c r="V13" s="138">
        <f>'STEC TSR'!T23</f>
        <v>267.80604826789244</v>
      </c>
      <c r="W13" s="138">
        <f>'STEC TSR'!U23</f>
        <v>268.19533079392988</v>
      </c>
      <c r="X13" s="138">
        <f>'STEC TSR'!V23</f>
        <v>266.84874335898132</v>
      </c>
      <c r="Y13" s="138">
        <f>'STEC TSR'!W23</f>
        <v>265.13851309753608</v>
      </c>
      <c r="Z13" s="138">
        <f>'STEC TSR'!X23</f>
        <v>263.92601889495222</v>
      </c>
      <c r="AA13" s="138">
        <f>'STEC TSR'!Y23</f>
        <v>264.61442805398764</v>
      </c>
      <c r="AB13" s="138">
        <f>'STEC TSR'!Z23</f>
        <v>263.70623634898192</v>
      </c>
      <c r="AC13" s="138"/>
    </row>
    <row r="14" spans="1:29" ht="15.75" customHeight="1" x14ac:dyDescent="0.25">
      <c r="A14" s="182" t="s">
        <v>146</v>
      </c>
      <c r="B14" s="138">
        <f>'STEC TSR'!B24</f>
        <v>260.33051829990688</v>
      </c>
      <c r="C14" s="138">
        <f>'STEC TSR'!C24</f>
        <v>262.55767365889795</v>
      </c>
      <c r="D14" s="138">
        <f>'STEC TSR'!D24</f>
        <v>249.92414542844892</v>
      </c>
      <c r="E14" s="138">
        <f>'STEC TSR'!E24</f>
        <v>259.92798939451791</v>
      </c>
      <c r="F14" s="138">
        <f>'STEC TSR'!F24</f>
        <v>259.66817057752633</v>
      </c>
      <c r="G14" s="138">
        <f>'STEC TSR'!G24</f>
        <v>279.87437208618371</v>
      </c>
      <c r="H14" s="138">
        <f>'STEC TSR'!H24</f>
        <v>266.40742422404406</v>
      </c>
      <c r="I14" s="138">
        <f>'STEC TSR'!I24</f>
        <v>266.40742422404406</v>
      </c>
      <c r="J14" s="138">
        <f>'STEC TSR'!J24</f>
        <v>266.40742422404406</v>
      </c>
      <c r="K14" s="138">
        <f>'STEC TSR'!K24</f>
        <v>266.40742422404406</v>
      </c>
      <c r="L14" s="138">
        <f>'STEC TSR'!L24</f>
        <v>266.40742422404406</v>
      </c>
      <c r="M14" s="138">
        <f>'STEC TSR'!M24</f>
        <v>267.77718803039062</v>
      </c>
      <c r="P14" s="185" t="s">
        <v>146</v>
      </c>
      <c r="Q14" s="138">
        <f>'STEC TSR'!O24</f>
        <v>260.33051829990688</v>
      </c>
      <c r="R14" s="138">
        <f>'STEC TSR'!P24</f>
        <v>261.31632880374679</v>
      </c>
      <c r="S14" s="138">
        <f>'STEC TSR'!Q24</f>
        <v>257.3850104467906</v>
      </c>
      <c r="T14" s="138">
        <f>'STEC TSR'!R24</f>
        <v>257.9987721366582</v>
      </c>
      <c r="U14" s="138">
        <f>'STEC TSR'!S24</f>
        <v>258.27176065352603</v>
      </c>
      <c r="V14" s="138">
        <f>'STEC TSR'!T24</f>
        <v>259.92259307644633</v>
      </c>
      <c r="W14" s="138">
        <f>'STEC TSR'!U24</f>
        <v>261.02004889626801</v>
      </c>
      <c r="X14" s="138">
        <f>'STEC TSR'!V24</f>
        <v>261.81343225693729</v>
      </c>
      <c r="Y14" s="138">
        <f>'STEC TSR'!W24</f>
        <v>262.3905699124328</v>
      </c>
      <c r="Z14" s="138">
        <f>'STEC TSR'!X24</f>
        <v>262.80452405963587</v>
      </c>
      <c r="AA14" s="138">
        <f>'STEC TSR'!Y24</f>
        <v>263.13373780173981</v>
      </c>
      <c r="AB14" s="138">
        <f>'STEC TSR'!Z24</f>
        <v>263.52169760682898</v>
      </c>
      <c r="AC14" s="138"/>
    </row>
    <row r="15" spans="1:29" ht="15.75" customHeight="1" x14ac:dyDescent="0.25">
      <c r="A15" s="182" t="s">
        <v>147</v>
      </c>
      <c r="B15" s="138">
        <f>'STEC TSR'!B25</f>
        <v>283.37417669610181</v>
      </c>
      <c r="C15" s="138">
        <f>'STEC TSR'!C25</f>
        <v>276.24900483552375</v>
      </c>
      <c r="D15" s="138">
        <f>'STEC TSR'!D25</f>
        <v>268.42896357011949</v>
      </c>
      <c r="E15" s="138">
        <f>'STEC TSR'!E25</f>
        <v>287.19473155104174</v>
      </c>
      <c r="F15" s="138">
        <f>'STEC TSR'!F25</f>
        <v>279.76106857654941</v>
      </c>
      <c r="G15" s="138">
        <f>'STEC TSR'!G25</f>
        <v>270.76174490628426</v>
      </c>
      <c r="H15" s="138">
        <f>'STEC TSR'!H25</f>
        <v>270.76174490628426</v>
      </c>
      <c r="I15" s="138">
        <f>'STEC TSR'!I25</f>
        <v>270.76174490628426</v>
      </c>
      <c r="J15" s="138">
        <f>'STEC TSR'!J25</f>
        <v>270.76174490628426</v>
      </c>
      <c r="K15" s="138">
        <f>'STEC TSR'!K25</f>
        <v>270.76174490628426</v>
      </c>
      <c r="L15" s="138">
        <f>'STEC TSR'!L25</f>
        <v>270.76174490628426</v>
      </c>
      <c r="M15" s="138">
        <f>'STEC TSR'!M25</f>
        <v>272.36089536287778</v>
      </c>
      <c r="P15" s="185" t="s">
        <v>147</v>
      </c>
      <c r="Q15" s="138">
        <f>'STEC TSR'!O25</f>
        <v>283.37417669610181</v>
      </c>
      <c r="R15" s="138">
        <f>'STEC TSR'!P25</f>
        <v>279.43597635624081</v>
      </c>
      <c r="S15" s="138">
        <f>'STEC TSR'!Q25</f>
        <v>274.88901766227309</v>
      </c>
      <c r="T15" s="138">
        <f>'STEC TSR'!R25</f>
        <v>277.66908954751119</v>
      </c>
      <c r="U15" s="138">
        <f>'STEC TSR'!S25</f>
        <v>278.03017319652099</v>
      </c>
      <c r="V15" s="138">
        <f>'STEC TSR'!T25</f>
        <v>276.459125767611</v>
      </c>
      <c r="W15" s="138">
        <f>'STEC TSR'!U25</f>
        <v>275.45505596372436</v>
      </c>
      <c r="X15" s="138">
        <f>'STEC TSR'!V25</f>
        <v>274.69402175668125</v>
      </c>
      <c r="Y15" s="138">
        <f>'STEC TSR'!W25</f>
        <v>274.17593688207211</v>
      </c>
      <c r="Z15" s="138">
        <f>'STEC TSR'!X25</f>
        <v>273.77130887604778</v>
      </c>
      <c r="AA15" s="138">
        <f>'STEC TSR'!Y25</f>
        <v>273.52853207243322</v>
      </c>
      <c r="AB15" s="138">
        <f>'STEC TSR'!Z25</f>
        <v>273.39905877845297</v>
      </c>
      <c r="AC15" s="138"/>
    </row>
    <row r="16" spans="1:29" ht="15.75" customHeight="1" x14ac:dyDescent="0.25">
      <c r="A16" s="182" t="s">
        <v>148</v>
      </c>
      <c r="B16" s="138">
        <f>'STEC TSR'!B26</f>
        <v>286.03423561762014</v>
      </c>
      <c r="C16" s="138">
        <f>'STEC TSR'!C26</f>
        <v>285.84042824389491</v>
      </c>
      <c r="D16" s="138">
        <f>'STEC TSR'!D26</f>
        <v>288.44261333145909</v>
      </c>
      <c r="E16" s="138">
        <f>'STEC TSR'!E26</f>
        <v>285.82130629975137</v>
      </c>
      <c r="F16" s="138">
        <f>'STEC TSR'!F26</f>
        <v>289.61231080191214</v>
      </c>
      <c r="G16" s="138">
        <f>'STEC TSR'!G26</f>
        <v>294.53314903232399</v>
      </c>
      <c r="H16" s="138">
        <f>'STEC TSR'!H26</f>
        <v>295.46742134385329</v>
      </c>
      <c r="I16" s="138">
        <f>'STEC TSR'!I26</f>
        <v>302.11283848251895</v>
      </c>
      <c r="J16" s="138">
        <f>'STEC TSR'!J26</f>
        <v>296.16762955714461</v>
      </c>
      <c r="K16" s="138">
        <f>'STEC TSR'!K26</f>
        <v>296.04567085174011</v>
      </c>
      <c r="L16" s="138">
        <f>'STEC TSR'!L26</f>
        <v>297.89006144009102</v>
      </c>
      <c r="M16" s="138">
        <f>'STEC TSR'!M26</f>
        <v>298.84866990008157</v>
      </c>
      <c r="P16" s="185" t="s">
        <v>148</v>
      </c>
      <c r="Q16" s="138">
        <f>'STEC TSR'!O26</f>
        <v>286.03423561762014</v>
      </c>
      <c r="R16" s="138">
        <f>'STEC TSR'!P26</f>
        <v>285.96968108438381</v>
      </c>
      <c r="S16" s="138">
        <f>'STEC TSR'!Q26</f>
        <v>286.6472017579319</v>
      </c>
      <c r="T16" s="138">
        <f>'STEC TSR'!R26</f>
        <v>286.4030447237626</v>
      </c>
      <c r="U16" s="138">
        <f>'STEC TSR'!S26</f>
        <v>287.11038412825337</v>
      </c>
      <c r="V16" s="138">
        <f>'STEC TSR'!T26</f>
        <v>288.24177061587847</v>
      </c>
      <c r="W16" s="138">
        <f>'STEC TSR'!U26</f>
        <v>289.24228440909991</v>
      </c>
      <c r="X16" s="138">
        <f>'STEC TSR'!V26</f>
        <v>289.7534873008043</v>
      </c>
      <c r="Y16" s="138">
        <f>'STEC TSR'!W26</f>
        <v>290.53609719519932</v>
      </c>
      <c r="Z16" s="138">
        <f>'STEC TSR'!X26</f>
        <v>291.16218511071531</v>
      </c>
      <c r="AA16" s="138">
        <f>'STEC TSR'!Y26</f>
        <v>291.50184643132371</v>
      </c>
      <c r="AB16" s="138">
        <f>'STEC TSR'!Z26</f>
        <v>291.87298467652721</v>
      </c>
      <c r="AC16" s="138"/>
    </row>
    <row r="17" spans="1:29" ht="15.75" customHeight="1" x14ac:dyDescent="0.25">
      <c r="A17" s="182" t="s">
        <v>149</v>
      </c>
      <c r="B17" s="138">
        <f>'STEC TSR'!B27</f>
        <v>286.61005055216731</v>
      </c>
      <c r="C17" s="138">
        <f>'STEC TSR'!C27</f>
        <v>286.96131922834354</v>
      </c>
      <c r="D17" s="138">
        <f>'STEC TSR'!D27</f>
        <v>287.79279311834938</v>
      </c>
      <c r="E17" s="138">
        <f>'STEC TSR'!E27</f>
        <v>289.58097765133311</v>
      </c>
      <c r="F17" s="138">
        <f>'STEC TSR'!F27</f>
        <v>290.25713726419536</v>
      </c>
      <c r="G17" s="138">
        <f>'STEC TSR'!G27</f>
        <v>292.939557837687</v>
      </c>
      <c r="H17" s="138">
        <f>'STEC TSR'!H27</f>
        <v>292.939557837687</v>
      </c>
      <c r="I17" s="138">
        <f>'STEC TSR'!I27</f>
        <v>292.939557837687</v>
      </c>
      <c r="J17" s="138">
        <f>'STEC TSR'!J27</f>
        <v>292.939557837687</v>
      </c>
      <c r="K17" s="138">
        <f>'STEC TSR'!K27</f>
        <v>292.939557837687</v>
      </c>
      <c r="L17" s="138">
        <f>'STEC TSR'!L27</f>
        <v>293.86948817392954</v>
      </c>
      <c r="M17" s="138">
        <f>'STEC TSR'!M27</f>
        <v>293.86948817392954</v>
      </c>
      <c r="P17" s="185" t="s">
        <v>149</v>
      </c>
      <c r="Q17" s="138">
        <f>'STEC TSR'!O27</f>
        <v>286.61005055216731</v>
      </c>
      <c r="R17" s="138">
        <f>'STEC TSR'!P27</f>
        <v>286.78966263803471</v>
      </c>
      <c r="S17" s="138">
        <f>'STEC TSR'!Q27</f>
        <v>287.15320003025283</v>
      </c>
      <c r="T17" s="138">
        <f>'STEC TSR'!R27</f>
        <v>287.76717258867745</v>
      </c>
      <c r="U17" s="138">
        <f>'STEC TSR'!S27</f>
        <v>287.99468059178042</v>
      </c>
      <c r="V17" s="138">
        <f>'STEC TSR'!T27</f>
        <v>288.84565982330611</v>
      </c>
      <c r="W17" s="138">
        <f>'STEC TSR'!U27</f>
        <v>289.1327573636222</v>
      </c>
      <c r="X17" s="138">
        <f>'STEC TSR'!V27</f>
        <v>289.72735876960866</v>
      </c>
      <c r="Y17" s="138">
        <f>'STEC TSR'!W27</f>
        <v>289.95147370593133</v>
      </c>
      <c r="Z17" s="138">
        <f>'STEC TSR'!X27</f>
        <v>290.32689641681515</v>
      </c>
      <c r="AA17" s="138">
        <f>'STEC TSR'!Y27</f>
        <v>290.60846344997805</v>
      </c>
      <c r="AB17" s="138">
        <f>'STEC TSR'!Z27</f>
        <v>290.94785639242298</v>
      </c>
      <c r="AC17" s="138"/>
    </row>
    <row r="18" spans="1:29" ht="15.75" customHeight="1" x14ac:dyDescent="0.25">
      <c r="A18" s="182" t="s">
        <v>150</v>
      </c>
      <c r="B18" s="138">
        <f>'STEC TSR'!B28</f>
        <v>329.43342880054564</v>
      </c>
      <c r="C18" s="138">
        <f>'STEC TSR'!C28</f>
        <v>336.52394153830517</v>
      </c>
      <c r="D18" s="138">
        <f>'STEC TSR'!D28</f>
        <v>319.25842666075698</v>
      </c>
      <c r="E18" s="138">
        <f>'STEC TSR'!E28</f>
        <v>342.63437556300067</v>
      </c>
      <c r="F18" s="138">
        <f>'STEC TSR'!F28</f>
        <v>333.58287150981965</v>
      </c>
      <c r="G18" s="138">
        <f>'STEC TSR'!G28</f>
        <v>326.08809499354328</v>
      </c>
      <c r="H18" s="138">
        <f>'STEC TSR'!H28</f>
        <v>310.23361664990159</v>
      </c>
      <c r="I18" s="138">
        <f>'STEC TSR'!I28</f>
        <v>310.23361664990159</v>
      </c>
      <c r="J18" s="138">
        <f>'STEC TSR'!J28</f>
        <v>310.23361664990159</v>
      </c>
      <c r="K18" s="138">
        <f>'STEC TSR'!K28</f>
        <v>310.23361664990159</v>
      </c>
      <c r="L18" s="138">
        <f>'STEC TSR'!L28</f>
        <v>310.23361664990159</v>
      </c>
      <c r="M18" s="138">
        <f>'STEC TSR'!M28</f>
        <v>310.23361664990159</v>
      </c>
      <c r="P18" s="185" t="s">
        <v>150</v>
      </c>
      <c r="Q18" s="138">
        <f>'STEC TSR'!O28</f>
        <v>329.43342880054564</v>
      </c>
      <c r="R18" s="138">
        <f>'STEC TSR'!P28</f>
        <v>333.41562398933837</v>
      </c>
      <c r="S18" s="138">
        <f>'STEC TSR'!Q28</f>
        <v>327.40456656458269</v>
      </c>
      <c r="T18" s="138">
        <f>'STEC TSR'!R28</f>
        <v>332.44330907314458</v>
      </c>
      <c r="U18" s="138">
        <f>'STEC TSR'!S28</f>
        <v>332.6286625347222</v>
      </c>
      <c r="V18" s="138">
        <f>'STEC TSR'!T28</f>
        <v>330.67786958951058</v>
      </c>
      <c r="W18" s="138">
        <f>'STEC TSR'!U28</f>
        <v>326.62580981381961</v>
      </c>
      <c r="X18" s="138">
        <f>'STEC TSR'!V28</f>
        <v>324.03140769299449</v>
      </c>
      <c r="Y18" s="138">
        <f>'STEC TSR'!W28</f>
        <v>322.07580311071018</v>
      </c>
      <c r="Z18" s="138">
        <f>'STEC TSR'!X28</f>
        <v>320.51008490533098</v>
      </c>
      <c r="AA18" s="138">
        <f>'STEC TSR'!Y28</f>
        <v>319.36780993221851</v>
      </c>
      <c r="AB18" s="138">
        <f>'STEC TSR'!Z28</f>
        <v>318.52510249908681</v>
      </c>
      <c r="AC18" s="138"/>
    </row>
    <row r="19" spans="1:29" ht="15.75" customHeight="1" x14ac:dyDescent="0.25">
      <c r="A19" s="182" t="s">
        <v>151</v>
      </c>
      <c r="B19" s="138">
        <f>'STEC TSR'!B29</f>
        <v>278.92611535535355</v>
      </c>
      <c r="C19" s="138">
        <f>'STEC TSR'!C29</f>
        <v>278.95348034308773</v>
      </c>
      <c r="D19" s="138">
        <f>'STEC TSR'!D29</f>
        <v>272.75953278489726</v>
      </c>
      <c r="E19" s="138">
        <f>'STEC TSR'!E29</f>
        <v>284.5046813697615</v>
      </c>
      <c r="F19" s="138">
        <f>'STEC TSR'!F29</f>
        <v>276.57841986125027</v>
      </c>
      <c r="G19" s="138">
        <f>'STEC TSR'!G29</f>
        <v>283.14599774759029</v>
      </c>
      <c r="H19" s="138">
        <f>'STEC TSR'!H29</f>
        <v>277.76858116666392</v>
      </c>
      <c r="I19" s="138">
        <f>'STEC TSR'!I29</f>
        <v>276.39720709133678</v>
      </c>
      <c r="J19" s="138">
        <f>'STEC TSR'!J29</f>
        <v>276.57688627174497</v>
      </c>
      <c r="K19" s="138">
        <f>'STEC TSR'!K29</f>
        <v>277.32148231627872</v>
      </c>
      <c r="L19" s="138">
        <f>'STEC TSR'!L29</f>
        <v>278.1592439232561</v>
      </c>
      <c r="M19" s="138">
        <f>'STEC TSR'!M29</f>
        <v>277.44981500306443</v>
      </c>
      <c r="P19" s="185" t="s">
        <v>151</v>
      </c>
      <c r="Q19" s="138">
        <f>'STEC TSR'!O29</f>
        <v>278.92611535535355</v>
      </c>
      <c r="R19" s="138">
        <f>'STEC TSR'!P29</f>
        <v>278.98427673733994</v>
      </c>
      <c r="S19" s="138">
        <f>'STEC TSR'!Q29</f>
        <v>276.8634949804063</v>
      </c>
      <c r="T19" s="138">
        <f>'STEC TSR'!R29</f>
        <v>278.7737915777451</v>
      </c>
      <c r="U19" s="138">
        <f>'STEC TSR'!S29</f>
        <v>278.39319300228112</v>
      </c>
      <c r="V19" s="138">
        <f>'STEC TSR'!T29</f>
        <v>279.23356171141739</v>
      </c>
      <c r="W19" s="138">
        <f>'STEC TSR'!U29</f>
        <v>278.96468513141036</v>
      </c>
      <c r="X19" s="138">
        <f>'STEC TSR'!V29</f>
        <v>278.58747003779234</v>
      </c>
      <c r="Y19" s="138">
        <f>'STEC TSR'!W29</f>
        <v>278.4042923563253</v>
      </c>
      <c r="Z19" s="138">
        <f>'STEC TSR'!X29</f>
        <v>278.23515660376574</v>
      </c>
      <c r="AA19" s="138">
        <f>'STEC TSR'!Y29</f>
        <v>278.19881053249139</v>
      </c>
      <c r="AB19" s="138">
        <f>'STEC TSR'!Z29</f>
        <v>278.11611171842105</v>
      </c>
      <c r="AC19" s="138"/>
    </row>
    <row r="20" spans="1:29" ht="15.75" customHeight="1" x14ac:dyDescent="0.25">
      <c r="A20" s="186"/>
      <c r="P20" s="187"/>
    </row>
    <row r="21" spans="1:29" ht="15.75" customHeight="1" x14ac:dyDescent="0.25">
      <c r="A21" s="186"/>
      <c r="P21" s="187"/>
    </row>
    <row r="22" spans="1:29" ht="13" x14ac:dyDescent="0.3">
      <c r="A22" s="184" t="s">
        <v>220</v>
      </c>
      <c r="B22" s="117" t="s">
        <v>4</v>
      </c>
      <c r="C22" s="117" t="s">
        <v>5</v>
      </c>
      <c r="D22" s="117" t="s">
        <v>6</v>
      </c>
      <c r="E22" s="117" t="s">
        <v>7</v>
      </c>
      <c r="F22" s="117" t="s">
        <v>8</v>
      </c>
      <c r="G22" s="117" t="s">
        <v>9</v>
      </c>
      <c r="H22" s="117" t="s">
        <v>10</v>
      </c>
      <c r="I22" s="117" t="s">
        <v>11</v>
      </c>
      <c r="J22" s="117" t="s">
        <v>12</v>
      </c>
      <c r="K22" s="117" t="s">
        <v>13</v>
      </c>
      <c r="L22" s="117" t="s">
        <v>14</v>
      </c>
      <c r="M22" s="117" t="s">
        <v>15</v>
      </c>
      <c r="N22" s="120"/>
      <c r="O22" s="120"/>
      <c r="P22" s="182" t="s">
        <v>220</v>
      </c>
      <c r="Q22" s="117" t="s">
        <v>4</v>
      </c>
      <c r="R22" s="117" t="s">
        <v>5</v>
      </c>
      <c r="S22" s="117" t="s">
        <v>6</v>
      </c>
      <c r="T22" s="117" t="s">
        <v>7</v>
      </c>
      <c r="U22" s="117" t="s">
        <v>8</v>
      </c>
      <c r="V22" s="117" t="s">
        <v>9</v>
      </c>
      <c r="W22" s="117" t="s">
        <v>10</v>
      </c>
      <c r="X22" s="117" t="s">
        <v>11</v>
      </c>
      <c r="Y22" s="117" t="s">
        <v>12</v>
      </c>
      <c r="Z22" s="117" t="s">
        <v>13</v>
      </c>
      <c r="AA22" s="117" t="s">
        <v>14</v>
      </c>
      <c r="AB22" s="117" t="s">
        <v>15</v>
      </c>
      <c r="AC22" s="117"/>
    </row>
    <row r="23" spans="1:29" ht="12.5" x14ac:dyDescent="0.25">
      <c r="A23" s="182" t="s">
        <v>145</v>
      </c>
      <c r="B23" s="138" t="e">
        <f>B13*'CF Monitor Dashboard'!B3/100</f>
        <v>#REF!</v>
      </c>
      <c r="C23" s="138" t="e">
        <f>C13*'CF Monitor Dashboard'!C3/100</f>
        <v>#REF!</v>
      </c>
      <c r="D23" s="138" t="e">
        <f>D13*'CF Monitor Dashboard'!D3/100</f>
        <v>#REF!</v>
      </c>
      <c r="E23" s="138" t="e">
        <f>E13*'CF Monitor Dashboard'!E3/100</f>
        <v>#REF!</v>
      </c>
      <c r="F23" s="138" t="e">
        <f>F13*'CF Monitor Dashboard'!F3/100</f>
        <v>#REF!</v>
      </c>
      <c r="G23" s="138" t="e">
        <f>G13*'CF Monitor Dashboard'!G3/100</f>
        <v>#REF!</v>
      </c>
      <c r="H23" s="138" t="e">
        <f>H13*'CF Monitor Dashboard'!H3/100</f>
        <v>#REF!</v>
      </c>
      <c r="I23" s="138" t="e">
        <f>I13*'CF Monitor Dashboard'!I3/100</f>
        <v>#REF!</v>
      </c>
      <c r="J23" s="138" t="e">
        <f>J13*'CF Monitor Dashboard'!J3/100</f>
        <v>#REF!</v>
      </c>
      <c r="K23" s="138" t="e">
        <f>K13*'CF Monitor Dashboard'!K3/100</f>
        <v>#REF!</v>
      </c>
      <c r="L23" s="138" t="e">
        <f>L13*'CF Monitor Dashboard'!L3/100</f>
        <v>#REF!</v>
      </c>
      <c r="M23" s="138" t="e">
        <f>M13*'CF Monitor Dashboard'!M3/100</f>
        <v>#REF!</v>
      </c>
      <c r="P23" s="185" t="s">
        <v>145</v>
      </c>
      <c r="Q23" s="138" t="e">
        <f>Q13*'CF Monitor Dashboard'!B34/100</f>
        <v>#REF!</v>
      </c>
      <c r="R23" s="138" t="e">
        <f>R13*'CF Monitor Dashboard'!C34/100</f>
        <v>#REF!</v>
      </c>
      <c r="S23" s="138" t="e">
        <f>S13*'CF Monitor Dashboard'!D34/100</f>
        <v>#REF!</v>
      </c>
      <c r="T23" s="138" t="e">
        <f>T13*'CF Monitor Dashboard'!E34/100</f>
        <v>#REF!</v>
      </c>
      <c r="U23" s="138" t="e">
        <f>U13*'CF Monitor Dashboard'!F34/100</f>
        <v>#REF!</v>
      </c>
      <c r="V23" s="138" t="e">
        <f>V13*'CF Monitor Dashboard'!G34/100</f>
        <v>#REF!</v>
      </c>
      <c r="W23" s="138" t="e">
        <f>W13*'CF Monitor Dashboard'!H34/100</f>
        <v>#REF!</v>
      </c>
      <c r="X23" s="138" t="e">
        <f>X13*'CF Monitor Dashboard'!I34/100</f>
        <v>#REF!</v>
      </c>
      <c r="Y23" s="138" t="e">
        <f>Y13*'CF Monitor Dashboard'!J34/100</f>
        <v>#REF!</v>
      </c>
      <c r="Z23" s="138" t="e">
        <f>Z13*'CF Monitor Dashboard'!K34/100</f>
        <v>#REF!</v>
      </c>
      <c r="AA23" s="138" t="e">
        <f>AA13*'CF Monitor Dashboard'!L34/100</f>
        <v>#REF!</v>
      </c>
      <c r="AB23" s="138" t="e">
        <f>AB13*'CF Monitor Dashboard'!M34/100</f>
        <v>#REF!</v>
      </c>
      <c r="AC23" s="138"/>
    </row>
    <row r="24" spans="1:29" ht="12.5" x14ac:dyDescent="0.25">
      <c r="A24" s="182" t="s">
        <v>146</v>
      </c>
      <c r="B24" s="138" t="e">
        <f>B14*'CF Monitor Dashboard'!B11/100</f>
        <v>#REF!</v>
      </c>
      <c r="C24" s="138" t="e">
        <f>C14*'CF Monitor Dashboard'!C11/100</f>
        <v>#REF!</v>
      </c>
      <c r="D24" s="138" t="e">
        <f>D14*'CF Monitor Dashboard'!D11/100</f>
        <v>#REF!</v>
      </c>
      <c r="E24" s="138" t="e">
        <f>E14*'CF Monitor Dashboard'!E11/100</f>
        <v>#REF!</v>
      </c>
      <c r="F24" s="138" t="e">
        <f>F14*'CF Monitor Dashboard'!F11/100</f>
        <v>#REF!</v>
      </c>
      <c r="G24" s="138" t="e">
        <f>G14*'CF Monitor Dashboard'!G11/100</f>
        <v>#REF!</v>
      </c>
      <c r="H24" s="138" t="e">
        <f>H14*'CF Monitor Dashboard'!H11/100</f>
        <v>#REF!</v>
      </c>
      <c r="I24" s="138" t="e">
        <f>I14*'CF Monitor Dashboard'!I11/100</f>
        <v>#REF!</v>
      </c>
      <c r="J24" s="138" t="e">
        <f>J14*'CF Monitor Dashboard'!J11/100</f>
        <v>#REF!</v>
      </c>
      <c r="K24" s="138" t="e">
        <f>K14*'CF Monitor Dashboard'!K11/100</f>
        <v>#REF!</v>
      </c>
      <c r="L24" s="138" t="e">
        <f>L14*'CF Monitor Dashboard'!L11/100</f>
        <v>#REF!</v>
      </c>
      <c r="M24" s="138" t="e">
        <f>M14*'CF Monitor Dashboard'!M11/100</f>
        <v>#REF!</v>
      </c>
      <c r="P24" s="185" t="s">
        <v>146</v>
      </c>
      <c r="Q24" s="138" t="e">
        <f>Q14*'CF Monitor Dashboard'!B42/100</f>
        <v>#REF!</v>
      </c>
      <c r="R24" s="138" t="e">
        <f>R14*'CF Monitor Dashboard'!C42/100</f>
        <v>#REF!</v>
      </c>
      <c r="S24" s="138" t="e">
        <f>S14*'CF Monitor Dashboard'!D42/100</f>
        <v>#REF!</v>
      </c>
      <c r="T24" s="138" t="e">
        <f>T14*'CF Monitor Dashboard'!E42/100</f>
        <v>#REF!</v>
      </c>
      <c r="U24" s="138" t="e">
        <f>U14*'CF Monitor Dashboard'!F42/100</f>
        <v>#REF!</v>
      </c>
      <c r="V24" s="138" t="e">
        <f>V14*'CF Monitor Dashboard'!G42/100</f>
        <v>#REF!</v>
      </c>
      <c r="W24" s="138" t="e">
        <f>W14*'CF Monitor Dashboard'!H42/100</f>
        <v>#REF!</v>
      </c>
      <c r="X24" s="138" t="e">
        <f>X14*'CF Monitor Dashboard'!I42/100</f>
        <v>#REF!</v>
      </c>
      <c r="Y24" s="138" t="e">
        <f>Y14*'CF Monitor Dashboard'!J42/100</f>
        <v>#REF!</v>
      </c>
      <c r="Z24" s="138" t="e">
        <f>Z14*'CF Monitor Dashboard'!K42/100</f>
        <v>#REF!</v>
      </c>
      <c r="AA24" s="138" t="e">
        <f>AA14*'CF Monitor Dashboard'!L42/100</f>
        <v>#REF!</v>
      </c>
      <c r="AB24" s="138" t="e">
        <f>AB14*'CF Monitor Dashboard'!M42/100</f>
        <v>#REF!</v>
      </c>
      <c r="AC24" s="138"/>
    </row>
    <row r="25" spans="1:29" ht="12.5" x14ac:dyDescent="0.25">
      <c r="A25" s="182" t="s">
        <v>147</v>
      </c>
      <c r="B25" s="138" t="e">
        <f>B15*'CF Monitor Dashboard'!B15/100</f>
        <v>#REF!</v>
      </c>
      <c r="C25" s="138" t="e">
        <f>C15*'CF Monitor Dashboard'!C15/100</f>
        <v>#REF!</v>
      </c>
      <c r="D25" s="138" t="e">
        <f>D15*'CF Monitor Dashboard'!D15/100</f>
        <v>#REF!</v>
      </c>
      <c r="E25" s="138" t="e">
        <f>E15*'CF Monitor Dashboard'!E15/100</f>
        <v>#REF!</v>
      </c>
      <c r="F25" s="138" t="e">
        <f>F15*'CF Monitor Dashboard'!F15/100</f>
        <v>#REF!</v>
      </c>
      <c r="G25" s="138" t="e">
        <f>G15*'CF Monitor Dashboard'!G15/100</f>
        <v>#REF!</v>
      </c>
      <c r="H25" s="138" t="e">
        <f>H15*'CF Monitor Dashboard'!H15/100</f>
        <v>#REF!</v>
      </c>
      <c r="I25" s="138" t="e">
        <f>I15*'CF Monitor Dashboard'!I15/100</f>
        <v>#REF!</v>
      </c>
      <c r="J25" s="138" t="e">
        <f>J15*'CF Monitor Dashboard'!J15/100</f>
        <v>#REF!</v>
      </c>
      <c r="K25" s="138" t="e">
        <f>K15*'CF Monitor Dashboard'!K15/100</f>
        <v>#REF!</v>
      </c>
      <c r="L25" s="138" t="e">
        <f>L15*'CF Monitor Dashboard'!L15/100</f>
        <v>#REF!</v>
      </c>
      <c r="M25" s="138" t="e">
        <f>M15*'CF Monitor Dashboard'!M15/100</f>
        <v>#REF!</v>
      </c>
      <c r="P25" s="185" t="s">
        <v>147</v>
      </c>
      <c r="Q25" s="138" t="e">
        <f>Q15*'CF Monitor Dashboard'!B46/100</f>
        <v>#REF!</v>
      </c>
      <c r="R25" s="138" t="e">
        <f>R15*'CF Monitor Dashboard'!C46/100</f>
        <v>#REF!</v>
      </c>
      <c r="S25" s="138" t="e">
        <f>S15*'CF Monitor Dashboard'!D46/100</f>
        <v>#REF!</v>
      </c>
      <c r="T25" s="138" t="e">
        <f>T15*'CF Monitor Dashboard'!E46/100</f>
        <v>#REF!</v>
      </c>
      <c r="U25" s="138" t="e">
        <f>U15*'CF Monitor Dashboard'!F46/100</f>
        <v>#REF!</v>
      </c>
      <c r="V25" s="138" t="e">
        <f>V15*'CF Monitor Dashboard'!G46/100</f>
        <v>#REF!</v>
      </c>
      <c r="W25" s="138" t="e">
        <f>W15*'CF Monitor Dashboard'!H46/100</f>
        <v>#REF!</v>
      </c>
      <c r="X25" s="138" t="e">
        <f>X15*'CF Monitor Dashboard'!I46/100</f>
        <v>#REF!</v>
      </c>
      <c r="Y25" s="138" t="e">
        <f>Y15*'CF Monitor Dashboard'!J46/100</f>
        <v>#REF!</v>
      </c>
      <c r="Z25" s="138" t="e">
        <f>Z15*'CF Monitor Dashboard'!K46/100</f>
        <v>#REF!</v>
      </c>
      <c r="AA25" s="138" t="e">
        <f>AA15*'CF Monitor Dashboard'!L46/100</f>
        <v>#REF!</v>
      </c>
      <c r="AB25" s="138" t="e">
        <f>AB15*'CF Monitor Dashboard'!M46/100</f>
        <v>#REF!</v>
      </c>
      <c r="AC25" s="138"/>
    </row>
    <row r="26" spans="1:29" ht="12.5" x14ac:dyDescent="0.25">
      <c r="A26" s="182" t="s">
        <v>148</v>
      </c>
      <c r="B26" s="138" t="e">
        <f>B16*'CF Monitor Dashboard'!B16/100</f>
        <v>#REF!</v>
      </c>
      <c r="C26" s="138" t="e">
        <f>C16*'CF Monitor Dashboard'!C16/100</f>
        <v>#REF!</v>
      </c>
      <c r="D26" s="138" t="e">
        <f>D16*'CF Monitor Dashboard'!D16/100</f>
        <v>#REF!</v>
      </c>
      <c r="E26" s="138" t="e">
        <f>E16*'CF Monitor Dashboard'!E16/100</f>
        <v>#REF!</v>
      </c>
      <c r="F26" s="138" t="e">
        <f>F16*'CF Monitor Dashboard'!F16/100</f>
        <v>#REF!</v>
      </c>
      <c r="G26" s="138" t="e">
        <f>G16*'CF Monitor Dashboard'!G16/100</f>
        <v>#REF!</v>
      </c>
      <c r="H26" s="138" t="e">
        <f>H16*'CF Monitor Dashboard'!H16/100</f>
        <v>#REF!</v>
      </c>
      <c r="I26" s="138" t="e">
        <f>I16*'CF Monitor Dashboard'!I16/100</f>
        <v>#REF!</v>
      </c>
      <c r="J26" s="138" t="e">
        <f>J16*'CF Monitor Dashboard'!J16/100</f>
        <v>#REF!</v>
      </c>
      <c r="K26" s="138" t="e">
        <f>K16*'CF Monitor Dashboard'!K16/100</f>
        <v>#REF!</v>
      </c>
      <c r="L26" s="138" t="e">
        <f>L16*'CF Monitor Dashboard'!L16/100</f>
        <v>#REF!</v>
      </c>
      <c r="M26" s="138" t="e">
        <f>M16*'CF Monitor Dashboard'!M16/100</f>
        <v>#REF!</v>
      </c>
      <c r="P26" s="185" t="s">
        <v>148</v>
      </c>
      <c r="Q26" s="138" t="e">
        <f>Q16*'CF Monitor Dashboard'!B47/100</f>
        <v>#REF!</v>
      </c>
      <c r="R26" s="138" t="e">
        <f>R16*'CF Monitor Dashboard'!C47/100</f>
        <v>#REF!</v>
      </c>
      <c r="S26" s="138" t="e">
        <f>S16*'CF Monitor Dashboard'!D47/100</f>
        <v>#REF!</v>
      </c>
      <c r="T26" s="138" t="e">
        <f>T16*'CF Monitor Dashboard'!E47/100</f>
        <v>#REF!</v>
      </c>
      <c r="U26" s="138" t="e">
        <f>U16*'CF Monitor Dashboard'!F47/100</f>
        <v>#REF!</v>
      </c>
      <c r="V26" s="138" t="e">
        <f>V16*'CF Monitor Dashboard'!G47/100</f>
        <v>#REF!</v>
      </c>
      <c r="W26" s="138" t="e">
        <f>W16*'CF Monitor Dashboard'!H47/100</f>
        <v>#REF!</v>
      </c>
      <c r="X26" s="138" t="e">
        <f>X16*'CF Monitor Dashboard'!I47/100</f>
        <v>#REF!</v>
      </c>
      <c r="Y26" s="138" t="e">
        <f>Y16*'CF Monitor Dashboard'!J47/100</f>
        <v>#REF!</v>
      </c>
      <c r="Z26" s="138" t="e">
        <f>Z16*'CF Monitor Dashboard'!K47/100</f>
        <v>#REF!</v>
      </c>
      <c r="AA26" s="138" t="e">
        <f>AA16*'CF Monitor Dashboard'!L47/100</f>
        <v>#REF!</v>
      </c>
      <c r="AB26" s="138" t="e">
        <f>AB16*'CF Monitor Dashboard'!M47/100</f>
        <v>#REF!</v>
      </c>
      <c r="AC26" s="138"/>
    </row>
    <row r="27" spans="1:29" ht="12.5" x14ac:dyDescent="0.25">
      <c r="A27" s="182" t="s">
        <v>149</v>
      </c>
      <c r="B27" s="138" t="e">
        <f>B17*'CF Monitor Dashboard'!B21/100</f>
        <v>#REF!</v>
      </c>
      <c r="C27" s="138" t="e">
        <f>C17*'CF Monitor Dashboard'!C21/100</f>
        <v>#REF!</v>
      </c>
      <c r="D27" s="138" t="e">
        <f>D17*'CF Monitor Dashboard'!D21/100</f>
        <v>#REF!</v>
      </c>
      <c r="E27" s="138" t="e">
        <f>E17*'CF Monitor Dashboard'!E21/100</f>
        <v>#REF!</v>
      </c>
      <c r="F27" s="138" t="e">
        <f>F17*'CF Monitor Dashboard'!F21/100</f>
        <v>#REF!</v>
      </c>
      <c r="G27" s="138" t="e">
        <f>G17*'CF Monitor Dashboard'!G21/100</f>
        <v>#REF!</v>
      </c>
      <c r="H27" s="138" t="e">
        <f>H17*'CF Monitor Dashboard'!H21/100</f>
        <v>#REF!</v>
      </c>
      <c r="I27" s="138" t="e">
        <f>I17*'CF Monitor Dashboard'!I21/100</f>
        <v>#REF!</v>
      </c>
      <c r="J27" s="138" t="e">
        <f>J17*'CF Monitor Dashboard'!J21/100</f>
        <v>#REF!</v>
      </c>
      <c r="K27" s="138" t="e">
        <f>K17*'CF Monitor Dashboard'!K21/100</f>
        <v>#REF!</v>
      </c>
      <c r="L27" s="138" t="e">
        <f>L17*'CF Monitor Dashboard'!L21/100</f>
        <v>#REF!</v>
      </c>
      <c r="M27" s="138" t="e">
        <f>M17*'CF Monitor Dashboard'!M21/100</f>
        <v>#REF!</v>
      </c>
      <c r="P27" s="185" t="s">
        <v>149</v>
      </c>
      <c r="Q27" s="138" t="e">
        <f>Q17*'CF Monitor Dashboard'!B52/100</f>
        <v>#REF!</v>
      </c>
      <c r="R27" s="138" t="e">
        <f>R17*'CF Monitor Dashboard'!C52/100</f>
        <v>#REF!</v>
      </c>
      <c r="S27" s="138" t="e">
        <f>S17*'CF Monitor Dashboard'!D52/100</f>
        <v>#REF!</v>
      </c>
      <c r="T27" s="138" t="e">
        <f>T17*'CF Monitor Dashboard'!E52/100</f>
        <v>#REF!</v>
      </c>
      <c r="U27" s="138" t="e">
        <f>U17*'CF Monitor Dashboard'!F52/100</f>
        <v>#REF!</v>
      </c>
      <c r="V27" s="138" t="e">
        <f>V17*'CF Monitor Dashboard'!G52/100</f>
        <v>#REF!</v>
      </c>
      <c r="W27" s="138" t="e">
        <f>W17*'CF Monitor Dashboard'!H52/100</f>
        <v>#REF!</v>
      </c>
      <c r="X27" s="138" t="e">
        <f>X17*'CF Monitor Dashboard'!I52/100</f>
        <v>#REF!</v>
      </c>
      <c r="Y27" s="138" t="e">
        <f>Y17*'CF Monitor Dashboard'!J52/100</f>
        <v>#REF!</v>
      </c>
      <c r="Z27" s="138" t="e">
        <f>Z17*'CF Monitor Dashboard'!K52/100</f>
        <v>#REF!</v>
      </c>
      <c r="AA27" s="138" t="e">
        <f>AA17*'CF Monitor Dashboard'!L52/100</f>
        <v>#REF!</v>
      </c>
      <c r="AB27" s="138" t="e">
        <f>AB17*'CF Monitor Dashboard'!M52/100</f>
        <v>#REF!</v>
      </c>
      <c r="AC27" s="138"/>
    </row>
    <row r="28" spans="1:29" ht="12.5" x14ac:dyDescent="0.25">
      <c r="A28" s="182" t="s">
        <v>150</v>
      </c>
      <c r="B28" s="138" t="e">
        <f>B18*'CF Monitor Dashboard'!B27/100</f>
        <v>#REF!</v>
      </c>
      <c r="C28" s="138" t="e">
        <f>C18*'CF Monitor Dashboard'!C27/100</f>
        <v>#REF!</v>
      </c>
      <c r="D28" s="138" t="e">
        <f>D18*'CF Monitor Dashboard'!D27/100</f>
        <v>#REF!</v>
      </c>
      <c r="E28" s="138" t="e">
        <f>E18*'CF Monitor Dashboard'!E27/100</f>
        <v>#REF!</v>
      </c>
      <c r="F28" s="138" t="e">
        <f>F18*'CF Monitor Dashboard'!F27/100</f>
        <v>#REF!</v>
      </c>
      <c r="G28" s="138" t="e">
        <f>G18*'CF Monitor Dashboard'!G27/100</f>
        <v>#REF!</v>
      </c>
      <c r="H28" s="138" t="e">
        <f>H18*'CF Monitor Dashboard'!H27/100</f>
        <v>#REF!</v>
      </c>
      <c r="I28" s="138" t="e">
        <f>I18*'CF Monitor Dashboard'!I27/100</f>
        <v>#REF!</v>
      </c>
      <c r="J28" s="138" t="e">
        <f>J18*'CF Monitor Dashboard'!J27/100</f>
        <v>#REF!</v>
      </c>
      <c r="K28" s="138" t="e">
        <f>K18*'CF Monitor Dashboard'!K27/100</f>
        <v>#REF!</v>
      </c>
      <c r="L28" s="138" t="e">
        <f>L18*'CF Monitor Dashboard'!L27/100</f>
        <v>#REF!</v>
      </c>
      <c r="M28" s="138" t="e">
        <f>M18*'CF Monitor Dashboard'!M27/100</f>
        <v>#REF!</v>
      </c>
      <c r="P28" s="185" t="s">
        <v>150</v>
      </c>
      <c r="Q28" s="138" t="e">
        <f>Q18*'CF Monitor Dashboard'!B58/100</f>
        <v>#REF!</v>
      </c>
      <c r="R28" s="138" t="e">
        <f>R18*'CF Monitor Dashboard'!C58/100</f>
        <v>#REF!</v>
      </c>
      <c r="S28" s="138" t="e">
        <f>S18*'CF Monitor Dashboard'!D58/100</f>
        <v>#REF!</v>
      </c>
      <c r="T28" s="138" t="e">
        <f>T18*'CF Monitor Dashboard'!E58/100</f>
        <v>#REF!</v>
      </c>
      <c r="U28" s="138" t="e">
        <f>U18*'CF Monitor Dashboard'!F58/100</f>
        <v>#REF!</v>
      </c>
      <c r="V28" s="138" t="e">
        <f>V18*'CF Monitor Dashboard'!G58/100</f>
        <v>#REF!</v>
      </c>
      <c r="W28" s="138" t="e">
        <f>W18*'CF Monitor Dashboard'!H58/100</f>
        <v>#REF!</v>
      </c>
      <c r="X28" s="138" t="e">
        <f>X18*'CF Monitor Dashboard'!I58/100</f>
        <v>#REF!</v>
      </c>
      <c r="Y28" s="138" t="e">
        <f>Y18*'CF Monitor Dashboard'!J58/100</f>
        <v>#REF!</v>
      </c>
      <c r="Z28" s="138" t="e">
        <f>Z18*'CF Monitor Dashboard'!K58/100</f>
        <v>#REF!</v>
      </c>
      <c r="AA28" s="138" t="e">
        <f>AA18*'CF Monitor Dashboard'!L58/100</f>
        <v>#REF!</v>
      </c>
      <c r="AB28" s="138" t="e">
        <f>AB18*'CF Monitor Dashboard'!M58/100</f>
        <v>#REF!</v>
      </c>
      <c r="AC28" s="138"/>
    </row>
    <row r="29" spans="1:29" ht="12.5" x14ac:dyDescent="0.25">
      <c r="A29" s="182" t="s">
        <v>151</v>
      </c>
      <c r="B29" s="138" t="e">
        <f>B19*'CF Monitor Dashboard'!B30/100</f>
        <v>#REF!</v>
      </c>
      <c r="C29" s="138" t="e">
        <f>C19*'CF Monitor Dashboard'!C30/100</f>
        <v>#REF!</v>
      </c>
      <c r="D29" s="138" t="e">
        <f>D19*'CF Monitor Dashboard'!D30/100</f>
        <v>#REF!</v>
      </c>
      <c r="E29" s="138" t="e">
        <f>E19*'CF Monitor Dashboard'!E30/100</f>
        <v>#REF!</v>
      </c>
      <c r="F29" s="138" t="e">
        <f>F19*'CF Monitor Dashboard'!F30/100</f>
        <v>#REF!</v>
      </c>
      <c r="G29" s="138" t="e">
        <f>G19*'CF Monitor Dashboard'!G30/100</f>
        <v>#REF!</v>
      </c>
      <c r="H29" s="138" t="e">
        <f>H19*'CF Monitor Dashboard'!H30/100</f>
        <v>#REF!</v>
      </c>
      <c r="I29" s="138" t="e">
        <f>I19*'CF Monitor Dashboard'!I30/100</f>
        <v>#REF!</v>
      </c>
      <c r="J29" s="138" t="e">
        <f>J19*'CF Monitor Dashboard'!J30/100</f>
        <v>#REF!</v>
      </c>
      <c r="K29" s="138" t="e">
        <f>K19*'CF Monitor Dashboard'!K30/100</f>
        <v>#REF!</v>
      </c>
      <c r="L29" s="138" t="e">
        <f>L19*'CF Monitor Dashboard'!L30/100</f>
        <v>#REF!</v>
      </c>
      <c r="M29" s="138" t="e">
        <f>M19*'CF Monitor Dashboard'!M30/100</f>
        <v>#REF!</v>
      </c>
      <c r="P29" s="185" t="s">
        <v>151</v>
      </c>
      <c r="Q29" s="138" t="e">
        <f>Q19*'CF Monitor Dashboard'!B61/100</f>
        <v>#REF!</v>
      </c>
      <c r="R29" s="138" t="e">
        <f>R19*'CF Monitor Dashboard'!C61/100</f>
        <v>#REF!</v>
      </c>
      <c r="S29" s="138" t="e">
        <f>S19*'CF Monitor Dashboard'!D61/100</f>
        <v>#REF!</v>
      </c>
      <c r="T29" s="138" t="e">
        <f>T19*'CF Monitor Dashboard'!E61/100</f>
        <v>#REF!</v>
      </c>
      <c r="U29" s="138" t="e">
        <f>U19*'CF Monitor Dashboard'!F61/100</f>
        <v>#REF!</v>
      </c>
      <c r="V29" s="138" t="e">
        <f>V19*'CF Monitor Dashboard'!G61/100</f>
        <v>#REF!</v>
      </c>
      <c r="W29" s="138" t="e">
        <f>W19*'CF Monitor Dashboard'!H61/100</f>
        <v>#REF!</v>
      </c>
      <c r="X29" s="138" t="e">
        <f>X19*'CF Monitor Dashboard'!I61/100</f>
        <v>#REF!</v>
      </c>
      <c r="Y29" s="138" t="e">
        <f>Y19*'CF Monitor Dashboard'!J61/100</f>
        <v>#REF!</v>
      </c>
      <c r="Z29" s="138" t="e">
        <f>Z19*'CF Monitor Dashboard'!K61/100</f>
        <v>#REF!</v>
      </c>
      <c r="AA29" s="138" t="e">
        <f>AA19*'CF Monitor Dashboard'!L61/100</f>
        <v>#REF!</v>
      </c>
      <c r="AB29" s="138" t="e">
        <f>AB19*'CF Monitor Dashboard'!M61/100</f>
        <v>#REF!</v>
      </c>
      <c r="AC29" s="138"/>
    </row>
    <row r="30" spans="1:29" ht="12.5" x14ac:dyDescent="0.25">
      <c r="A30" s="186"/>
      <c r="B30" s="138"/>
      <c r="P30" s="187"/>
    </row>
    <row r="31" spans="1:29" ht="16.5" x14ac:dyDescent="0.35">
      <c r="A31" s="190" t="s">
        <v>106</v>
      </c>
      <c r="P31" s="191" t="s">
        <v>107</v>
      </c>
    </row>
    <row r="32" spans="1:29" ht="18" x14ac:dyDescent="0.4">
      <c r="A32" s="182" t="s">
        <v>221</v>
      </c>
      <c r="B32" s="117" t="s">
        <v>4</v>
      </c>
      <c r="C32" s="117" t="s">
        <v>5</v>
      </c>
      <c r="D32" s="117" t="s">
        <v>6</v>
      </c>
      <c r="E32" s="117" t="s">
        <v>7</v>
      </c>
      <c r="F32" s="117" t="s">
        <v>8</v>
      </c>
      <c r="G32" s="117" t="s">
        <v>9</v>
      </c>
      <c r="H32" s="117" t="s">
        <v>10</v>
      </c>
      <c r="I32" s="117" t="s">
        <v>11</v>
      </c>
      <c r="J32" s="117" t="s">
        <v>12</v>
      </c>
      <c r="K32" s="117" t="s">
        <v>13</v>
      </c>
      <c r="L32" s="117" t="s">
        <v>14</v>
      </c>
      <c r="M32" s="117" t="s">
        <v>15</v>
      </c>
      <c r="N32" s="120"/>
      <c r="O32" s="120"/>
      <c r="P32" s="182" t="s">
        <v>222</v>
      </c>
      <c r="Q32" s="117" t="s">
        <v>4</v>
      </c>
      <c r="R32" s="117" t="s">
        <v>5</v>
      </c>
      <c r="S32" s="117" t="s">
        <v>6</v>
      </c>
      <c r="T32" s="117" t="s">
        <v>7</v>
      </c>
      <c r="U32" s="117" t="s">
        <v>8</v>
      </c>
      <c r="V32" s="117" t="s">
        <v>9</v>
      </c>
      <c r="W32" s="117" t="s">
        <v>10</v>
      </c>
      <c r="X32" s="117" t="s">
        <v>11</v>
      </c>
      <c r="Y32" s="117" t="s">
        <v>12</v>
      </c>
      <c r="Z32" s="117" t="s">
        <v>13</v>
      </c>
      <c r="AA32" s="117" t="s">
        <v>14</v>
      </c>
      <c r="AB32" s="117" t="s">
        <v>15</v>
      </c>
      <c r="AC32" s="117"/>
    </row>
    <row r="33" spans="1:28" ht="12.5" x14ac:dyDescent="0.25">
      <c r="A33" s="1" t="s">
        <v>145</v>
      </c>
      <c r="B33" s="138" t="e">
        <f t="shared" ref="B33:M33" si="0">B3+B23</f>
        <v>#REF!</v>
      </c>
      <c r="C33" s="138" t="e">
        <f t="shared" si="0"/>
        <v>#REF!</v>
      </c>
      <c r="D33" s="138" t="e">
        <f t="shared" si="0"/>
        <v>#REF!</v>
      </c>
      <c r="E33" s="138" t="e">
        <f t="shared" si="0"/>
        <v>#REF!</v>
      </c>
      <c r="F33" s="138" t="e">
        <f t="shared" si="0"/>
        <v>#REF!</v>
      </c>
      <c r="G33" s="138" t="e">
        <f t="shared" si="0"/>
        <v>#REF!</v>
      </c>
      <c r="H33" s="138" t="e">
        <f t="shared" si="0"/>
        <v>#REF!</v>
      </c>
      <c r="I33" s="138" t="e">
        <f t="shared" si="0"/>
        <v>#REF!</v>
      </c>
      <c r="J33" s="138" t="e">
        <f t="shared" si="0"/>
        <v>#REF!</v>
      </c>
      <c r="K33" s="138" t="e">
        <f t="shared" si="0"/>
        <v>#REF!</v>
      </c>
      <c r="L33" s="138" t="e">
        <f t="shared" si="0"/>
        <v>#REF!</v>
      </c>
      <c r="M33" s="138" t="e">
        <f t="shared" si="0"/>
        <v>#REF!</v>
      </c>
      <c r="P33" s="185" t="s">
        <v>145</v>
      </c>
      <c r="Q33" s="138" t="e">
        <f t="shared" ref="Q33:AB33" si="1">Q3+Q23</f>
        <v>#REF!</v>
      </c>
      <c r="R33" s="138" t="e">
        <f t="shared" si="1"/>
        <v>#REF!</v>
      </c>
      <c r="S33" s="138" t="e">
        <f t="shared" si="1"/>
        <v>#REF!</v>
      </c>
      <c r="T33" s="138" t="e">
        <f t="shared" si="1"/>
        <v>#REF!</v>
      </c>
      <c r="U33" s="138" t="e">
        <f t="shared" si="1"/>
        <v>#REF!</v>
      </c>
      <c r="V33" s="138" t="e">
        <f t="shared" si="1"/>
        <v>#REF!</v>
      </c>
      <c r="W33" s="138" t="e">
        <f t="shared" si="1"/>
        <v>#REF!</v>
      </c>
      <c r="X33" s="138" t="e">
        <f t="shared" si="1"/>
        <v>#REF!</v>
      </c>
      <c r="Y33" s="138" t="e">
        <f t="shared" si="1"/>
        <v>#REF!</v>
      </c>
      <c r="Z33" s="138" t="e">
        <f t="shared" si="1"/>
        <v>#REF!</v>
      </c>
      <c r="AA33" s="138" t="e">
        <f t="shared" si="1"/>
        <v>#REF!</v>
      </c>
      <c r="AB33" s="138" t="e">
        <f t="shared" si="1"/>
        <v>#REF!</v>
      </c>
    </row>
    <row r="34" spans="1:28" ht="12.5" x14ac:dyDescent="0.25">
      <c r="A34" s="1" t="s">
        <v>146</v>
      </c>
      <c r="B34" s="138" t="e">
        <f t="shared" ref="B34:M34" si="2">B4+B24</f>
        <v>#REF!</v>
      </c>
      <c r="C34" s="138" t="e">
        <f t="shared" si="2"/>
        <v>#REF!</v>
      </c>
      <c r="D34" s="138" t="e">
        <f t="shared" si="2"/>
        <v>#REF!</v>
      </c>
      <c r="E34" s="138" t="e">
        <f t="shared" si="2"/>
        <v>#REF!</v>
      </c>
      <c r="F34" s="138" t="e">
        <f t="shared" si="2"/>
        <v>#REF!</v>
      </c>
      <c r="G34" s="138" t="e">
        <f t="shared" si="2"/>
        <v>#REF!</v>
      </c>
      <c r="H34" s="138" t="e">
        <f t="shared" si="2"/>
        <v>#REF!</v>
      </c>
      <c r="I34" s="138" t="e">
        <f t="shared" si="2"/>
        <v>#REF!</v>
      </c>
      <c r="J34" s="138" t="e">
        <f t="shared" si="2"/>
        <v>#REF!</v>
      </c>
      <c r="K34" s="138" t="e">
        <f t="shared" si="2"/>
        <v>#REF!</v>
      </c>
      <c r="L34" s="138" t="e">
        <f t="shared" si="2"/>
        <v>#REF!</v>
      </c>
      <c r="M34" s="138" t="e">
        <f t="shared" si="2"/>
        <v>#REF!</v>
      </c>
      <c r="P34" s="185" t="s">
        <v>146</v>
      </c>
      <c r="Q34" s="138" t="e">
        <f t="shared" ref="Q34:AB34" si="3">Q4+Q24</f>
        <v>#REF!</v>
      </c>
      <c r="R34" s="138" t="e">
        <f t="shared" si="3"/>
        <v>#REF!</v>
      </c>
      <c r="S34" s="138" t="e">
        <f t="shared" si="3"/>
        <v>#REF!</v>
      </c>
      <c r="T34" s="138" t="e">
        <f t="shared" si="3"/>
        <v>#REF!</v>
      </c>
      <c r="U34" s="138" t="e">
        <f t="shared" si="3"/>
        <v>#REF!</v>
      </c>
      <c r="V34" s="138" t="e">
        <f t="shared" si="3"/>
        <v>#REF!</v>
      </c>
      <c r="W34" s="138" t="e">
        <f t="shared" si="3"/>
        <v>#REF!</v>
      </c>
      <c r="X34" s="138" t="e">
        <f t="shared" si="3"/>
        <v>#REF!</v>
      </c>
      <c r="Y34" s="138" t="e">
        <f t="shared" si="3"/>
        <v>#REF!</v>
      </c>
      <c r="Z34" s="138" t="e">
        <f t="shared" si="3"/>
        <v>#REF!</v>
      </c>
      <c r="AA34" s="138" t="e">
        <f t="shared" si="3"/>
        <v>#REF!</v>
      </c>
      <c r="AB34" s="138" t="e">
        <f t="shared" si="3"/>
        <v>#REF!</v>
      </c>
    </row>
    <row r="35" spans="1:28" ht="12.5" x14ac:dyDescent="0.25">
      <c r="A35" s="1" t="s">
        <v>147</v>
      </c>
      <c r="B35" s="138" t="e">
        <f t="shared" ref="B35:M35" si="4">B5+B25</f>
        <v>#REF!</v>
      </c>
      <c r="C35" s="138" t="e">
        <f t="shared" si="4"/>
        <v>#REF!</v>
      </c>
      <c r="D35" s="138" t="e">
        <f t="shared" si="4"/>
        <v>#REF!</v>
      </c>
      <c r="E35" s="138" t="e">
        <f t="shared" si="4"/>
        <v>#REF!</v>
      </c>
      <c r="F35" s="138" t="e">
        <f t="shared" si="4"/>
        <v>#REF!</v>
      </c>
      <c r="G35" s="138" t="e">
        <f t="shared" si="4"/>
        <v>#REF!</v>
      </c>
      <c r="H35" s="138" t="e">
        <f t="shared" si="4"/>
        <v>#REF!</v>
      </c>
      <c r="I35" s="138" t="e">
        <f t="shared" si="4"/>
        <v>#REF!</v>
      </c>
      <c r="J35" s="138" t="e">
        <f t="shared" si="4"/>
        <v>#REF!</v>
      </c>
      <c r="K35" s="138" t="e">
        <f t="shared" si="4"/>
        <v>#REF!</v>
      </c>
      <c r="L35" s="138" t="e">
        <f t="shared" si="4"/>
        <v>#REF!</v>
      </c>
      <c r="M35" s="138" t="e">
        <f t="shared" si="4"/>
        <v>#REF!</v>
      </c>
      <c r="P35" s="185" t="s">
        <v>147</v>
      </c>
      <c r="Q35" s="138" t="e">
        <f t="shared" ref="Q35:AB35" si="5">Q5+Q25</f>
        <v>#REF!</v>
      </c>
      <c r="R35" s="138" t="e">
        <f t="shared" si="5"/>
        <v>#REF!</v>
      </c>
      <c r="S35" s="138" t="e">
        <f t="shared" si="5"/>
        <v>#REF!</v>
      </c>
      <c r="T35" s="138" t="e">
        <f t="shared" si="5"/>
        <v>#REF!</v>
      </c>
      <c r="U35" s="138" t="e">
        <f t="shared" si="5"/>
        <v>#REF!</v>
      </c>
      <c r="V35" s="138" t="e">
        <f t="shared" si="5"/>
        <v>#REF!</v>
      </c>
      <c r="W35" s="138" t="e">
        <f t="shared" si="5"/>
        <v>#REF!</v>
      </c>
      <c r="X35" s="138" t="e">
        <f t="shared" si="5"/>
        <v>#REF!</v>
      </c>
      <c r="Y35" s="138" t="e">
        <f t="shared" si="5"/>
        <v>#REF!</v>
      </c>
      <c r="Z35" s="138" t="e">
        <f t="shared" si="5"/>
        <v>#REF!</v>
      </c>
      <c r="AA35" s="138" t="e">
        <f t="shared" si="5"/>
        <v>#REF!</v>
      </c>
      <c r="AB35" s="138" t="e">
        <f t="shared" si="5"/>
        <v>#REF!</v>
      </c>
    </row>
    <row r="36" spans="1:28" ht="12.5" x14ac:dyDescent="0.25">
      <c r="A36" s="1" t="s">
        <v>148</v>
      </c>
      <c r="B36" s="138" t="e">
        <f t="shared" ref="B36:M36" si="6">B6+B26</f>
        <v>#REF!</v>
      </c>
      <c r="C36" s="138" t="e">
        <f t="shared" si="6"/>
        <v>#REF!</v>
      </c>
      <c r="D36" s="138" t="e">
        <f t="shared" si="6"/>
        <v>#REF!</v>
      </c>
      <c r="E36" s="138" t="e">
        <f t="shared" si="6"/>
        <v>#REF!</v>
      </c>
      <c r="F36" s="138" t="e">
        <f t="shared" si="6"/>
        <v>#REF!</v>
      </c>
      <c r="G36" s="138" t="e">
        <f t="shared" si="6"/>
        <v>#REF!</v>
      </c>
      <c r="H36" s="138" t="e">
        <f t="shared" si="6"/>
        <v>#REF!</v>
      </c>
      <c r="I36" s="138" t="e">
        <f t="shared" si="6"/>
        <v>#REF!</v>
      </c>
      <c r="J36" s="138" t="e">
        <f t="shared" si="6"/>
        <v>#REF!</v>
      </c>
      <c r="K36" s="138" t="e">
        <f t="shared" si="6"/>
        <v>#REF!</v>
      </c>
      <c r="L36" s="138" t="e">
        <f t="shared" si="6"/>
        <v>#REF!</v>
      </c>
      <c r="M36" s="138" t="e">
        <f t="shared" si="6"/>
        <v>#REF!</v>
      </c>
      <c r="P36" s="185" t="s">
        <v>148</v>
      </c>
      <c r="Q36" s="138" t="e">
        <f t="shared" ref="Q36:AB36" si="7">Q6+Q26</f>
        <v>#REF!</v>
      </c>
      <c r="R36" s="138" t="e">
        <f t="shared" si="7"/>
        <v>#REF!</v>
      </c>
      <c r="S36" s="138" t="e">
        <f t="shared" si="7"/>
        <v>#REF!</v>
      </c>
      <c r="T36" s="138" t="e">
        <f t="shared" si="7"/>
        <v>#REF!</v>
      </c>
      <c r="U36" s="138" t="e">
        <f t="shared" si="7"/>
        <v>#REF!</v>
      </c>
      <c r="V36" s="138" t="e">
        <f t="shared" si="7"/>
        <v>#REF!</v>
      </c>
      <c r="W36" s="138" t="e">
        <f t="shared" si="7"/>
        <v>#REF!</v>
      </c>
      <c r="X36" s="138" t="e">
        <f t="shared" si="7"/>
        <v>#REF!</v>
      </c>
      <c r="Y36" s="138" t="e">
        <f t="shared" si="7"/>
        <v>#REF!</v>
      </c>
      <c r="Z36" s="138" t="e">
        <f t="shared" si="7"/>
        <v>#REF!</v>
      </c>
      <c r="AA36" s="138" t="e">
        <f t="shared" si="7"/>
        <v>#REF!</v>
      </c>
      <c r="AB36" s="138" t="e">
        <f t="shared" si="7"/>
        <v>#REF!</v>
      </c>
    </row>
    <row r="37" spans="1:28" ht="12.5" x14ac:dyDescent="0.25">
      <c r="A37" s="1" t="s">
        <v>149</v>
      </c>
      <c r="B37" s="138" t="e">
        <f t="shared" ref="B37:M37" si="8">B7+B27</f>
        <v>#REF!</v>
      </c>
      <c r="C37" s="138" t="e">
        <f t="shared" si="8"/>
        <v>#REF!</v>
      </c>
      <c r="D37" s="138" t="e">
        <f t="shared" si="8"/>
        <v>#REF!</v>
      </c>
      <c r="E37" s="138" t="e">
        <f t="shared" si="8"/>
        <v>#REF!</v>
      </c>
      <c r="F37" s="138" t="e">
        <f t="shared" si="8"/>
        <v>#REF!</v>
      </c>
      <c r="G37" s="138" t="e">
        <f t="shared" si="8"/>
        <v>#REF!</v>
      </c>
      <c r="H37" s="138" t="e">
        <f t="shared" si="8"/>
        <v>#REF!</v>
      </c>
      <c r="I37" s="138" t="e">
        <f t="shared" si="8"/>
        <v>#REF!</v>
      </c>
      <c r="J37" s="138" t="e">
        <f t="shared" si="8"/>
        <v>#REF!</v>
      </c>
      <c r="K37" s="138" t="e">
        <f t="shared" si="8"/>
        <v>#REF!</v>
      </c>
      <c r="L37" s="138" t="e">
        <f t="shared" si="8"/>
        <v>#REF!</v>
      </c>
      <c r="M37" s="138" t="e">
        <f t="shared" si="8"/>
        <v>#REF!</v>
      </c>
      <c r="P37" s="185" t="s">
        <v>149</v>
      </c>
      <c r="Q37" s="138" t="e">
        <f t="shared" ref="Q37:AB37" si="9">Q7+Q27</f>
        <v>#REF!</v>
      </c>
      <c r="R37" s="138" t="e">
        <f t="shared" si="9"/>
        <v>#REF!</v>
      </c>
      <c r="S37" s="138" t="e">
        <f t="shared" si="9"/>
        <v>#REF!</v>
      </c>
      <c r="T37" s="138" t="e">
        <f t="shared" si="9"/>
        <v>#REF!</v>
      </c>
      <c r="U37" s="138" t="e">
        <f t="shared" si="9"/>
        <v>#REF!</v>
      </c>
      <c r="V37" s="138" t="e">
        <f t="shared" si="9"/>
        <v>#REF!</v>
      </c>
      <c r="W37" s="138" t="e">
        <f t="shared" si="9"/>
        <v>#REF!</v>
      </c>
      <c r="X37" s="138" t="e">
        <f t="shared" si="9"/>
        <v>#REF!</v>
      </c>
      <c r="Y37" s="138" t="e">
        <f t="shared" si="9"/>
        <v>#REF!</v>
      </c>
      <c r="Z37" s="138" t="e">
        <f t="shared" si="9"/>
        <v>#REF!</v>
      </c>
      <c r="AA37" s="138" t="e">
        <f t="shared" si="9"/>
        <v>#REF!</v>
      </c>
      <c r="AB37" s="138" t="e">
        <f t="shared" si="9"/>
        <v>#REF!</v>
      </c>
    </row>
    <row r="38" spans="1:28" ht="12.5" x14ac:dyDescent="0.25">
      <c r="A38" s="1" t="s">
        <v>150</v>
      </c>
      <c r="B38" s="138" t="e">
        <f t="shared" ref="B38:M38" si="10">B8+B28</f>
        <v>#REF!</v>
      </c>
      <c r="C38" s="138" t="e">
        <f t="shared" si="10"/>
        <v>#REF!</v>
      </c>
      <c r="D38" s="138" t="e">
        <f t="shared" si="10"/>
        <v>#REF!</v>
      </c>
      <c r="E38" s="138" t="e">
        <f t="shared" si="10"/>
        <v>#REF!</v>
      </c>
      <c r="F38" s="138" t="e">
        <f t="shared" si="10"/>
        <v>#REF!</v>
      </c>
      <c r="G38" s="138" t="e">
        <f t="shared" si="10"/>
        <v>#REF!</v>
      </c>
      <c r="H38" s="138" t="e">
        <f t="shared" si="10"/>
        <v>#REF!</v>
      </c>
      <c r="I38" s="138" t="e">
        <f t="shared" si="10"/>
        <v>#REF!</v>
      </c>
      <c r="J38" s="138" t="e">
        <f t="shared" si="10"/>
        <v>#REF!</v>
      </c>
      <c r="K38" s="138" t="e">
        <f t="shared" si="10"/>
        <v>#REF!</v>
      </c>
      <c r="L38" s="138" t="e">
        <f t="shared" si="10"/>
        <v>#REF!</v>
      </c>
      <c r="M38" s="138" t="e">
        <f t="shared" si="10"/>
        <v>#REF!</v>
      </c>
      <c r="P38" s="185" t="s">
        <v>150</v>
      </c>
      <c r="Q38" s="138" t="e">
        <f t="shared" ref="Q38:AB38" si="11">Q8+Q28</f>
        <v>#REF!</v>
      </c>
      <c r="R38" s="138" t="e">
        <f t="shared" si="11"/>
        <v>#REF!</v>
      </c>
      <c r="S38" s="138" t="e">
        <f t="shared" si="11"/>
        <v>#REF!</v>
      </c>
      <c r="T38" s="138" t="e">
        <f t="shared" si="11"/>
        <v>#REF!</v>
      </c>
      <c r="U38" s="138" t="e">
        <f t="shared" si="11"/>
        <v>#REF!</v>
      </c>
      <c r="V38" s="138" t="e">
        <f t="shared" si="11"/>
        <v>#REF!</v>
      </c>
      <c r="W38" s="138" t="e">
        <f t="shared" si="11"/>
        <v>#REF!</v>
      </c>
      <c r="X38" s="138" t="e">
        <f t="shared" si="11"/>
        <v>#REF!</v>
      </c>
      <c r="Y38" s="138" t="e">
        <f t="shared" si="11"/>
        <v>#REF!</v>
      </c>
      <c r="Z38" s="138" t="e">
        <f t="shared" si="11"/>
        <v>#REF!</v>
      </c>
      <c r="AA38" s="138" t="e">
        <f t="shared" si="11"/>
        <v>#REF!</v>
      </c>
      <c r="AB38" s="138" t="e">
        <f t="shared" si="11"/>
        <v>#REF!</v>
      </c>
    </row>
    <row r="39" spans="1:28" ht="12.5" x14ac:dyDescent="0.25">
      <c r="A39" s="1" t="s">
        <v>151</v>
      </c>
      <c r="B39" s="138" t="e">
        <f t="shared" ref="B39:M39" si="12">B9+B29</f>
        <v>#REF!</v>
      </c>
      <c r="C39" s="138" t="e">
        <f t="shared" si="12"/>
        <v>#REF!</v>
      </c>
      <c r="D39" s="138" t="e">
        <f t="shared" si="12"/>
        <v>#REF!</v>
      </c>
      <c r="E39" s="138" t="e">
        <f t="shared" si="12"/>
        <v>#REF!</v>
      </c>
      <c r="F39" s="138" t="e">
        <f t="shared" si="12"/>
        <v>#REF!</v>
      </c>
      <c r="G39" s="138" t="e">
        <f t="shared" si="12"/>
        <v>#REF!</v>
      </c>
      <c r="H39" s="138" t="e">
        <f t="shared" si="12"/>
        <v>#REF!</v>
      </c>
      <c r="I39" s="138" t="e">
        <f t="shared" si="12"/>
        <v>#REF!</v>
      </c>
      <c r="J39" s="138" t="e">
        <f t="shared" si="12"/>
        <v>#REF!</v>
      </c>
      <c r="K39" s="138" t="e">
        <f t="shared" si="12"/>
        <v>#REF!</v>
      </c>
      <c r="L39" s="138" t="e">
        <f t="shared" si="12"/>
        <v>#REF!</v>
      </c>
      <c r="M39" s="138" t="e">
        <f t="shared" si="12"/>
        <v>#REF!</v>
      </c>
      <c r="P39" s="185" t="s">
        <v>151</v>
      </c>
      <c r="Q39" s="138" t="e">
        <f t="shared" ref="Q39:AB39" si="13">Q9+Q29</f>
        <v>#REF!</v>
      </c>
      <c r="R39" s="138" t="e">
        <f t="shared" si="13"/>
        <v>#REF!</v>
      </c>
      <c r="S39" s="138" t="e">
        <f t="shared" si="13"/>
        <v>#REF!</v>
      </c>
      <c r="T39" s="138" t="e">
        <f t="shared" si="13"/>
        <v>#REF!</v>
      </c>
      <c r="U39" s="138" t="e">
        <f t="shared" si="13"/>
        <v>#REF!</v>
      </c>
      <c r="V39" s="138" t="e">
        <f t="shared" si="13"/>
        <v>#REF!</v>
      </c>
      <c r="W39" s="138" t="e">
        <f t="shared" si="13"/>
        <v>#REF!</v>
      </c>
      <c r="X39" s="138" t="e">
        <f t="shared" si="13"/>
        <v>#REF!</v>
      </c>
      <c r="Y39" s="138" t="e">
        <f t="shared" si="13"/>
        <v>#REF!</v>
      </c>
      <c r="Z39" s="138" t="e">
        <f t="shared" si="13"/>
        <v>#REF!</v>
      </c>
      <c r="AA39" s="138" t="e">
        <f t="shared" si="13"/>
        <v>#REF!</v>
      </c>
      <c r="AB39" s="138" t="e">
        <f t="shared" si="13"/>
        <v>#REF!</v>
      </c>
    </row>
    <row r="40" spans="1:28" ht="12.5" x14ac:dyDescent="0.25">
      <c r="A40" s="1"/>
      <c r="B40" s="1"/>
      <c r="C40" s="1"/>
      <c r="D40" s="1"/>
      <c r="E40" s="1"/>
      <c r="P40" s="1"/>
      <c r="Q40" s="1"/>
      <c r="R40" s="1"/>
      <c r="S40" s="1"/>
      <c r="T40" s="1"/>
    </row>
    <row r="41" spans="1:28" ht="12.5" x14ac:dyDescent="0.25">
      <c r="A41" s="192" t="s">
        <v>223</v>
      </c>
      <c r="B41" s="1">
        <v>728</v>
      </c>
      <c r="C41" s="1">
        <v>688</v>
      </c>
      <c r="E41" s="1">
        <v>723</v>
      </c>
      <c r="P41" s="192" t="s">
        <v>223</v>
      </c>
      <c r="Q41" s="1">
        <v>728</v>
      </c>
      <c r="R41" s="1">
        <v>719</v>
      </c>
      <c r="S41" s="1">
        <v>719</v>
      </c>
      <c r="T41" s="1">
        <v>719</v>
      </c>
    </row>
    <row r="42" spans="1:28" ht="12.5" x14ac:dyDescent="0.25">
      <c r="A42" s="192" t="s">
        <v>224</v>
      </c>
      <c r="B42" s="1">
        <v>477</v>
      </c>
      <c r="C42" s="1">
        <v>471</v>
      </c>
      <c r="D42" s="1">
        <v>464</v>
      </c>
      <c r="E42" s="1">
        <v>504</v>
      </c>
      <c r="P42" s="192" t="s">
        <v>224</v>
      </c>
      <c r="Q42" s="1">
        <v>477</v>
      </c>
      <c r="R42" s="1">
        <v>475</v>
      </c>
      <c r="S42" s="1">
        <v>471</v>
      </c>
      <c r="T42" s="1">
        <v>471</v>
      </c>
    </row>
    <row r="43" spans="1:28" ht="12.5" x14ac:dyDescent="0.25">
      <c r="A43" s="192" t="s">
        <v>225</v>
      </c>
      <c r="B43" s="1">
        <v>489</v>
      </c>
      <c r="C43" s="1">
        <v>465</v>
      </c>
      <c r="D43" s="1">
        <v>464</v>
      </c>
      <c r="E43" s="1">
        <v>475</v>
      </c>
      <c r="P43" s="192" t="s">
        <v>225</v>
      </c>
      <c r="Q43" s="1">
        <v>489</v>
      </c>
      <c r="R43" s="1">
        <v>478</v>
      </c>
      <c r="S43" s="1">
        <v>473</v>
      </c>
      <c r="T43" s="1">
        <v>473</v>
      </c>
    </row>
    <row r="44" spans="1:28" ht="12.5" x14ac:dyDescent="0.25">
      <c r="A44" s="192" t="s">
        <v>226</v>
      </c>
      <c r="B44" s="1">
        <v>740</v>
      </c>
      <c r="C44" s="1">
        <v>757</v>
      </c>
      <c r="D44" s="1">
        <v>754</v>
      </c>
      <c r="E44" s="1">
        <v>740</v>
      </c>
      <c r="P44" s="192" t="s">
        <v>226</v>
      </c>
      <c r="Q44" s="1">
        <v>740</v>
      </c>
      <c r="R44" s="1">
        <v>747</v>
      </c>
      <c r="S44" s="1">
        <v>749</v>
      </c>
      <c r="T44" s="1">
        <v>749</v>
      </c>
    </row>
    <row r="45" spans="1:28" ht="12.5" x14ac:dyDescent="0.25">
      <c r="A45" s="192" t="s">
        <v>227</v>
      </c>
      <c r="B45" s="1">
        <v>512</v>
      </c>
      <c r="C45" s="1">
        <v>508</v>
      </c>
      <c r="D45" s="1">
        <v>545</v>
      </c>
      <c r="E45" s="1">
        <v>520</v>
      </c>
      <c r="P45" s="192" t="s">
        <v>227</v>
      </c>
      <c r="Q45" s="1">
        <v>512</v>
      </c>
      <c r="R45" s="1">
        <v>510</v>
      </c>
      <c r="S45" s="1">
        <v>523</v>
      </c>
      <c r="T45" s="1">
        <v>523</v>
      </c>
    </row>
    <row r="46" spans="1:28" ht="12.5" x14ac:dyDescent="0.25">
      <c r="A46" s="192" t="s">
        <v>228</v>
      </c>
      <c r="B46" s="1">
        <v>562</v>
      </c>
      <c r="C46" s="1">
        <v>554</v>
      </c>
      <c r="D46" s="1">
        <v>530</v>
      </c>
      <c r="E46" s="1">
        <v>548</v>
      </c>
      <c r="P46" s="192" t="s">
        <v>228</v>
      </c>
      <c r="Q46" s="1">
        <v>562</v>
      </c>
      <c r="R46" s="1">
        <v>558</v>
      </c>
      <c r="S46" s="1">
        <v>548</v>
      </c>
      <c r="T46" s="1">
        <v>548</v>
      </c>
    </row>
    <row r="47" spans="1:28" ht="12.5" x14ac:dyDescent="0.25">
      <c r="A47" s="192" t="s">
        <v>229</v>
      </c>
      <c r="B47" s="1">
        <v>578</v>
      </c>
      <c r="C47" s="1">
        <v>578</v>
      </c>
      <c r="D47" s="1">
        <v>575</v>
      </c>
      <c r="E47" s="1">
        <v>573</v>
      </c>
      <c r="P47" s="192" t="s">
        <v>229</v>
      </c>
      <c r="Q47" s="1">
        <v>578</v>
      </c>
      <c r="R47" s="1">
        <v>578</v>
      </c>
      <c r="S47" s="1">
        <v>577</v>
      </c>
      <c r="T47" s="1">
        <v>577</v>
      </c>
    </row>
    <row r="48" spans="1:28" ht="12.5" x14ac:dyDescent="0.25">
      <c r="A48" s="193"/>
      <c r="P48" s="193"/>
    </row>
    <row r="49" spans="1:29" ht="12.5" x14ac:dyDescent="0.25">
      <c r="A49" s="192" t="s">
        <v>230</v>
      </c>
      <c r="B49" s="138" t="e">
        <f t="shared" ref="B49:M49" si="14">IF(B41-B33&lt;0,"",B41-B33)</f>
        <v>#REF!</v>
      </c>
      <c r="C49" s="138" t="e">
        <f t="shared" si="14"/>
        <v>#REF!</v>
      </c>
      <c r="D49" s="41" t="e">
        <f t="shared" si="14"/>
        <v>#REF!</v>
      </c>
      <c r="E49" s="138" t="e">
        <f t="shared" si="14"/>
        <v>#REF!</v>
      </c>
      <c r="F49" s="41" t="e">
        <f t="shared" si="14"/>
        <v>#REF!</v>
      </c>
      <c r="G49" s="41" t="e">
        <f t="shared" si="14"/>
        <v>#REF!</v>
      </c>
      <c r="H49" s="41" t="e">
        <f t="shared" si="14"/>
        <v>#REF!</v>
      </c>
      <c r="I49" s="41" t="e">
        <f t="shared" si="14"/>
        <v>#REF!</v>
      </c>
      <c r="J49" s="41" t="e">
        <f t="shared" si="14"/>
        <v>#REF!</v>
      </c>
      <c r="K49" s="41" t="e">
        <f t="shared" si="14"/>
        <v>#REF!</v>
      </c>
      <c r="L49" s="41" t="e">
        <f t="shared" si="14"/>
        <v>#REF!</v>
      </c>
      <c r="M49" s="41" t="e">
        <f t="shared" si="14"/>
        <v>#REF!</v>
      </c>
      <c r="N49" s="138" t="str">
        <f t="shared" ref="N49:N55" si="15">IFERROR(AVERAGE(B49:M49),"")</f>
        <v/>
      </c>
      <c r="P49" s="192" t="s">
        <v>230</v>
      </c>
      <c r="Q49" s="138" t="e">
        <f t="shared" ref="Q49:AB49" si="16">IF(Q41-Q33&lt;0,"",Q41-Q33)</f>
        <v>#REF!</v>
      </c>
      <c r="R49" s="138" t="e">
        <f t="shared" si="16"/>
        <v>#REF!</v>
      </c>
      <c r="S49" s="138" t="e">
        <f t="shared" si="16"/>
        <v>#REF!</v>
      </c>
      <c r="T49" s="138" t="e">
        <f t="shared" si="16"/>
        <v>#REF!</v>
      </c>
      <c r="U49" s="41" t="e">
        <f t="shared" si="16"/>
        <v>#REF!</v>
      </c>
      <c r="V49" s="41" t="e">
        <f t="shared" si="16"/>
        <v>#REF!</v>
      </c>
      <c r="W49" s="41" t="e">
        <f t="shared" si="16"/>
        <v>#REF!</v>
      </c>
      <c r="X49" s="41" t="e">
        <f t="shared" si="16"/>
        <v>#REF!</v>
      </c>
      <c r="Y49" s="41" t="e">
        <f t="shared" si="16"/>
        <v>#REF!</v>
      </c>
      <c r="Z49" s="41" t="e">
        <f t="shared" si="16"/>
        <v>#REF!</v>
      </c>
      <c r="AA49" s="41" t="e">
        <f t="shared" si="16"/>
        <v>#REF!</v>
      </c>
      <c r="AB49" s="41" t="e">
        <f t="shared" si="16"/>
        <v>#REF!</v>
      </c>
      <c r="AC49" s="138" t="str">
        <f t="shared" ref="AC49:AC55" si="17">IFERROR(AVERAGE(Q49:AB49),"")</f>
        <v/>
      </c>
    </row>
    <row r="50" spans="1:29" ht="12.5" x14ac:dyDescent="0.25">
      <c r="A50" s="192" t="s">
        <v>231</v>
      </c>
      <c r="B50" s="138" t="e">
        <f t="shared" ref="B50:M50" si="18">IF(B42-B34&lt;0,"",B42-B34)</f>
        <v>#REF!</v>
      </c>
      <c r="C50" s="138" t="e">
        <f t="shared" si="18"/>
        <v>#REF!</v>
      </c>
      <c r="D50" s="138" t="e">
        <f t="shared" si="18"/>
        <v>#REF!</v>
      </c>
      <c r="E50" s="138" t="e">
        <f t="shared" si="18"/>
        <v>#REF!</v>
      </c>
      <c r="F50" s="41" t="e">
        <f t="shared" si="18"/>
        <v>#REF!</v>
      </c>
      <c r="G50" s="41" t="e">
        <f t="shared" si="18"/>
        <v>#REF!</v>
      </c>
      <c r="H50" s="41" t="e">
        <f t="shared" si="18"/>
        <v>#REF!</v>
      </c>
      <c r="I50" s="41" t="e">
        <f t="shared" si="18"/>
        <v>#REF!</v>
      </c>
      <c r="J50" s="41" t="e">
        <f t="shared" si="18"/>
        <v>#REF!</v>
      </c>
      <c r="K50" s="41" t="e">
        <f t="shared" si="18"/>
        <v>#REF!</v>
      </c>
      <c r="L50" s="41" t="e">
        <f t="shared" si="18"/>
        <v>#REF!</v>
      </c>
      <c r="M50" s="41" t="e">
        <f t="shared" si="18"/>
        <v>#REF!</v>
      </c>
      <c r="N50" s="138" t="str">
        <f t="shared" si="15"/>
        <v/>
      </c>
      <c r="P50" s="192" t="s">
        <v>231</v>
      </c>
      <c r="Q50" s="138" t="e">
        <f t="shared" ref="Q50:AB50" si="19">IF(Q42-Q34&lt;0,"",Q42-Q34)</f>
        <v>#REF!</v>
      </c>
      <c r="R50" s="138" t="e">
        <f t="shared" si="19"/>
        <v>#REF!</v>
      </c>
      <c r="S50" s="138" t="e">
        <f t="shared" si="19"/>
        <v>#REF!</v>
      </c>
      <c r="T50" s="138" t="e">
        <f t="shared" si="19"/>
        <v>#REF!</v>
      </c>
      <c r="U50" s="41" t="e">
        <f t="shared" si="19"/>
        <v>#REF!</v>
      </c>
      <c r="V50" s="41" t="e">
        <f t="shared" si="19"/>
        <v>#REF!</v>
      </c>
      <c r="W50" s="41" t="e">
        <f t="shared" si="19"/>
        <v>#REF!</v>
      </c>
      <c r="X50" s="41" t="e">
        <f t="shared" si="19"/>
        <v>#REF!</v>
      </c>
      <c r="Y50" s="41" t="e">
        <f t="shared" si="19"/>
        <v>#REF!</v>
      </c>
      <c r="Z50" s="41" t="e">
        <f t="shared" si="19"/>
        <v>#REF!</v>
      </c>
      <c r="AA50" s="41" t="e">
        <f t="shared" si="19"/>
        <v>#REF!</v>
      </c>
      <c r="AB50" s="41" t="e">
        <f t="shared" si="19"/>
        <v>#REF!</v>
      </c>
      <c r="AC50" s="138" t="str">
        <f t="shared" si="17"/>
        <v/>
      </c>
    </row>
    <row r="51" spans="1:29" ht="12.5" x14ac:dyDescent="0.25">
      <c r="A51" s="192" t="s">
        <v>232</v>
      </c>
      <c r="B51" s="41" t="e">
        <f t="shared" ref="B51:M51" si="20">IF(B43-B35&lt;0,"",B43-B35)</f>
        <v>#REF!</v>
      </c>
      <c r="C51" s="41" t="e">
        <f t="shared" si="20"/>
        <v>#REF!</v>
      </c>
      <c r="D51" s="41" t="e">
        <f t="shared" si="20"/>
        <v>#REF!</v>
      </c>
      <c r="E51" s="138" t="e">
        <f t="shared" si="20"/>
        <v>#REF!</v>
      </c>
      <c r="F51" s="41" t="e">
        <f t="shared" si="20"/>
        <v>#REF!</v>
      </c>
      <c r="G51" s="41" t="e">
        <f t="shared" si="20"/>
        <v>#REF!</v>
      </c>
      <c r="H51" s="41" t="e">
        <f t="shared" si="20"/>
        <v>#REF!</v>
      </c>
      <c r="I51" s="41" t="e">
        <f t="shared" si="20"/>
        <v>#REF!</v>
      </c>
      <c r="J51" s="41" t="e">
        <f t="shared" si="20"/>
        <v>#REF!</v>
      </c>
      <c r="K51" s="41" t="e">
        <f t="shared" si="20"/>
        <v>#REF!</v>
      </c>
      <c r="L51" s="41" t="e">
        <f t="shared" si="20"/>
        <v>#REF!</v>
      </c>
      <c r="M51" s="41" t="e">
        <f t="shared" si="20"/>
        <v>#REF!</v>
      </c>
      <c r="N51" s="138" t="str">
        <f t="shared" si="15"/>
        <v/>
      </c>
      <c r="P51" s="192" t="s">
        <v>232</v>
      </c>
      <c r="Q51" s="41" t="e">
        <f t="shared" ref="Q51:AB51" si="21">IF(Q43-Q35&lt;0,"",Q43-Q35)</f>
        <v>#REF!</v>
      </c>
      <c r="R51" s="41" t="e">
        <f t="shared" si="21"/>
        <v>#REF!</v>
      </c>
      <c r="S51" s="41" t="e">
        <f t="shared" si="21"/>
        <v>#REF!</v>
      </c>
      <c r="T51" s="41" t="e">
        <f t="shared" si="21"/>
        <v>#REF!</v>
      </c>
      <c r="U51" s="41" t="e">
        <f t="shared" si="21"/>
        <v>#REF!</v>
      </c>
      <c r="V51" s="41" t="e">
        <f t="shared" si="21"/>
        <v>#REF!</v>
      </c>
      <c r="W51" s="41" t="e">
        <f t="shared" si="21"/>
        <v>#REF!</v>
      </c>
      <c r="X51" s="41" t="e">
        <f t="shared" si="21"/>
        <v>#REF!</v>
      </c>
      <c r="Y51" s="41" t="e">
        <f t="shared" si="21"/>
        <v>#REF!</v>
      </c>
      <c r="Z51" s="41" t="e">
        <f t="shared" si="21"/>
        <v>#REF!</v>
      </c>
      <c r="AA51" s="41" t="e">
        <f t="shared" si="21"/>
        <v>#REF!</v>
      </c>
      <c r="AB51" s="41" t="e">
        <f t="shared" si="21"/>
        <v>#REF!</v>
      </c>
      <c r="AC51" s="138" t="str">
        <f t="shared" si="17"/>
        <v/>
      </c>
    </row>
    <row r="52" spans="1:29" ht="12.5" x14ac:dyDescent="0.25">
      <c r="A52" s="192" t="s">
        <v>233</v>
      </c>
      <c r="B52" s="138" t="e">
        <f t="shared" ref="B52:M52" si="22">IF(B44-B36&lt;0,"",B44-B36)</f>
        <v>#REF!</v>
      </c>
      <c r="C52" s="138" t="e">
        <f t="shared" si="22"/>
        <v>#REF!</v>
      </c>
      <c r="D52" s="138" t="e">
        <f t="shared" si="22"/>
        <v>#REF!</v>
      </c>
      <c r="E52" s="138" t="e">
        <f t="shared" si="22"/>
        <v>#REF!</v>
      </c>
      <c r="F52" s="41" t="e">
        <f t="shared" si="22"/>
        <v>#REF!</v>
      </c>
      <c r="G52" s="41" t="e">
        <f t="shared" si="22"/>
        <v>#REF!</v>
      </c>
      <c r="H52" s="41" t="e">
        <f t="shared" si="22"/>
        <v>#REF!</v>
      </c>
      <c r="I52" s="41" t="e">
        <f t="shared" si="22"/>
        <v>#REF!</v>
      </c>
      <c r="J52" s="41" t="e">
        <f t="shared" si="22"/>
        <v>#REF!</v>
      </c>
      <c r="K52" s="41" t="e">
        <f t="shared" si="22"/>
        <v>#REF!</v>
      </c>
      <c r="L52" s="41" t="e">
        <f t="shared" si="22"/>
        <v>#REF!</v>
      </c>
      <c r="M52" s="41" t="e">
        <f t="shared" si="22"/>
        <v>#REF!</v>
      </c>
      <c r="N52" s="138" t="str">
        <f t="shared" si="15"/>
        <v/>
      </c>
      <c r="P52" s="192" t="s">
        <v>233</v>
      </c>
      <c r="Q52" s="138" t="e">
        <f t="shared" ref="Q52:AB52" si="23">IF(Q44-Q36&lt;0,"",Q44-Q36)</f>
        <v>#REF!</v>
      </c>
      <c r="R52" s="138" t="e">
        <f t="shared" si="23"/>
        <v>#REF!</v>
      </c>
      <c r="S52" s="138" t="e">
        <f t="shared" si="23"/>
        <v>#REF!</v>
      </c>
      <c r="T52" s="138" t="e">
        <f t="shared" si="23"/>
        <v>#REF!</v>
      </c>
      <c r="U52" s="41" t="e">
        <f t="shared" si="23"/>
        <v>#REF!</v>
      </c>
      <c r="V52" s="41" t="e">
        <f t="shared" si="23"/>
        <v>#REF!</v>
      </c>
      <c r="W52" s="41" t="e">
        <f t="shared" si="23"/>
        <v>#REF!</v>
      </c>
      <c r="X52" s="41" t="e">
        <f t="shared" si="23"/>
        <v>#REF!</v>
      </c>
      <c r="Y52" s="41" t="e">
        <f t="shared" si="23"/>
        <v>#REF!</v>
      </c>
      <c r="Z52" s="41" t="e">
        <f t="shared" si="23"/>
        <v>#REF!</v>
      </c>
      <c r="AA52" s="41" t="e">
        <f t="shared" si="23"/>
        <v>#REF!</v>
      </c>
      <c r="AB52" s="41" t="e">
        <f t="shared" si="23"/>
        <v>#REF!</v>
      </c>
      <c r="AC52" s="138" t="str">
        <f t="shared" si="17"/>
        <v/>
      </c>
    </row>
    <row r="53" spans="1:29" ht="12.5" x14ac:dyDescent="0.25">
      <c r="A53" s="192" t="s">
        <v>234</v>
      </c>
      <c r="B53" s="138" t="e">
        <f t="shared" ref="B53:M53" si="24">IF(B45-B37&lt;0,"",B45-B37)</f>
        <v>#REF!</v>
      </c>
      <c r="C53" s="138" t="e">
        <f t="shared" si="24"/>
        <v>#REF!</v>
      </c>
      <c r="D53" s="138" t="e">
        <f t="shared" si="24"/>
        <v>#REF!</v>
      </c>
      <c r="E53" s="138" t="e">
        <f t="shared" si="24"/>
        <v>#REF!</v>
      </c>
      <c r="F53" s="41" t="e">
        <f t="shared" si="24"/>
        <v>#REF!</v>
      </c>
      <c r="G53" s="41" t="e">
        <f t="shared" si="24"/>
        <v>#REF!</v>
      </c>
      <c r="H53" s="41" t="e">
        <f t="shared" si="24"/>
        <v>#REF!</v>
      </c>
      <c r="I53" s="41" t="e">
        <f t="shared" si="24"/>
        <v>#REF!</v>
      </c>
      <c r="J53" s="41" t="e">
        <f t="shared" si="24"/>
        <v>#REF!</v>
      </c>
      <c r="K53" s="41" t="e">
        <f t="shared" si="24"/>
        <v>#REF!</v>
      </c>
      <c r="L53" s="41" t="e">
        <f t="shared" si="24"/>
        <v>#REF!</v>
      </c>
      <c r="M53" s="41" t="e">
        <f t="shared" si="24"/>
        <v>#REF!</v>
      </c>
      <c r="N53" s="138" t="str">
        <f t="shared" si="15"/>
        <v/>
      </c>
      <c r="P53" s="192" t="s">
        <v>234</v>
      </c>
      <c r="Q53" s="138" t="e">
        <f t="shared" ref="Q53:AB53" si="25">IF(Q45-Q37&lt;0,"",Q45-Q37)</f>
        <v>#REF!</v>
      </c>
      <c r="R53" s="138" t="e">
        <f t="shared" si="25"/>
        <v>#REF!</v>
      </c>
      <c r="S53" s="138" t="e">
        <f t="shared" si="25"/>
        <v>#REF!</v>
      </c>
      <c r="T53" s="138" t="e">
        <f t="shared" si="25"/>
        <v>#REF!</v>
      </c>
      <c r="U53" s="41" t="e">
        <f t="shared" si="25"/>
        <v>#REF!</v>
      </c>
      <c r="V53" s="41" t="e">
        <f t="shared" si="25"/>
        <v>#REF!</v>
      </c>
      <c r="W53" s="41" t="e">
        <f t="shared" si="25"/>
        <v>#REF!</v>
      </c>
      <c r="X53" s="41" t="e">
        <f t="shared" si="25"/>
        <v>#REF!</v>
      </c>
      <c r="Y53" s="41" t="e">
        <f t="shared" si="25"/>
        <v>#REF!</v>
      </c>
      <c r="Z53" s="41" t="e">
        <f t="shared" si="25"/>
        <v>#REF!</v>
      </c>
      <c r="AA53" s="41" t="e">
        <f t="shared" si="25"/>
        <v>#REF!</v>
      </c>
      <c r="AB53" s="41" t="e">
        <f t="shared" si="25"/>
        <v>#REF!</v>
      </c>
      <c r="AC53" s="138" t="str">
        <f t="shared" si="17"/>
        <v/>
      </c>
    </row>
    <row r="54" spans="1:29" ht="12.5" x14ac:dyDescent="0.25">
      <c r="A54" s="192" t="s">
        <v>235</v>
      </c>
      <c r="B54" s="138" t="e">
        <f t="shared" ref="B54:M54" si="26">IF(B46-B38&lt;0,"",B46-B38)</f>
        <v>#REF!</v>
      </c>
      <c r="C54" s="138" t="e">
        <f t="shared" si="26"/>
        <v>#REF!</v>
      </c>
      <c r="D54" s="138" t="e">
        <f t="shared" si="26"/>
        <v>#REF!</v>
      </c>
      <c r="E54" s="138" t="e">
        <f t="shared" si="26"/>
        <v>#REF!</v>
      </c>
      <c r="F54" s="41" t="e">
        <f t="shared" si="26"/>
        <v>#REF!</v>
      </c>
      <c r="G54" s="41" t="e">
        <f t="shared" si="26"/>
        <v>#REF!</v>
      </c>
      <c r="H54" s="41" t="e">
        <f t="shared" si="26"/>
        <v>#REF!</v>
      </c>
      <c r="I54" s="41" t="e">
        <f t="shared" si="26"/>
        <v>#REF!</v>
      </c>
      <c r="J54" s="41" t="e">
        <f t="shared" si="26"/>
        <v>#REF!</v>
      </c>
      <c r="K54" s="41" t="e">
        <f t="shared" si="26"/>
        <v>#REF!</v>
      </c>
      <c r="L54" s="41" t="e">
        <f t="shared" si="26"/>
        <v>#REF!</v>
      </c>
      <c r="M54" s="41" t="e">
        <f t="shared" si="26"/>
        <v>#REF!</v>
      </c>
      <c r="N54" s="138" t="str">
        <f t="shared" si="15"/>
        <v/>
      </c>
      <c r="P54" s="192" t="s">
        <v>235</v>
      </c>
      <c r="Q54" s="138" t="e">
        <f t="shared" ref="Q54:AB54" si="27">IF(Q46-Q38&lt;0,"",Q46-Q38)</f>
        <v>#REF!</v>
      </c>
      <c r="R54" s="138" t="e">
        <f t="shared" si="27"/>
        <v>#REF!</v>
      </c>
      <c r="S54" s="138" t="e">
        <f t="shared" si="27"/>
        <v>#REF!</v>
      </c>
      <c r="T54" s="138" t="e">
        <f t="shared" si="27"/>
        <v>#REF!</v>
      </c>
      <c r="U54" s="41" t="e">
        <f t="shared" si="27"/>
        <v>#REF!</v>
      </c>
      <c r="V54" s="41" t="e">
        <f t="shared" si="27"/>
        <v>#REF!</v>
      </c>
      <c r="W54" s="41" t="e">
        <f t="shared" si="27"/>
        <v>#REF!</v>
      </c>
      <c r="X54" s="41" t="e">
        <f t="shared" si="27"/>
        <v>#REF!</v>
      </c>
      <c r="Y54" s="41" t="e">
        <f t="shared" si="27"/>
        <v>#REF!</v>
      </c>
      <c r="Z54" s="41" t="e">
        <f t="shared" si="27"/>
        <v>#REF!</v>
      </c>
      <c r="AA54" s="41" t="e">
        <f t="shared" si="27"/>
        <v>#REF!</v>
      </c>
      <c r="AB54" s="41" t="e">
        <f t="shared" si="27"/>
        <v>#REF!</v>
      </c>
      <c r="AC54" s="138" t="str">
        <f t="shared" si="17"/>
        <v/>
      </c>
    </row>
    <row r="55" spans="1:29" ht="12.5" x14ac:dyDescent="0.25">
      <c r="A55" s="192" t="s">
        <v>236</v>
      </c>
      <c r="B55" s="138" t="e">
        <f t="shared" ref="B55:M55" si="28">IF(B47-B39&lt;0,"",B47-B39)</f>
        <v>#REF!</v>
      </c>
      <c r="C55" s="138" t="e">
        <f t="shared" si="28"/>
        <v>#REF!</v>
      </c>
      <c r="D55" s="138" t="e">
        <f t="shared" si="28"/>
        <v>#REF!</v>
      </c>
      <c r="E55" s="138" t="e">
        <f t="shared" si="28"/>
        <v>#REF!</v>
      </c>
      <c r="F55" s="41" t="e">
        <f t="shared" si="28"/>
        <v>#REF!</v>
      </c>
      <c r="G55" s="41" t="e">
        <f t="shared" si="28"/>
        <v>#REF!</v>
      </c>
      <c r="H55" s="41" t="e">
        <f t="shared" si="28"/>
        <v>#REF!</v>
      </c>
      <c r="I55" s="41" t="e">
        <f t="shared" si="28"/>
        <v>#REF!</v>
      </c>
      <c r="J55" s="41" t="e">
        <f t="shared" si="28"/>
        <v>#REF!</v>
      </c>
      <c r="K55" s="41" t="e">
        <f t="shared" si="28"/>
        <v>#REF!</v>
      </c>
      <c r="L55" s="41" t="e">
        <f t="shared" si="28"/>
        <v>#REF!</v>
      </c>
      <c r="M55" s="41" t="e">
        <f t="shared" si="28"/>
        <v>#REF!</v>
      </c>
      <c r="N55" s="138" t="str">
        <f t="shared" si="15"/>
        <v/>
      </c>
      <c r="P55" s="192" t="s">
        <v>236</v>
      </c>
      <c r="Q55" s="138" t="e">
        <f t="shared" ref="Q55:AB55" si="29">IF(Q47-Q39&lt;0,"",Q47-Q39)</f>
        <v>#REF!</v>
      </c>
      <c r="R55" s="138" t="e">
        <f t="shared" si="29"/>
        <v>#REF!</v>
      </c>
      <c r="S55" s="138" t="e">
        <f t="shared" si="29"/>
        <v>#REF!</v>
      </c>
      <c r="T55" s="138" t="e">
        <f t="shared" si="29"/>
        <v>#REF!</v>
      </c>
      <c r="U55" s="41" t="e">
        <f t="shared" si="29"/>
        <v>#REF!</v>
      </c>
      <c r="V55" s="41" t="e">
        <f t="shared" si="29"/>
        <v>#REF!</v>
      </c>
      <c r="W55" s="41" t="e">
        <f t="shared" si="29"/>
        <v>#REF!</v>
      </c>
      <c r="X55" s="41" t="e">
        <f t="shared" si="29"/>
        <v>#REF!</v>
      </c>
      <c r="Y55" s="41" t="e">
        <f t="shared" si="29"/>
        <v>#REF!</v>
      </c>
      <c r="Z55" s="41" t="e">
        <f t="shared" si="29"/>
        <v>#REF!</v>
      </c>
      <c r="AA55" s="41" t="e">
        <f t="shared" si="29"/>
        <v>#REF!</v>
      </c>
      <c r="AB55" s="41" t="e">
        <f t="shared" si="29"/>
        <v>#REF!</v>
      </c>
      <c r="AC55" s="138" t="str">
        <f t="shared" si="17"/>
        <v/>
      </c>
    </row>
    <row r="56" spans="1:29" ht="12.5" x14ac:dyDescent="0.25">
      <c r="A56" s="193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P56" s="193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</row>
    <row r="57" spans="1:29" ht="12.5" x14ac:dyDescent="0.25">
      <c r="A57" s="192" t="s">
        <v>237</v>
      </c>
      <c r="B57" s="194" t="e">
        <f t="shared" ref="B57:M57" si="30">IF(B41/B33=0,"",B41/B33)</f>
        <v>#REF!</v>
      </c>
      <c r="C57" s="194" t="e">
        <f t="shared" si="30"/>
        <v>#REF!</v>
      </c>
      <c r="D57" s="194" t="e">
        <f t="shared" si="30"/>
        <v>#REF!</v>
      </c>
      <c r="E57" s="194" t="e">
        <f t="shared" si="30"/>
        <v>#REF!</v>
      </c>
      <c r="F57" s="194" t="e">
        <f t="shared" si="30"/>
        <v>#REF!</v>
      </c>
      <c r="G57" s="194" t="e">
        <f t="shared" si="30"/>
        <v>#REF!</v>
      </c>
      <c r="H57" s="194" t="e">
        <f t="shared" si="30"/>
        <v>#REF!</v>
      </c>
      <c r="I57" s="194" t="e">
        <f t="shared" si="30"/>
        <v>#REF!</v>
      </c>
      <c r="J57" s="194" t="e">
        <f t="shared" si="30"/>
        <v>#REF!</v>
      </c>
      <c r="K57" s="194" t="e">
        <f t="shared" si="30"/>
        <v>#REF!</v>
      </c>
      <c r="L57" s="194" t="e">
        <f t="shared" si="30"/>
        <v>#REF!</v>
      </c>
      <c r="M57" s="194" t="e">
        <f t="shared" si="30"/>
        <v>#REF!</v>
      </c>
      <c r="N57" s="194" t="str">
        <f t="shared" ref="N57:N63" si="31">IFERROR(AVERAGE(B57:M57),"")</f>
        <v/>
      </c>
      <c r="P57" s="192" t="s">
        <v>237</v>
      </c>
      <c r="Q57" s="194" t="e">
        <f t="shared" ref="Q57:AB57" si="32">IF(Q41/Q33=0,"",Q41/Q33)</f>
        <v>#REF!</v>
      </c>
      <c r="R57" s="194" t="e">
        <f t="shared" si="32"/>
        <v>#REF!</v>
      </c>
      <c r="S57" s="194" t="e">
        <f t="shared" si="32"/>
        <v>#REF!</v>
      </c>
      <c r="T57" s="194" t="e">
        <f t="shared" si="32"/>
        <v>#REF!</v>
      </c>
      <c r="U57" s="194" t="e">
        <f t="shared" si="32"/>
        <v>#REF!</v>
      </c>
      <c r="V57" s="194" t="e">
        <f t="shared" si="32"/>
        <v>#REF!</v>
      </c>
      <c r="W57" s="194" t="e">
        <f t="shared" si="32"/>
        <v>#REF!</v>
      </c>
      <c r="X57" s="194" t="e">
        <f t="shared" si="32"/>
        <v>#REF!</v>
      </c>
      <c r="Y57" s="194" t="e">
        <f t="shared" si="32"/>
        <v>#REF!</v>
      </c>
      <c r="Z57" s="194" t="e">
        <f t="shared" si="32"/>
        <v>#REF!</v>
      </c>
      <c r="AA57" s="194" t="e">
        <f t="shared" si="32"/>
        <v>#REF!</v>
      </c>
      <c r="AB57" s="194" t="e">
        <f t="shared" si="32"/>
        <v>#REF!</v>
      </c>
      <c r="AC57" s="194" t="str">
        <f t="shared" ref="AC57:AC63" si="33">IFERROR(AVERAGE(Q57:AB57),"")</f>
        <v/>
      </c>
    </row>
    <row r="58" spans="1:29" ht="12.5" x14ac:dyDescent="0.25">
      <c r="A58" s="192" t="s">
        <v>238</v>
      </c>
      <c r="B58" s="194" t="e">
        <f t="shared" ref="B58:M58" si="34">IF(B42/B34=0,"",B42/B34)</f>
        <v>#REF!</v>
      </c>
      <c r="C58" s="194" t="e">
        <f t="shared" si="34"/>
        <v>#REF!</v>
      </c>
      <c r="D58" s="194" t="e">
        <f t="shared" si="34"/>
        <v>#REF!</v>
      </c>
      <c r="E58" s="194" t="e">
        <f t="shared" si="34"/>
        <v>#REF!</v>
      </c>
      <c r="F58" s="194" t="e">
        <f t="shared" si="34"/>
        <v>#REF!</v>
      </c>
      <c r="G58" s="194" t="e">
        <f t="shared" si="34"/>
        <v>#REF!</v>
      </c>
      <c r="H58" s="194" t="e">
        <f t="shared" si="34"/>
        <v>#REF!</v>
      </c>
      <c r="I58" s="194" t="e">
        <f t="shared" si="34"/>
        <v>#REF!</v>
      </c>
      <c r="J58" s="194" t="e">
        <f t="shared" si="34"/>
        <v>#REF!</v>
      </c>
      <c r="K58" s="194" t="e">
        <f t="shared" si="34"/>
        <v>#REF!</v>
      </c>
      <c r="L58" s="194" t="e">
        <f t="shared" si="34"/>
        <v>#REF!</v>
      </c>
      <c r="M58" s="194" t="e">
        <f t="shared" si="34"/>
        <v>#REF!</v>
      </c>
      <c r="N58" s="194" t="str">
        <f t="shared" si="31"/>
        <v/>
      </c>
      <c r="P58" s="192" t="s">
        <v>238</v>
      </c>
      <c r="Q58" s="194" t="e">
        <f t="shared" ref="Q58:AB58" si="35">IF(Q42/Q34=0,"",Q42/Q34)</f>
        <v>#REF!</v>
      </c>
      <c r="R58" s="194" t="e">
        <f t="shared" si="35"/>
        <v>#REF!</v>
      </c>
      <c r="S58" s="194" t="e">
        <f t="shared" si="35"/>
        <v>#REF!</v>
      </c>
      <c r="T58" s="194" t="e">
        <f t="shared" si="35"/>
        <v>#REF!</v>
      </c>
      <c r="U58" s="194" t="e">
        <f t="shared" si="35"/>
        <v>#REF!</v>
      </c>
      <c r="V58" s="194" t="e">
        <f t="shared" si="35"/>
        <v>#REF!</v>
      </c>
      <c r="W58" s="194" t="e">
        <f t="shared" si="35"/>
        <v>#REF!</v>
      </c>
      <c r="X58" s="194" t="e">
        <f t="shared" si="35"/>
        <v>#REF!</v>
      </c>
      <c r="Y58" s="194" t="e">
        <f t="shared" si="35"/>
        <v>#REF!</v>
      </c>
      <c r="Z58" s="194" t="e">
        <f t="shared" si="35"/>
        <v>#REF!</v>
      </c>
      <c r="AA58" s="194" t="e">
        <f t="shared" si="35"/>
        <v>#REF!</v>
      </c>
      <c r="AB58" s="194" t="e">
        <f t="shared" si="35"/>
        <v>#REF!</v>
      </c>
      <c r="AC58" s="194" t="str">
        <f t="shared" si="33"/>
        <v/>
      </c>
    </row>
    <row r="59" spans="1:29" ht="12.5" x14ac:dyDescent="0.25">
      <c r="A59" s="192" t="s">
        <v>239</v>
      </c>
      <c r="B59" s="194" t="e">
        <f t="shared" ref="B59:M59" si="36">IF(B43/B35=0,"",B43/B35)</f>
        <v>#REF!</v>
      </c>
      <c r="C59" s="194" t="e">
        <f t="shared" si="36"/>
        <v>#REF!</v>
      </c>
      <c r="D59" s="194" t="e">
        <f t="shared" si="36"/>
        <v>#REF!</v>
      </c>
      <c r="E59" s="194" t="e">
        <f t="shared" si="36"/>
        <v>#REF!</v>
      </c>
      <c r="F59" s="194" t="e">
        <f t="shared" si="36"/>
        <v>#REF!</v>
      </c>
      <c r="G59" s="194" t="e">
        <f t="shared" si="36"/>
        <v>#REF!</v>
      </c>
      <c r="H59" s="194" t="e">
        <f t="shared" si="36"/>
        <v>#REF!</v>
      </c>
      <c r="I59" s="194" t="e">
        <f t="shared" si="36"/>
        <v>#REF!</v>
      </c>
      <c r="J59" s="194" t="e">
        <f t="shared" si="36"/>
        <v>#REF!</v>
      </c>
      <c r="K59" s="194" t="e">
        <f t="shared" si="36"/>
        <v>#REF!</v>
      </c>
      <c r="L59" s="194" t="e">
        <f t="shared" si="36"/>
        <v>#REF!</v>
      </c>
      <c r="M59" s="194" t="e">
        <f t="shared" si="36"/>
        <v>#REF!</v>
      </c>
      <c r="N59" s="194" t="str">
        <f t="shared" si="31"/>
        <v/>
      </c>
      <c r="P59" s="192" t="s">
        <v>239</v>
      </c>
      <c r="Q59" s="194" t="e">
        <f t="shared" ref="Q59:AB59" si="37">IF(Q43/Q35=0,"",Q43/Q35)</f>
        <v>#REF!</v>
      </c>
      <c r="R59" s="194" t="e">
        <f t="shared" si="37"/>
        <v>#REF!</v>
      </c>
      <c r="S59" s="194" t="e">
        <f t="shared" si="37"/>
        <v>#REF!</v>
      </c>
      <c r="T59" s="194" t="e">
        <f t="shared" si="37"/>
        <v>#REF!</v>
      </c>
      <c r="U59" s="194" t="e">
        <f t="shared" si="37"/>
        <v>#REF!</v>
      </c>
      <c r="V59" s="194" t="e">
        <f t="shared" si="37"/>
        <v>#REF!</v>
      </c>
      <c r="W59" s="194" t="e">
        <f t="shared" si="37"/>
        <v>#REF!</v>
      </c>
      <c r="X59" s="194" t="e">
        <f t="shared" si="37"/>
        <v>#REF!</v>
      </c>
      <c r="Y59" s="194" t="e">
        <f t="shared" si="37"/>
        <v>#REF!</v>
      </c>
      <c r="Z59" s="194" t="e">
        <f t="shared" si="37"/>
        <v>#REF!</v>
      </c>
      <c r="AA59" s="194" t="e">
        <f t="shared" si="37"/>
        <v>#REF!</v>
      </c>
      <c r="AB59" s="194" t="e">
        <f t="shared" si="37"/>
        <v>#REF!</v>
      </c>
      <c r="AC59" s="194" t="str">
        <f t="shared" si="33"/>
        <v/>
      </c>
    </row>
    <row r="60" spans="1:29" ht="12.5" x14ac:dyDescent="0.25">
      <c r="A60" s="192" t="s">
        <v>240</v>
      </c>
      <c r="B60" s="194" t="e">
        <f t="shared" ref="B60:M60" si="38">IF(B44/B36=0,"",B44/B36)</f>
        <v>#REF!</v>
      </c>
      <c r="C60" s="194" t="e">
        <f t="shared" si="38"/>
        <v>#REF!</v>
      </c>
      <c r="D60" s="194" t="e">
        <f t="shared" si="38"/>
        <v>#REF!</v>
      </c>
      <c r="E60" s="194" t="e">
        <f t="shared" si="38"/>
        <v>#REF!</v>
      </c>
      <c r="F60" s="194" t="e">
        <f t="shared" si="38"/>
        <v>#REF!</v>
      </c>
      <c r="G60" s="194" t="e">
        <f t="shared" si="38"/>
        <v>#REF!</v>
      </c>
      <c r="H60" s="194" t="e">
        <f t="shared" si="38"/>
        <v>#REF!</v>
      </c>
      <c r="I60" s="194" t="e">
        <f t="shared" si="38"/>
        <v>#REF!</v>
      </c>
      <c r="J60" s="194" t="e">
        <f t="shared" si="38"/>
        <v>#REF!</v>
      </c>
      <c r="K60" s="194" t="e">
        <f t="shared" si="38"/>
        <v>#REF!</v>
      </c>
      <c r="L60" s="194" t="e">
        <f t="shared" si="38"/>
        <v>#REF!</v>
      </c>
      <c r="M60" s="194" t="e">
        <f t="shared" si="38"/>
        <v>#REF!</v>
      </c>
      <c r="N60" s="194" t="str">
        <f t="shared" si="31"/>
        <v/>
      </c>
      <c r="P60" s="192" t="s">
        <v>240</v>
      </c>
      <c r="Q60" s="194" t="e">
        <f t="shared" ref="Q60:AB60" si="39">IF(Q44/Q36=0,"",Q44/Q36)</f>
        <v>#REF!</v>
      </c>
      <c r="R60" s="194" t="e">
        <f t="shared" si="39"/>
        <v>#REF!</v>
      </c>
      <c r="S60" s="194" t="e">
        <f t="shared" si="39"/>
        <v>#REF!</v>
      </c>
      <c r="T60" s="194" t="e">
        <f t="shared" si="39"/>
        <v>#REF!</v>
      </c>
      <c r="U60" s="194" t="e">
        <f t="shared" si="39"/>
        <v>#REF!</v>
      </c>
      <c r="V60" s="194" t="e">
        <f t="shared" si="39"/>
        <v>#REF!</v>
      </c>
      <c r="W60" s="194" t="e">
        <f t="shared" si="39"/>
        <v>#REF!</v>
      </c>
      <c r="X60" s="194" t="e">
        <f t="shared" si="39"/>
        <v>#REF!</v>
      </c>
      <c r="Y60" s="194" t="e">
        <f t="shared" si="39"/>
        <v>#REF!</v>
      </c>
      <c r="Z60" s="194" t="e">
        <f t="shared" si="39"/>
        <v>#REF!</v>
      </c>
      <c r="AA60" s="194" t="e">
        <f t="shared" si="39"/>
        <v>#REF!</v>
      </c>
      <c r="AB60" s="194" t="e">
        <f t="shared" si="39"/>
        <v>#REF!</v>
      </c>
      <c r="AC60" s="194" t="str">
        <f t="shared" si="33"/>
        <v/>
      </c>
    </row>
    <row r="61" spans="1:29" ht="12.5" x14ac:dyDescent="0.25">
      <c r="A61" s="192" t="s">
        <v>241</v>
      </c>
      <c r="B61" s="194" t="e">
        <f t="shared" ref="B61:M61" si="40">IF(B45/B37=0,"",B45/B37)</f>
        <v>#REF!</v>
      </c>
      <c r="C61" s="194" t="e">
        <f t="shared" si="40"/>
        <v>#REF!</v>
      </c>
      <c r="D61" s="194" t="e">
        <f t="shared" si="40"/>
        <v>#REF!</v>
      </c>
      <c r="E61" s="194" t="e">
        <f t="shared" si="40"/>
        <v>#REF!</v>
      </c>
      <c r="F61" s="194" t="e">
        <f t="shared" si="40"/>
        <v>#REF!</v>
      </c>
      <c r="G61" s="194" t="e">
        <f t="shared" si="40"/>
        <v>#REF!</v>
      </c>
      <c r="H61" s="194" t="e">
        <f t="shared" si="40"/>
        <v>#REF!</v>
      </c>
      <c r="I61" s="194" t="e">
        <f t="shared" si="40"/>
        <v>#REF!</v>
      </c>
      <c r="J61" s="194" t="e">
        <f t="shared" si="40"/>
        <v>#REF!</v>
      </c>
      <c r="K61" s="194" t="e">
        <f t="shared" si="40"/>
        <v>#REF!</v>
      </c>
      <c r="L61" s="194" t="e">
        <f t="shared" si="40"/>
        <v>#REF!</v>
      </c>
      <c r="M61" s="194" t="e">
        <f t="shared" si="40"/>
        <v>#REF!</v>
      </c>
      <c r="N61" s="194" t="str">
        <f t="shared" si="31"/>
        <v/>
      </c>
      <c r="P61" s="192" t="s">
        <v>241</v>
      </c>
      <c r="Q61" s="194" t="e">
        <f t="shared" ref="Q61:AB61" si="41">IF(Q45/Q37=0,"",Q45/Q37)</f>
        <v>#REF!</v>
      </c>
      <c r="R61" s="194" t="e">
        <f t="shared" si="41"/>
        <v>#REF!</v>
      </c>
      <c r="S61" s="194" t="e">
        <f t="shared" si="41"/>
        <v>#REF!</v>
      </c>
      <c r="T61" s="194" t="e">
        <f t="shared" si="41"/>
        <v>#REF!</v>
      </c>
      <c r="U61" s="194" t="e">
        <f t="shared" si="41"/>
        <v>#REF!</v>
      </c>
      <c r="V61" s="194" t="e">
        <f t="shared" si="41"/>
        <v>#REF!</v>
      </c>
      <c r="W61" s="194" t="e">
        <f t="shared" si="41"/>
        <v>#REF!</v>
      </c>
      <c r="X61" s="194" t="e">
        <f t="shared" si="41"/>
        <v>#REF!</v>
      </c>
      <c r="Y61" s="194" t="e">
        <f t="shared" si="41"/>
        <v>#REF!</v>
      </c>
      <c r="Z61" s="194" t="e">
        <f t="shared" si="41"/>
        <v>#REF!</v>
      </c>
      <c r="AA61" s="194" t="e">
        <f t="shared" si="41"/>
        <v>#REF!</v>
      </c>
      <c r="AB61" s="194" t="e">
        <f t="shared" si="41"/>
        <v>#REF!</v>
      </c>
      <c r="AC61" s="194" t="str">
        <f t="shared" si="33"/>
        <v/>
      </c>
    </row>
    <row r="62" spans="1:29" ht="12.5" x14ac:dyDescent="0.25">
      <c r="A62" s="192" t="s">
        <v>242</v>
      </c>
      <c r="B62" s="194" t="e">
        <f t="shared" ref="B62:M62" si="42">IF(B46/B38=0,"",B46/B38)</f>
        <v>#REF!</v>
      </c>
      <c r="C62" s="194" t="e">
        <f t="shared" si="42"/>
        <v>#REF!</v>
      </c>
      <c r="D62" s="194" t="e">
        <f t="shared" si="42"/>
        <v>#REF!</v>
      </c>
      <c r="E62" s="194" t="e">
        <f t="shared" si="42"/>
        <v>#REF!</v>
      </c>
      <c r="F62" s="194" t="e">
        <f t="shared" si="42"/>
        <v>#REF!</v>
      </c>
      <c r="G62" s="194" t="e">
        <f t="shared" si="42"/>
        <v>#REF!</v>
      </c>
      <c r="H62" s="194" t="e">
        <f t="shared" si="42"/>
        <v>#REF!</v>
      </c>
      <c r="I62" s="194" t="e">
        <f t="shared" si="42"/>
        <v>#REF!</v>
      </c>
      <c r="J62" s="194" t="e">
        <f t="shared" si="42"/>
        <v>#REF!</v>
      </c>
      <c r="K62" s="194" t="e">
        <f t="shared" si="42"/>
        <v>#REF!</v>
      </c>
      <c r="L62" s="194" t="e">
        <f t="shared" si="42"/>
        <v>#REF!</v>
      </c>
      <c r="M62" s="194" t="e">
        <f t="shared" si="42"/>
        <v>#REF!</v>
      </c>
      <c r="N62" s="194" t="str">
        <f t="shared" si="31"/>
        <v/>
      </c>
      <c r="P62" s="192" t="s">
        <v>242</v>
      </c>
      <c r="Q62" s="194" t="e">
        <f t="shared" ref="Q62:AB62" si="43">IF(Q46/Q38=0,"",Q46/Q38)</f>
        <v>#REF!</v>
      </c>
      <c r="R62" s="194" t="e">
        <f t="shared" si="43"/>
        <v>#REF!</v>
      </c>
      <c r="S62" s="194" t="e">
        <f t="shared" si="43"/>
        <v>#REF!</v>
      </c>
      <c r="T62" s="194" t="e">
        <f t="shared" si="43"/>
        <v>#REF!</v>
      </c>
      <c r="U62" s="194" t="e">
        <f t="shared" si="43"/>
        <v>#REF!</v>
      </c>
      <c r="V62" s="194" t="e">
        <f t="shared" si="43"/>
        <v>#REF!</v>
      </c>
      <c r="W62" s="194" t="e">
        <f t="shared" si="43"/>
        <v>#REF!</v>
      </c>
      <c r="X62" s="194" t="e">
        <f t="shared" si="43"/>
        <v>#REF!</v>
      </c>
      <c r="Y62" s="194" t="e">
        <f t="shared" si="43"/>
        <v>#REF!</v>
      </c>
      <c r="Z62" s="194" t="e">
        <f t="shared" si="43"/>
        <v>#REF!</v>
      </c>
      <c r="AA62" s="194" t="e">
        <f t="shared" si="43"/>
        <v>#REF!</v>
      </c>
      <c r="AB62" s="194" t="e">
        <f t="shared" si="43"/>
        <v>#REF!</v>
      </c>
      <c r="AC62" s="194" t="str">
        <f t="shared" si="33"/>
        <v/>
      </c>
    </row>
    <row r="63" spans="1:29" ht="12.5" x14ac:dyDescent="0.25">
      <c r="A63" s="192" t="s">
        <v>243</v>
      </c>
      <c r="B63" s="194" t="e">
        <f t="shared" ref="B63:M63" si="44">IF(B47/B39=0,"",B47/B39)</f>
        <v>#REF!</v>
      </c>
      <c r="C63" s="194" t="e">
        <f t="shared" si="44"/>
        <v>#REF!</v>
      </c>
      <c r="D63" s="194" t="e">
        <f t="shared" si="44"/>
        <v>#REF!</v>
      </c>
      <c r="E63" s="194" t="e">
        <f t="shared" si="44"/>
        <v>#REF!</v>
      </c>
      <c r="F63" s="194" t="e">
        <f t="shared" si="44"/>
        <v>#REF!</v>
      </c>
      <c r="G63" s="194" t="e">
        <f t="shared" si="44"/>
        <v>#REF!</v>
      </c>
      <c r="H63" s="194" t="e">
        <f t="shared" si="44"/>
        <v>#REF!</v>
      </c>
      <c r="I63" s="194" t="e">
        <f t="shared" si="44"/>
        <v>#REF!</v>
      </c>
      <c r="J63" s="194" t="e">
        <f t="shared" si="44"/>
        <v>#REF!</v>
      </c>
      <c r="K63" s="194" t="e">
        <f t="shared" si="44"/>
        <v>#REF!</v>
      </c>
      <c r="L63" s="194" t="e">
        <f t="shared" si="44"/>
        <v>#REF!</v>
      </c>
      <c r="M63" s="194" t="e">
        <f t="shared" si="44"/>
        <v>#REF!</v>
      </c>
      <c r="N63" s="194" t="str">
        <f t="shared" si="31"/>
        <v/>
      </c>
      <c r="P63" s="192" t="s">
        <v>243</v>
      </c>
      <c r="Q63" s="194" t="e">
        <f t="shared" ref="Q63:AB63" si="45">IF(Q47/Q39=0,"",Q47/Q39)</f>
        <v>#REF!</v>
      </c>
      <c r="R63" s="194" t="e">
        <f t="shared" si="45"/>
        <v>#REF!</v>
      </c>
      <c r="S63" s="194" t="e">
        <f t="shared" si="45"/>
        <v>#REF!</v>
      </c>
      <c r="T63" s="194" t="e">
        <f t="shared" si="45"/>
        <v>#REF!</v>
      </c>
      <c r="U63" s="194" t="e">
        <f t="shared" si="45"/>
        <v>#REF!</v>
      </c>
      <c r="V63" s="194" t="e">
        <f t="shared" si="45"/>
        <v>#REF!</v>
      </c>
      <c r="W63" s="194" t="e">
        <f t="shared" si="45"/>
        <v>#REF!</v>
      </c>
      <c r="X63" s="194" t="e">
        <f t="shared" si="45"/>
        <v>#REF!</v>
      </c>
      <c r="Y63" s="194" t="e">
        <f t="shared" si="45"/>
        <v>#REF!</v>
      </c>
      <c r="Z63" s="194" t="e">
        <f t="shared" si="45"/>
        <v>#REF!</v>
      </c>
      <c r="AA63" s="194" t="e">
        <f t="shared" si="45"/>
        <v>#REF!</v>
      </c>
      <c r="AB63" s="194" t="e">
        <f t="shared" si="45"/>
        <v>#REF!</v>
      </c>
      <c r="AC63" s="194" t="str">
        <f t="shared" si="33"/>
        <v/>
      </c>
    </row>
    <row r="64" spans="1:29" ht="12.5" x14ac:dyDescent="0.25"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P64" s="187"/>
    </row>
    <row r="65" spans="16:16" ht="12.5" x14ac:dyDescent="0.25">
      <c r="P65" s="187"/>
    </row>
    <row r="66" spans="16:16" ht="12.5" x14ac:dyDescent="0.25">
      <c r="P66" s="187"/>
    </row>
    <row r="67" spans="16:16" ht="12.5" x14ac:dyDescent="0.25">
      <c r="P67" s="187"/>
    </row>
    <row r="68" spans="16:16" ht="12.5" x14ac:dyDescent="0.25">
      <c r="P68" s="187"/>
    </row>
    <row r="69" spans="16:16" ht="12.5" x14ac:dyDescent="0.25">
      <c r="P69" s="187"/>
    </row>
    <row r="70" spans="16:16" ht="12.5" x14ac:dyDescent="0.25">
      <c r="P70" s="187"/>
    </row>
    <row r="71" spans="16:16" ht="12.5" x14ac:dyDescent="0.25">
      <c r="P71" s="187"/>
    </row>
    <row r="72" spans="16:16" ht="12.5" x14ac:dyDescent="0.25">
      <c r="P72" s="187"/>
    </row>
    <row r="73" spans="16:16" ht="12.5" x14ac:dyDescent="0.25">
      <c r="P73" s="187"/>
    </row>
    <row r="74" spans="16:16" ht="12.5" x14ac:dyDescent="0.25">
      <c r="P74" s="187"/>
    </row>
    <row r="75" spans="16:16" ht="12.5" x14ac:dyDescent="0.25">
      <c r="P75" s="187"/>
    </row>
    <row r="76" spans="16:16" ht="12.5" x14ac:dyDescent="0.25">
      <c r="P76" s="187"/>
    </row>
    <row r="77" spans="16:16" ht="12.5" x14ac:dyDescent="0.25">
      <c r="P77" s="187"/>
    </row>
    <row r="78" spans="16:16" ht="12.5" x14ac:dyDescent="0.25">
      <c r="P78" s="187"/>
    </row>
    <row r="79" spans="16:16" ht="12.5" x14ac:dyDescent="0.25">
      <c r="P79" s="187"/>
    </row>
    <row r="80" spans="16:16" ht="12.5" x14ac:dyDescent="0.25">
      <c r="P80" s="187"/>
    </row>
    <row r="81" spans="16:16" ht="12.5" x14ac:dyDescent="0.25">
      <c r="P81" s="187"/>
    </row>
    <row r="82" spans="16:16" ht="12.5" x14ac:dyDescent="0.25">
      <c r="P82" s="187"/>
    </row>
    <row r="83" spans="16:16" ht="12.5" x14ac:dyDescent="0.25">
      <c r="P83" s="187"/>
    </row>
    <row r="84" spans="16:16" ht="12.5" x14ac:dyDescent="0.25">
      <c r="P84" s="187"/>
    </row>
    <row r="85" spans="16:16" ht="12.5" x14ac:dyDescent="0.25">
      <c r="P85" s="187"/>
    </row>
    <row r="86" spans="16:16" ht="12.5" x14ac:dyDescent="0.25">
      <c r="P86" s="187"/>
    </row>
    <row r="87" spans="16:16" ht="12.5" x14ac:dyDescent="0.25">
      <c r="P87" s="187"/>
    </row>
    <row r="88" spans="16:16" ht="12.5" x14ac:dyDescent="0.25">
      <c r="P88" s="187"/>
    </row>
    <row r="89" spans="16:16" ht="12.5" x14ac:dyDescent="0.25">
      <c r="P89" s="187"/>
    </row>
    <row r="90" spans="16:16" ht="12.5" x14ac:dyDescent="0.25">
      <c r="P90" s="187"/>
    </row>
    <row r="91" spans="16:16" ht="12.5" x14ac:dyDescent="0.25">
      <c r="P91" s="187"/>
    </row>
    <row r="92" spans="16:16" ht="12.5" x14ac:dyDescent="0.25">
      <c r="P92" s="187"/>
    </row>
    <row r="93" spans="16:16" ht="12.5" x14ac:dyDescent="0.25">
      <c r="P93" s="187"/>
    </row>
    <row r="94" spans="16:16" ht="12.5" x14ac:dyDescent="0.25">
      <c r="P94" s="187"/>
    </row>
    <row r="95" spans="16:16" ht="12.5" x14ac:dyDescent="0.25">
      <c r="P95" s="187"/>
    </row>
    <row r="96" spans="16:16" ht="12.5" x14ac:dyDescent="0.25">
      <c r="P96" s="187"/>
    </row>
    <row r="97" spans="16:16" ht="12.5" x14ac:dyDescent="0.25">
      <c r="P97" s="187"/>
    </row>
    <row r="98" spans="16:16" ht="12.5" x14ac:dyDescent="0.25">
      <c r="P98" s="187"/>
    </row>
    <row r="99" spans="16:16" ht="12.5" x14ac:dyDescent="0.25">
      <c r="P99" s="187"/>
    </row>
    <row r="100" spans="16:16" ht="12.5" x14ac:dyDescent="0.25">
      <c r="P100" s="187"/>
    </row>
    <row r="101" spans="16:16" ht="12.5" x14ac:dyDescent="0.25">
      <c r="P101" s="187"/>
    </row>
    <row r="102" spans="16:16" ht="12.5" x14ac:dyDescent="0.25">
      <c r="P102" s="187"/>
    </row>
    <row r="103" spans="16:16" ht="12.5" x14ac:dyDescent="0.25">
      <c r="P103" s="187"/>
    </row>
    <row r="104" spans="16:16" ht="12.5" x14ac:dyDescent="0.25">
      <c r="P104" s="187"/>
    </row>
    <row r="105" spans="16:16" ht="12.5" x14ac:dyDescent="0.25">
      <c r="P105" s="187"/>
    </row>
    <row r="106" spans="16:16" ht="12.5" x14ac:dyDescent="0.25">
      <c r="P106" s="187"/>
    </row>
    <row r="107" spans="16:16" ht="12.5" x14ac:dyDescent="0.25">
      <c r="P107" s="187"/>
    </row>
    <row r="108" spans="16:16" ht="12.5" x14ac:dyDescent="0.25">
      <c r="P108" s="187"/>
    </row>
    <row r="109" spans="16:16" ht="12.5" x14ac:dyDescent="0.25">
      <c r="P109" s="187"/>
    </row>
    <row r="110" spans="16:16" ht="12.5" x14ac:dyDescent="0.25">
      <c r="P110" s="187"/>
    </row>
    <row r="111" spans="16:16" ht="12.5" x14ac:dyDescent="0.25">
      <c r="P111" s="187"/>
    </row>
    <row r="112" spans="16:16" ht="12.5" x14ac:dyDescent="0.25">
      <c r="P112" s="187"/>
    </row>
    <row r="113" spans="16:16" ht="12.5" x14ac:dyDescent="0.25">
      <c r="P113" s="187"/>
    </row>
    <row r="114" spans="16:16" ht="12.5" x14ac:dyDescent="0.25">
      <c r="P114" s="187"/>
    </row>
    <row r="115" spans="16:16" ht="12.5" x14ac:dyDescent="0.25">
      <c r="P115" s="187"/>
    </row>
    <row r="116" spans="16:16" ht="12.5" x14ac:dyDescent="0.25">
      <c r="P116" s="187"/>
    </row>
    <row r="117" spans="16:16" ht="12.5" x14ac:dyDescent="0.25">
      <c r="P117" s="187"/>
    </row>
    <row r="118" spans="16:16" ht="12.5" x14ac:dyDescent="0.25">
      <c r="P118" s="187"/>
    </row>
    <row r="119" spans="16:16" ht="12.5" x14ac:dyDescent="0.25">
      <c r="P119" s="187"/>
    </row>
    <row r="120" spans="16:16" ht="12.5" x14ac:dyDescent="0.25">
      <c r="P120" s="187"/>
    </row>
    <row r="121" spans="16:16" ht="12.5" x14ac:dyDescent="0.25">
      <c r="P121" s="187"/>
    </row>
    <row r="122" spans="16:16" ht="12.5" x14ac:dyDescent="0.25">
      <c r="P122" s="187"/>
    </row>
    <row r="123" spans="16:16" ht="12.5" x14ac:dyDescent="0.25">
      <c r="P123" s="187"/>
    </row>
    <row r="124" spans="16:16" ht="12.5" x14ac:dyDescent="0.25">
      <c r="P124" s="187"/>
    </row>
    <row r="125" spans="16:16" ht="12.5" x14ac:dyDescent="0.25">
      <c r="P125" s="187"/>
    </row>
    <row r="126" spans="16:16" ht="12.5" x14ac:dyDescent="0.25">
      <c r="P126" s="187"/>
    </row>
    <row r="127" spans="16:16" ht="12.5" x14ac:dyDescent="0.25">
      <c r="P127" s="187"/>
    </row>
    <row r="128" spans="16:16" ht="12.5" x14ac:dyDescent="0.25">
      <c r="P128" s="187"/>
    </row>
    <row r="129" spans="16:16" ht="12.5" x14ac:dyDescent="0.25">
      <c r="P129" s="187"/>
    </row>
    <row r="130" spans="16:16" ht="12.5" x14ac:dyDescent="0.25">
      <c r="P130" s="187"/>
    </row>
    <row r="131" spans="16:16" ht="12.5" x14ac:dyDescent="0.25">
      <c r="P131" s="187"/>
    </row>
    <row r="132" spans="16:16" ht="12.5" x14ac:dyDescent="0.25">
      <c r="P132" s="187"/>
    </row>
    <row r="133" spans="16:16" ht="12.5" x14ac:dyDescent="0.25">
      <c r="P133" s="187"/>
    </row>
    <row r="134" spans="16:16" ht="12.5" x14ac:dyDescent="0.25">
      <c r="P134" s="187"/>
    </row>
    <row r="135" spans="16:16" ht="12.5" x14ac:dyDescent="0.25">
      <c r="P135" s="187"/>
    </row>
    <row r="136" spans="16:16" ht="12.5" x14ac:dyDescent="0.25">
      <c r="P136" s="187"/>
    </row>
    <row r="137" spans="16:16" ht="12.5" x14ac:dyDescent="0.25">
      <c r="P137" s="187"/>
    </row>
    <row r="138" spans="16:16" ht="12.5" x14ac:dyDescent="0.25">
      <c r="P138" s="187"/>
    </row>
    <row r="139" spans="16:16" ht="12.5" x14ac:dyDescent="0.25">
      <c r="P139" s="187"/>
    </row>
    <row r="140" spans="16:16" ht="12.5" x14ac:dyDescent="0.25">
      <c r="P140" s="187"/>
    </row>
    <row r="141" spans="16:16" ht="12.5" x14ac:dyDescent="0.25">
      <c r="P141" s="187"/>
    </row>
    <row r="142" spans="16:16" ht="12.5" x14ac:dyDescent="0.25">
      <c r="P142" s="187"/>
    </row>
    <row r="143" spans="16:16" ht="12.5" x14ac:dyDescent="0.25">
      <c r="P143" s="187"/>
    </row>
    <row r="144" spans="16:16" ht="12.5" x14ac:dyDescent="0.25">
      <c r="P144" s="187"/>
    </row>
    <row r="145" spans="16:16" ht="12.5" x14ac:dyDescent="0.25">
      <c r="P145" s="187"/>
    </row>
    <row r="146" spans="16:16" ht="12.5" x14ac:dyDescent="0.25">
      <c r="P146" s="187"/>
    </row>
    <row r="147" spans="16:16" ht="12.5" x14ac:dyDescent="0.25">
      <c r="P147" s="187"/>
    </row>
    <row r="148" spans="16:16" ht="12.5" x14ac:dyDescent="0.25">
      <c r="P148" s="187"/>
    </row>
    <row r="149" spans="16:16" ht="12.5" x14ac:dyDescent="0.25">
      <c r="P149" s="187"/>
    </row>
    <row r="150" spans="16:16" ht="12.5" x14ac:dyDescent="0.25">
      <c r="P150" s="187"/>
    </row>
    <row r="151" spans="16:16" ht="12.5" x14ac:dyDescent="0.25">
      <c r="P151" s="187"/>
    </row>
    <row r="152" spans="16:16" ht="12.5" x14ac:dyDescent="0.25">
      <c r="P152" s="187"/>
    </row>
    <row r="153" spans="16:16" ht="12.5" x14ac:dyDescent="0.25">
      <c r="P153" s="187"/>
    </row>
    <row r="154" spans="16:16" ht="12.5" x14ac:dyDescent="0.25">
      <c r="P154" s="187"/>
    </row>
    <row r="155" spans="16:16" ht="12.5" x14ac:dyDescent="0.25">
      <c r="P155" s="187"/>
    </row>
    <row r="156" spans="16:16" ht="12.5" x14ac:dyDescent="0.25">
      <c r="P156" s="187"/>
    </row>
    <row r="157" spans="16:16" ht="12.5" x14ac:dyDescent="0.25">
      <c r="P157" s="187"/>
    </row>
    <row r="158" spans="16:16" ht="12.5" x14ac:dyDescent="0.25">
      <c r="P158" s="187"/>
    </row>
    <row r="159" spans="16:16" ht="12.5" x14ac:dyDescent="0.25">
      <c r="P159" s="187"/>
    </row>
    <row r="160" spans="16:16" ht="12.5" x14ac:dyDescent="0.25">
      <c r="P160" s="187"/>
    </row>
    <row r="161" spans="16:16" ht="12.5" x14ac:dyDescent="0.25">
      <c r="P161" s="187"/>
    </row>
    <row r="162" spans="16:16" ht="12.5" x14ac:dyDescent="0.25">
      <c r="P162" s="187"/>
    </row>
    <row r="163" spans="16:16" ht="12.5" x14ac:dyDescent="0.25">
      <c r="P163" s="187"/>
    </row>
    <row r="164" spans="16:16" ht="12.5" x14ac:dyDescent="0.25">
      <c r="P164" s="187"/>
    </row>
    <row r="165" spans="16:16" ht="12.5" x14ac:dyDescent="0.25">
      <c r="P165" s="187"/>
    </row>
    <row r="166" spans="16:16" ht="12.5" x14ac:dyDescent="0.25">
      <c r="P166" s="187"/>
    </row>
    <row r="167" spans="16:16" ht="12.5" x14ac:dyDescent="0.25">
      <c r="P167" s="187"/>
    </row>
    <row r="168" spans="16:16" ht="12.5" x14ac:dyDescent="0.25">
      <c r="P168" s="187"/>
    </row>
    <row r="169" spans="16:16" ht="12.5" x14ac:dyDescent="0.25">
      <c r="P169" s="187"/>
    </row>
    <row r="170" spans="16:16" ht="12.5" x14ac:dyDescent="0.25">
      <c r="P170" s="187"/>
    </row>
    <row r="171" spans="16:16" ht="12.5" x14ac:dyDescent="0.25">
      <c r="P171" s="187"/>
    </row>
    <row r="172" spans="16:16" ht="12.5" x14ac:dyDescent="0.25">
      <c r="P172" s="187"/>
    </row>
    <row r="173" spans="16:16" ht="12.5" x14ac:dyDescent="0.25">
      <c r="P173" s="187"/>
    </row>
    <row r="174" spans="16:16" ht="12.5" x14ac:dyDescent="0.25">
      <c r="P174" s="187"/>
    </row>
    <row r="175" spans="16:16" ht="12.5" x14ac:dyDescent="0.25">
      <c r="P175" s="187"/>
    </row>
    <row r="176" spans="16:16" ht="12.5" x14ac:dyDescent="0.25">
      <c r="P176" s="187"/>
    </row>
    <row r="177" spans="16:16" ht="12.5" x14ac:dyDescent="0.25">
      <c r="P177" s="187"/>
    </row>
    <row r="178" spans="16:16" ht="12.5" x14ac:dyDescent="0.25">
      <c r="P178" s="187"/>
    </row>
    <row r="179" spans="16:16" ht="12.5" x14ac:dyDescent="0.25">
      <c r="P179" s="187"/>
    </row>
    <row r="180" spans="16:16" ht="12.5" x14ac:dyDescent="0.25">
      <c r="P180" s="187"/>
    </row>
    <row r="181" spans="16:16" ht="12.5" x14ac:dyDescent="0.25">
      <c r="P181" s="187"/>
    </row>
    <row r="182" spans="16:16" ht="12.5" x14ac:dyDescent="0.25">
      <c r="P182" s="187"/>
    </row>
    <row r="183" spans="16:16" ht="12.5" x14ac:dyDescent="0.25">
      <c r="P183" s="187"/>
    </row>
    <row r="184" spans="16:16" ht="12.5" x14ac:dyDescent="0.25">
      <c r="P184" s="187"/>
    </row>
    <row r="185" spans="16:16" ht="12.5" x14ac:dyDescent="0.25">
      <c r="P185" s="187"/>
    </row>
    <row r="186" spans="16:16" ht="12.5" x14ac:dyDescent="0.25">
      <c r="P186" s="187"/>
    </row>
    <row r="187" spans="16:16" ht="12.5" x14ac:dyDescent="0.25">
      <c r="P187" s="187"/>
    </row>
    <row r="188" spans="16:16" ht="12.5" x14ac:dyDescent="0.25">
      <c r="P188" s="187"/>
    </row>
    <row r="189" spans="16:16" ht="12.5" x14ac:dyDescent="0.25">
      <c r="P189" s="187"/>
    </row>
    <row r="190" spans="16:16" ht="12.5" x14ac:dyDescent="0.25">
      <c r="P190" s="187"/>
    </row>
    <row r="191" spans="16:16" ht="12.5" x14ac:dyDescent="0.25">
      <c r="P191" s="187"/>
    </row>
    <row r="192" spans="16:16" ht="12.5" x14ac:dyDescent="0.25">
      <c r="P192" s="187"/>
    </row>
    <row r="193" spans="16:16" ht="12.5" x14ac:dyDescent="0.25">
      <c r="P193" s="187"/>
    </row>
    <row r="194" spans="16:16" ht="12.5" x14ac:dyDescent="0.25">
      <c r="P194" s="187"/>
    </row>
    <row r="195" spans="16:16" ht="12.5" x14ac:dyDescent="0.25">
      <c r="P195" s="187"/>
    </row>
    <row r="196" spans="16:16" ht="12.5" x14ac:dyDescent="0.25">
      <c r="P196" s="187"/>
    </row>
    <row r="197" spans="16:16" ht="12.5" x14ac:dyDescent="0.25">
      <c r="P197" s="187"/>
    </row>
    <row r="198" spans="16:16" ht="12.5" x14ac:dyDescent="0.25">
      <c r="P198" s="187"/>
    </row>
    <row r="199" spans="16:16" ht="12.5" x14ac:dyDescent="0.25">
      <c r="P199" s="187"/>
    </row>
    <row r="200" spans="16:16" ht="12.5" x14ac:dyDescent="0.25">
      <c r="P200" s="187"/>
    </row>
    <row r="201" spans="16:16" ht="12.5" x14ac:dyDescent="0.25">
      <c r="P201" s="187"/>
    </row>
    <row r="202" spans="16:16" ht="12.5" x14ac:dyDescent="0.25">
      <c r="P202" s="187"/>
    </row>
    <row r="203" spans="16:16" ht="12.5" x14ac:dyDescent="0.25">
      <c r="P203" s="187"/>
    </row>
    <row r="204" spans="16:16" ht="12.5" x14ac:dyDescent="0.25">
      <c r="P204" s="187"/>
    </row>
    <row r="205" spans="16:16" ht="12.5" x14ac:dyDescent="0.25">
      <c r="P205" s="187"/>
    </row>
    <row r="206" spans="16:16" ht="12.5" x14ac:dyDescent="0.25">
      <c r="P206" s="187"/>
    </row>
    <row r="207" spans="16:16" ht="12.5" x14ac:dyDescent="0.25">
      <c r="P207" s="187"/>
    </row>
    <row r="208" spans="16:16" ht="12.5" x14ac:dyDescent="0.25">
      <c r="P208" s="187"/>
    </row>
    <row r="209" spans="16:16" ht="12.5" x14ac:dyDescent="0.25">
      <c r="P209" s="187"/>
    </row>
    <row r="210" spans="16:16" ht="12.5" x14ac:dyDescent="0.25">
      <c r="P210" s="187"/>
    </row>
    <row r="211" spans="16:16" ht="12.5" x14ac:dyDescent="0.25">
      <c r="P211" s="187"/>
    </row>
    <row r="212" spans="16:16" ht="12.5" x14ac:dyDescent="0.25">
      <c r="P212" s="187"/>
    </row>
    <row r="213" spans="16:16" ht="12.5" x14ac:dyDescent="0.25">
      <c r="P213" s="187"/>
    </row>
    <row r="214" spans="16:16" ht="12.5" x14ac:dyDescent="0.25">
      <c r="P214" s="187"/>
    </row>
    <row r="215" spans="16:16" ht="12.5" x14ac:dyDescent="0.25">
      <c r="P215" s="187"/>
    </row>
    <row r="216" spans="16:16" ht="12.5" x14ac:dyDescent="0.25">
      <c r="P216" s="187"/>
    </row>
    <row r="217" spans="16:16" ht="12.5" x14ac:dyDescent="0.25">
      <c r="P217" s="187"/>
    </row>
    <row r="218" spans="16:16" ht="12.5" x14ac:dyDescent="0.25">
      <c r="P218" s="187"/>
    </row>
    <row r="219" spans="16:16" ht="12.5" x14ac:dyDescent="0.25">
      <c r="P219" s="187"/>
    </row>
    <row r="220" spans="16:16" ht="12.5" x14ac:dyDescent="0.25">
      <c r="P220" s="187"/>
    </row>
    <row r="221" spans="16:16" ht="12.5" x14ac:dyDescent="0.25">
      <c r="P221" s="187"/>
    </row>
    <row r="222" spans="16:16" ht="12.5" x14ac:dyDescent="0.25">
      <c r="P222" s="187"/>
    </row>
    <row r="223" spans="16:16" ht="12.5" x14ac:dyDescent="0.25">
      <c r="P223" s="187"/>
    </row>
    <row r="224" spans="16:16" ht="12.5" x14ac:dyDescent="0.25">
      <c r="P224" s="187"/>
    </row>
    <row r="225" spans="16:16" ht="12.5" x14ac:dyDescent="0.25">
      <c r="P225" s="187"/>
    </row>
    <row r="226" spans="16:16" ht="12.5" x14ac:dyDescent="0.25">
      <c r="P226" s="187"/>
    </row>
    <row r="227" spans="16:16" ht="12.5" x14ac:dyDescent="0.25">
      <c r="P227" s="187"/>
    </row>
    <row r="228" spans="16:16" ht="12.5" x14ac:dyDescent="0.25">
      <c r="P228" s="187"/>
    </row>
    <row r="229" spans="16:16" ht="12.5" x14ac:dyDescent="0.25">
      <c r="P229" s="187"/>
    </row>
    <row r="230" spans="16:16" ht="12.5" x14ac:dyDescent="0.25">
      <c r="P230" s="187"/>
    </row>
    <row r="231" spans="16:16" ht="12.5" x14ac:dyDescent="0.25">
      <c r="P231" s="187"/>
    </row>
    <row r="232" spans="16:16" ht="12.5" x14ac:dyDescent="0.25">
      <c r="P232" s="187"/>
    </row>
    <row r="233" spans="16:16" ht="12.5" x14ac:dyDescent="0.25">
      <c r="P233" s="187"/>
    </row>
    <row r="234" spans="16:16" ht="12.5" x14ac:dyDescent="0.25">
      <c r="P234" s="187"/>
    </row>
    <row r="235" spans="16:16" ht="12.5" x14ac:dyDescent="0.25">
      <c r="P235" s="187"/>
    </row>
    <row r="236" spans="16:16" ht="12.5" x14ac:dyDescent="0.25">
      <c r="P236" s="187"/>
    </row>
    <row r="237" spans="16:16" ht="12.5" x14ac:dyDescent="0.25">
      <c r="P237" s="187"/>
    </row>
    <row r="238" spans="16:16" ht="12.5" x14ac:dyDescent="0.25">
      <c r="P238" s="187"/>
    </row>
    <row r="239" spans="16:16" ht="12.5" x14ac:dyDescent="0.25">
      <c r="P239" s="187"/>
    </row>
    <row r="240" spans="16:16" ht="12.5" x14ac:dyDescent="0.25">
      <c r="P240" s="187"/>
    </row>
    <row r="241" spans="16:16" ht="12.5" x14ac:dyDescent="0.25">
      <c r="P241" s="187"/>
    </row>
    <row r="242" spans="16:16" ht="12.5" x14ac:dyDescent="0.25">
      <c r="P242" s="187"/>
    </row>
    <row r="243" spans="16:16" ht="12.5" x14ac:dyDescent="0.25">
      <c r="P243" s="187"/>
    </row>
    <row r="244" spans="16:16" ht="12.5" x14ac:dyDescent="0.25">
      <c r="P244" s="187"/>
    </row>
    <row r="245" spans="16:16" ht="12.5" x14ac:dyDescent="0.25">
      <c r="P245" s="187"/>
    </row>
    <row r="246" spans="16:16" ht="12.5" x14ac:dyDescent="0.25">
      <c r="P246" s="187"/>
    </row>
    <row r="247" spans="16:16" ht="12.5" x14ac:dyDescent="0.25">
      <c r="P247" s="187"/>
    </row>
    <row r="248" spans="16:16" ht="12.5" x14ac:dyDescent="0.25">
      <c r="P248" s="187"/>
    </row>
    <row r="249" spans="16:16" ht="12.5" x14ac:dyDescent="0.25">
      <c r="P249" s="187"/>
    </row>
    <row r="250" spans="16:16" ht="12.5" x14ac:dyDescent="0.25">
      <c r="P250" s="187"/>
    </row>
    <row r="251" spans="16:16" ht="12.5" x14ac:dyDescent="0.25">
      <c r="P251" s="187"/>
    </row>
    <row r="252" spans="16:16" ht="12.5" x14ac:dyDescent="0.25">
      <c r="P252" s="187"/>
    </row>
    <row r="253" spans="16:16" ht="12.5" x14ac:dyDescent="0.25">
      <c r="P253" s="187"/>
    </row>
    <row r="254" spans="16:16" ht="12.5" x14ac:dyDescent="0.25">
      <c r="P254" s="187"/>
    </row>
    <row r="255" spans="16:16" ht="12.5" x14ac:dyDescent="0.25">
      <c r="P255" s="187"/>
    </row>
    <row r="256" spans="16:16" ht="12.5" x14ac:dyDescent="0.25">
      <c r="P256" s="187"/>
    </row>
    <row r="257" spans="16:16" ht="12.5" x14ac:dyDescent="0.25">
      <c r="P257" s="187"/>
    </row>
    <row r="258" spans="16:16" ht="12.5" x14ac:dyDescent="0.25">
      <c r="P258" s="187"/>
    </row>
    <row r="259" spans="16:16" ht="12.5" x14ac:dyDescent="0.25">
      <c r="P259" s="187"/>
    </row>
    <row r="260" spans="16:16" ht="12.5" x14ac:dyDescent="0.25">
      <c r="P260" s="187"/>
    </row>
    <row r="261" spans="16:16" ht="12.5" x14ac:dyDescent="0.25">
      <c r="P261" s="187"/>
    </row>
    <row r="262" spans="16:16" ht="12.5" x14ac:dyDescent="0.25">
      <c r="P262" s="187"/>
    </row>
    <row r="263" spans="16:16" ht="12.5" x14ac:dyDescent="0.25">
      <c r="P263" s="187"/>
    </row>
    <row r="264" spans="16:16" ht="12.5" x14ac:dyDescent="0.25">
      <c r="P264" s="187"/>
    </row>
    <row r="265" spans="16:16" ht="12.5" x14ac:dyDescent="0.25">
      <c r="P265" s="187"/>
    </row>
    <row r="266" spans="16:16" ht="12.5" x14ac:dyDescent="0.25">
      <c r="P266" s="187"/>
    </row>
    <row r="267" spans="16:16" ht="12.5" x14ac:dyDescent="0.25">
      <c r="P267" s="187"/>
    </row>
    <row r="268" spans="16:16" ht="12.5" x14ac:dyDescent="0.25">
      <c r="P268" s="187"/>
    </row>
    <row r="269" spans="16:16" ht="12.5" x14ac:dyDescent="0.25">
      <c r="P269" s="187"/>
    </row>
    <row r="270" spans="16:16" ht="12.5" x14ac:dyDescent="0.25">
      <c r="P270" s="187"/>
    </row>
    <row r="271" spans="16:16" ht="12.5" x14ac:dyDescent="0.25">
      <c r="P271" s="187"/>
    </row>
    <row r="272" spans="16:16" ht="12.5" x14ac:dyDescent="0.25">
      <c r="P272" s="187"/>
    </row>
    <row r="273" spans="16:16" ht="12.5" x14ac:dyDescent="0.25">
      <c r="P273" s="187"/>
    </row>
    <row r="274" spans="16:16" ht="12.5" x14ac:dyDescent="0.25">
      <c r="P274" s="187"/>
    </row>
    <row r="275" spans="16:16" ht="12.5" x14ac:dyDescent="0.25">
      <c r="P275" s="187"/>
    </row>
    <row r="276" spans="16:16" ht="12.5" x14ac:dyDescent="0.25">
      <c r="P276" s="187"/>
    </row>
    <row r="277" spans="16:16" ht="12.5" x14ac:dyDescent="0.25">
      <c r="P277" s="187"/>
    </row>
    <row r="278" spans="16:16" ht="12.5" x14ac:dyDescent="0.25">
      <c r="P278" s="187"/>
    </row>
    <row r="279" spans="16:16" ht="12.5" x14ac:dyDescent="0.25">
      <c r="P279" s="187"/>
    </row>
    <row r="280" spans="16:16" ht="12.5" x14ac:dyDescent="0.25">
      <c r="P280" s="187"/>
    </row>
    <row r="281" spans="16:16" ht="12.5" x14ac:dyDescent="0.25">
      <c r="P281" s="187"/>
    </row>
    <row r="282" spans="16:16" ht="12.5" x14ac:dyDescent="0.25">
      <c r="P282" s="187"/>
    </row>
    <row r="283" spans="16:16" ht="12.5" x14ac:dyDescent="0.25">
      <c r="P283" s="187"/>
    </row>
    <row r="284" spans="16:16" ht="12.5" x14ac:dyDescent="0.25">
      <c r="P284" s="187"/>
    </row>
    <row r="285" spans="16:16" ht="12.5" x14ac:dyDescent="0.25">
      <c r="P285" s="187"/>
    </row>
    <row r="286" spans="16:16" ht="12.5" x14ac:dyDescent="0.25">
      <c r="P286" s="187"/>
    </row>
    <row r="287" spans="16:16" ht="12.5" x14ac:dyDescent="0.25">
      <c r="P287" s="187"/>
    </row>
    <row r="288" spans="16:16" ht="12.5" x14ac:dyDescent="0.25">
      <c r="P288" s="187"/>
    </row>
    <row r="289" spans="16:16" ht="12.5" x14ac:dyDescent="0.25">
      <c r="P289" s="187"/>
    </row>
    <row r="290" spans="16:16" ht="12.5" x14ac:dyDescent="0.25">
      <c r="P290" s="187"/>
    </row>
    <row r="291" spans="16:16" ht="12.5" x14ac:dyDescent="0.25">
      <c r="P291" s="187"/>
    </row>
    <row r="292" spans="16:16" ht="12.5" x14ac:dyDescent="0.25">
      <c r="P292" s="187"/>
    </row>
    <row r="293" spans="16:16" ht="12.5" x14ac:dyDescent="0.25">
      <c r="P293" s="187"/>
    </row>
    <row r="294" spans="16:16" ht="12.5" x14ac:dyDescent="0.25">
      <c r="P294" s="187"/>
    </row>
    <row r="295" spans="16:16" ht="12.5" x14ac:dyDescent="0.25">
      <c r="P295" s="187"/>
    </row>
    <row r="296" spans="16:16" ht="12.5" x14ac:dyDescent="0.25">
      <c r="P296" s="187"/>
    </row>
    <row r="297" spans="16:16" ht="12.5" x14ac:dyDescent="0.25">
      <c r="P297" s="187"/>
    </row>
    <row r="298" spans="16:16" ht="12.5" x14ac:dyDescent="0.25">
      <c r="P298" s="187"/>
    </row>
    <row r="299" spans="16:16" ht="12.5" x14ac:dyDescent="0.25">
      <c r="P299" s="187"/>
    </row>
    <row r="300" spans="16:16" ht="12.5" x14ac:dyDescent="0.25">
      <c r="P300" s="187"/>
    </row>
    <row r="301" spans="16:16" ht="12.5" x14ac:dyDescent="0.25">
      <c r="P301" s="187"/>
    </row>
    <row r="302" spans="16:16" ht="12.5" x14ac:dyDescent="0.25">
      <c r="P302" s="187"/>
    </row>
    <row r="303" spans="16:16" ht="12.5" x14ac:dyDescent="0.25">
      <c r="P303" s="187"/>
    </row>
    <row r="304" spans="16:16" ht="12.5" x14ac:dyDescent="0.25">
      <c r="P304" s="187"/>
    </row>
    <row r="305" spans="16:16" ht="12.5" x14ac:dyDescent="0.25">
      <c r="P305" s="187"/>
    </row>
    <row r="306" spans="16:16" ht="12.5" x14ac:dyDescent="0.25">
      <c r="P306" s="187"/>
    </row>
    <row r="307" spans="16:16" ht="12.5" x14ac:dyDescent="0.25">
      <c r="P307" s="187"/>
    </row>
    <row r="308" spans="16:16" ht="12.5" x14ac:dyDescent="0.25">
      <c r="P308" s="187"/>
    </row>
    <row r="309" spans="16:16" ht="12.5" x14ac:dyDescent="0.25">
      <c r="P309" s="187"/>
    </row>
    <row r="310" spans="16:16" ht="12.5" x14ac:dyDescent="0.25">
      <c r="P310" s="187"/>
    </row>
    <row r="311" spans="16:16" ht="12.5" x14ac:dyDescent="0.25">
      <c r="P311" s="187"/>
    </row>
    <row r="312" spans="16:16" ht="12.5" x14ac:dyDescent="0.25">
      <c r="P312" s="187"/>
    </row>
    <row r="313" spans="16:16" ht="12.5" x14ac:dyDescent="0.25">
      <c r="P313" s="187"/>
    </row>
    <row r="314" spans="16:16" ht="12.5" x14ac:dyDescent="0.25">
      <c r="P314" s="187"/>
    </row>
    <row r="315" spans="16:16" ht="12.5" x14ac:dyDescent="0.25">
      <c r="P315" s="187"/>
    </row>
    <row r="316" spans="16:16" ht="12.5" x14ac:dyDescent="0.25">
      <c r="P316" s="187"/>
    </row>
    <row r="317" spans="16:16" ht="12.5" x14ac:dyDescent="0.25">
      <c r="P317" s="187"/>
    </row>
    <row r="318" spans="16:16" ht="12.5" x14ac:dyDescent="0.25">
      <c r="P318" s="187"/>
    </row>
    <row r="319" spans="16:16" ht="12.5" x14ac:dyDescent="0.25">
      <c r="P319" s="187"/>
    </row>
    <row r="320" spans="16:16" ht="12.5" x14ac:dyDescent="0.25">
      <c r="P320" s="187"/>
    </row>
    <row r="321" spans="16:16" ht="12.5" x14ac:dyDescent="0.25">
      <c r="P321" s="187"/>
    </row>
    <row r="322" spans="16:16" ht="12.5" x14ac:dyDescent="0.25">
      <c r="P322" s="187"/>
    </row>
    <row r="323" spans="16:16" ht="12.5" x14ac:dyDescent="0.25">
      <c r="P323" s="187"/>
    </row>
    <row r="324" spans="16:16" ht="12.5" x14ac:dyDescent="0.25">
      <c r="P324" s="187"/>
    </row>
    <row r="325" spans="16:16" ht="12.5" x14ac:dyDescent="0.25">
      <c r="P325" s="187"/>
    </row>
    <row r="326" spans="16:16" ht="12.5" x14ac:dyDescent="0.25">
      <c r="P326" s="187"/>
    </row>
    <row r="327" spans="16:16" ht="12.5" x14ac:dyDescent="0.25">
      <c r="P327" s="187"/>
    </row>
    <row r="328" spans="16:16" ht="12.5" x14ac:dyDescent="0.25">
      <c r="P328" s="187"/>
    </row>
    <row r="329" spans="16:16" ht="12.5" x14ac:dyDescent="0.25">
      <c r="P329" s="187"/>
    </row>
    <row r="330" spans="16:16" ht="12.5" x14ac:dyDescent="0.25">
      <c r="P330" s="187"/>
    </row>
    <row r="331" spans="16:16" ht="12.5" x14ac:dyDescent="0.25">
      <c r="P331" s="187"/>
    </row>
    <row r="332" spans="16:16" ht="12.5" x14ac:dyDescent="0.25">
      <c r="P332" s="187"/>
    </row>
    <row r="333" spans="16:16" ht="12.5" x14ac:dyDescent="0.25">
      <c r="P333" s="187"/>
    </row>
    <row r="334" spans="16:16" ht="12.5" x14ac:dyDescent="0.25">
      <c r="P334" s="187"/>
    </row>
    <row r="335" spans="16:16" ht="12.5" x14ac:dyDescent="0.25">
      <c r="P335" s="187"/>
    </row>
    <row r="336" spans="16:16" ht="12.5" x14ac:dyDescent="0.25">
      <c r="P336" s="187"/>
    </row>
    <row r="337" spans="16:16" ht="12.5" x14ac:dyDescent="0.25">
      <c r="P337" s="187"/>
    </row>
    <row r="338" spans="16:16" ht="12.5" x14ac:dyDescent="0.25">
      <c r="P338" s="187"/>
    </row>
    <row r="339" spans="16:16" ht="12.5" x14ac:dyDescent="0.25">
      <c r="P339" s="187"/>
    </row>
    <row r="340" spans="16:16" ht="12.5" x14ac:dyDescent="0.25">
      <c r="P340" s="187"/>
    </row>
    <row r="341" spans="16:16" ht="12.5" x14ac:dyDescent="0.25">
      <c r="P341" s="187"/>
    </row>
    <row r="342" spans="16:16" ht="12.5" x14ac:dyDescent="0.25">
      <c r="P342" s="187"/>
    </row>
    <row r="343" spans="16:16" ht="12.5" x14ac:dyDescent="0.25">
      <c r="P343" s="187"/>
    </row>
    <row r="344" spans="16:16" ht="12.5" x14ac:dyDescent="0.25">
      <c r="P344" s="187"/>
    </row>
    <row r="345" spans="16:16" ht="12.5" x14ac:dyDescent="0.25">
      <c r="P345" s="187"/>
    </row>
    <row r="346" spans="16:16" ht="12.5" x14ac:dyDescent="0.25">
      <c r="P346" s="187"/>
    </row>
    <row r="347" spans="16:16" ht="12.5" x14ac:dyDescent="0.25">
      <c r="P347" s="187"/>
    </row>
    <row r="348" spans="16:16" ht="12.5" x14ac:dyDescent="0.25">
      <c r="P348" s="187"/>
    </row>
    <row r="349" spans="16:16" ht="12.5" x14ac:dyDescent="0.25">
      <c r="P349" s="187"/>
    </row>
    <row r="350" spans="16:16" ht="12.5" x14ac:dyDescent="0.25">
      <c r="P350" s="187"/>
    </row>
    <row r="351" spans="16:16" ht="12.5" x14ac:dyDescent="0.25">
      <c r="P351" s="187"/>
    </row>
    <row r="352" spans="16:16" ht="12.5" x14ac:dyDescent="0.25">
      <c r="P352" s="187"/>
    </row>
    <row r="353" spans="16:16" ht="12.5" x14ac:dyDescent="0.25">
      <c r="P353" s="187"/>
    </row>
    <row r="354" spans="16:16" ht="12.5" x14ac:dyDescent="0.25">
      <c r="P354" s="187"/>
    </row>
    <row r="355" spans="16:16" ht="12.5" x14ac:dyDescent="0.25">
      <c r="P355" s="187"/>
    </row>
    <row r="356" spans="16:16" ht="12.5" x14ac:dyDescent="0.25">
      <c r="P356" s="187"/>
    </row>
    <row r="357" spans="16:16" ht="12.5" x14ac:dyDescent="0.25">
      <c r="P357" s="187"/>
    </row>
    <row r="358" spans="16:16" ht="12.5" x14ac:dyDescent="0.25">
      <c r="P358" s="187"/>
    </row>
    <row r="359" spans="16:16" ht="12.5" x14ac:dyDescent="0.25">
      <c r="P359" s="187"/>
    </row>
    <row r="360" spans="16:16" ht="12.5" x14ac:dyDescent="0.25">
      <c r="P360" s="187"/>
    </row>
    <row r="361" spans="16:16" ht="12.5" x14ac:dyDescent="0.25">
      <c r="P361" s="187"/>
    </row>
    <row r="362" spans="16:16" ht="12.5" x14ac:dyDescent="0.25">
      <c r="P362" s="187"/>
    </row>
    <row r="363" spans="16:16" ht="12.5" x14ac:dyDescent="0.25">
      <c r="P363" s="187"/>
    </row>
    <row r="364" spans="16:16" ht="12.5" x14ac:dyDescent="0.25">
      <c r="P364" s="187"/>
    </row>
    <row r="365" spans="16:16" ht="12.5" x14ac:dyDescent="0.25">
      <c r="P365" s="187"/>
    </row>
    <row r="366" spans="16:16" ht="12.5" x14ac:dyDescent="0.25">
      <c r="P366" s="187"/>
    </row>
    <row r="367" spans="16:16" ht="12.5" x14ac:dyDescent="0.25">
      <c r="P367" s="187"/>
    </row>
    <row r="368" spans="16:16" ht="12.5" x14ac:dyDescent="0.25">
      <c r="P368" s="187"/>
    </row>
    <row r="369" spans="16:16" ht="12.5" x14ac:dyDescent="0.25">
      <c r="P369" s="187"/>
    </row>
    <row r="370" spans="16:16" ht="12.5" x14ac:dyDescent="0.25">
      <c r="P370" s="187"/>
    </row>
    <row r="371" spans="16:16" ht="12.5" x14ac:dyDescent="0.25">
      <c r="P371" s="187"/>
    </row>
    <row r="372" spans="16:16" ht="12.5" x14ac:dyDescent="0.25">
      <c r="P372" s="187"/>
    </row>
    <row r="373" spans="16:16" ht="12.5" x14ac:dyDescent="0.25">
      <c r="P373" s="187"/>
    </row>
    <row r="374" spans="16:16" ht="12.5" x14ac:dyDescent="0.25">
      <c r="P374" s="187"/>
    </row>
    <row r="375" spans="16:16" ht="12.5" x14ac:dyDescent="0.25">
      <c r="P375" s="187"/>
    </row>
    <row r="376" spans="16:16" ht="12.5" x14ac:dyDescent="0.25">
      <c r="P376" s="187"/>
    </row>
    <row r="377" spans="16:16" ht="12.5" x14ac:dyDescent="0.25">
      <c r="P377" s="187"/>
    </row>
    <row r="378" spans="16:16" ht="12.5" x14ac:dyDescent="0.25">
      <c r="P378" s="187"/>
    </row>
    <row r="379" spans="16:16" ht="12.5" x14ac:dyDescent="0.25">
      <c r="P379" s="187"/>
    </row>
    <row r="380" spans="16:16" ht="12.5" x14ac:dyDescent="0.25">
      <c r="P380" s="187"/>
    </row>
    <row r="381" spans="16:16" ht="12.5" x14ac:dyDescent="0.25">
      <c r="P381" s="187"/>
    </row>
    <row r="382" spans="16:16" ht="12.5" x14ac:dyDescent="0.25">
      <c r="P382" s="187"/>
    </row>
    <row r="383" spans="16:16" ht="12.5" x14ac:dyDescent="0.25">
      <c r="P383" s="187"/>
    </row>
    <row r="384" spans="16:16" ht="12.5" x14ac:dyDescent="0.25">
      <c r="P384" s="187"/>
    </row>
    <row r="385" spans="16:16" ht="12.5" x14ac:dyDescent="0.25">
      <c r="P385" s="187"/>
    </row>
    <row r="386" spans="16:16" ht="12.5" x14ac:dyDescent="0.25">
      <c r="P386" s="187"/>
    </row>
    <row r="387" spans="16:16" ht="12.5" x14ac:dyDescent="0.25">
      <c r="P387" s="187"/>
    </row>
    <row r="388" spans="16:16" ht="12.5" x14ac:dyDescent="0.25">
      <c r="P388" s="187"/>
    </row>
    <row r="389" spans="16:16" ht="12.5" x14ac:dyDescent="0.25">
      <c r="P389" s="187"/>
    </row>
    <row r="390" spans="16:16" ht="12.5" x14ac:dyDescent="0.25">
      <c r="P390" s="187"/>
    </row>
    <row r="391" spans="16:16" ht="12.5" x14ac:dyDescent="0.25">
      <c r="P391" s="187"/>
    </row>
    <row r="392" spans="16:16" ht="12.5" x14ac:dyDescent="0.25">
      <c r="P392" s="187"/>
    </row>
    <row r="393" spans="16:16" ht="12.5" x14ac:dyDescent="0.25">
      <c r="P393" s="187"/>
    </row>
    <row r="394" spans="16:16" ht="12.5" x14ac:dyDescent="0.25">
      <c r="P394" s="187"/>
    </row>
    <row r="395" spans="16:16" ht="12.5" x14ac:dyDescent="0.25">
      <c r="P395" s="187"/>
    </row>
    <row r="396" spans="16:16" ht="12.5" x14ac:dyDescent="0.25">
      <c r="P396" s="187"/>
    </row>
    <row r="397" spans="16:16" ht="12.5" x14ac:dyDescent="0.25">
      <c r="P397" s="187"/>
    </row>
    <row r="398" spans="16:16" ht="12.5" x14ac:dyDescent="0.25">
      <c r="P398" s="187"/>
    </row>
    <row r="399" spans="16:16" ht="12.5" x14ac:dyDescent="0.25">
      <c r="P399" s="187"/>
    </row>
    <row r="400" spans="16:16" ht="12.5" x14ac:dyDescent="0.25">
      <c r="P400" s="187"/>
    </row>
    <row r="401" spans="16:16" ht="12.5" x14ac:dyDescent="0.25">
      <c r="P401" s="187"/>
    </row>
    <row r="402" spans="16:16" ht="12.5" x14ac:dyDescent="0.25">
      <c r="P402" s="187"/>
    </row>
    <row r="403" spans="16:16" ht="12.5" x14ac:dyDescent="0.25">
      <c r="P403" s="187"/>
    </row>
    <row r="404" spans="16:16" ht="12.5" x14ac:dyDescent="0.25">
      <c r="P404" s="187"/>
    </row>
    <row r="405" spans="16:16" ht="12.5" x14ac:dyDescent="0.25">
      <c r="P405" s="187"/>
    </row>
    <row r="406" spans="16:16" ht="12.5" x14ac:dyDescent="0.25">
      <c r="P406" s="187"/>
    </row>
    <row r="407" spans="16:16" ht="12.5" x14ac:dyDescent="0.25">
      <c r="P407" s="187"/>
    </row>
    <row r="408" spans="16:16" ht="12.5" x14ac:dyDescent="0.25">
      <c r="P408" s="187"/>
    </row>
    <row r="409" spans="16:16" ht="12.5" x14ac:dyDescent="0.25">
      <c r="P409" s="187"/>
    </row>
    <row r="410" spans="16:16" ht="12.5" x14ac:dyDescent="0.25">
      <c r="P410" s="187"/>
    </row>
    <row r="411" spans="16:16" ht="12.5" x14ac:dyDescent="0.25">
      <c r="P411" s="187"/>
    </row>
    <row r="412" spans="16:16" ht="12.5" x14ac:dyDescent="0.25">
      <c r="P412" s="187"/>
    </row>
    <row r="413" spans="16:16" ht="12.5" x14ac:dyDescent="0.25">
      <c r="P413" s="187"/>
    </row>
    <row r="414" spans="16:16" ht="12.5" x14ac:dyDescent="0.25">
      <c r="P414" s="187"/>
    </row>
    <row r="415" spans="16:16" ht="12.5" x14ac:dyDescent="0.25">
      <c r="P415" s="187"/>
    </row>
    <row r="416" spans="16:16" ht="12.5" x14ac:dyDescent="0.25">
      <c r="P416" s="187"/>
    </row>
    <row r="417" spans="16:16" ht="12.5" x14ac:dyDescent="0.25">
      <c r="P417" s="187"/>
    </row>
    <row r="418" spans="16:16" ht="12.5" x14ac:dyDescent="0.25">
      <c r="P418" s="187"/>
    </row>
    <row r="419" spans="16:16" ht="12.5" x14ac:dyDescent="0.25">
      <c r="P419" s="187"/>
    </row>
    <row r="420" spans="16:16" ht="12.5" x14ac:dyDescent="0.25">
      <c r="P420" s="187"/>
    </row>
    <row r="421" spans="16:16" ht="12.5" x14ac:dyDescent="0.25">
      <c r="P421" s="187"/>
    </row>
    <row r="422" spans="16:16" ht="12.5" x14ac:dyDescent="0.25">
      <c r="P422" s="187"/>
    </row>
    <row r="423" spans="16:16" ht="12.5" x14ac:dyDescent="0.25">
      <c r="P423" s="187"/>
    </row>
    <row r="424" spans="16:16" ht="12.5" x14ac:dyDescent="0.25">
      <c r="P424" s="187"/>
    </row>
    <row r="425" spans="16:16" ht="12.5" x14ac:dyDescent="0.25">
      <c r="P425" s="187"/>
    </row>
    <row r="426" spans="16:16" ht="12.5" x14ac:dyDescent="0.25">
      <c r="P426" s="187"/>
    </row>
    <row r="427" spans="16:16" ht="12.5" x14ac:dyDescent="0.25">
      <c r="P427" s="187"/>
    </row>
    <row r="428" spans="16:16" ht="12.5" x14ac:dyDescent="0.25">
      <c r="P428" s="187"/>
    </row>
    <row r="429" spans="16:16" ht="12.5" x14ac:dyDescent="0.25">
      <c r="P429" s="187"/>
    </row>
    <row r="430" spans="16:16" ht="12.5" x14ac:dyDescent="0.25">
      <c r="P430" s="187"/>
    </row>
    <row r="431" spans="16:16" ht="12.5" x14ac:dyDescent="0.25">
      <c r="P431" s="187"/>
    </row>
    <row r="432" spans="16:16" ht="12.5" x14ac:dyDescent="0.25">
      <c r="P432" s="187"/>
    </row>
    <row r="433" spans="16:16" ht="12.5" x14ac:dyDescent="0.25">
      <c r="P433" s="187"/>
    </row>
    <row r="434" spans="16:16" ht="12.5" x14ac:dyDescent="0.25">
      <c r="P434" s="187"/>
    </row>
    <row r="435" spans="16:16" ht="12.5" x14ac:dyDescent="0.25">
      <c r="P435" s="187"/>
    </row>
    <row r="436" spans="16:16" ht="12.5" x14ac:dyDescent="0.25">
      <c r="P436" s="187"/>
    </row>
    <row r="437" spans="16:16" ht="12.5" x14ac:dyDescent="0.25">
      <c r="P437" s="187"/>
    </row>
    <row r="438" spans="16:16" ht="12.5" x14ac:dyDescent="0.25">
      <c r="P438" s="187"/>
    </row>
    <row r="439" spans="16:16" ht="12.5" x14ac:dyDescent="0.25">
      <c r="P439" s="187"/>
    </row>
    <row r="440" spans="16:16" ht="12.5" x14ac:dyDescent="0.25">
      <c r="P440" s="187"/>
    </row>
    <row r="441" spans="16:16" ht="12.5" x14ac:dyDescent="0.25">
      <c r="P441" s="187"/>
    </row>
    <row r="442" spans="16:16" ht="12.5" x14ac:dyDescent="0.25">
      <c r="P442" s="187"/>
    </row>
    <row r="443" spans="16:16" ht="12.5" x14ac:dyDescent="0.25">
      <c r="P443" s="187"/>
    </row>
    <row r="444" spans="16:16" ht="12.5" x14ac:dyDescent="0.25">
      <c r="P444" s="187"/>
    </row>
    <row r="445" spans="16:16" ht="12.5" x14ac:dyDescent="0.25">
      <c r="P445" s="187"/>
    </row>
    <row r="446" spans="16:16" ht="12.5" x14ac:dyDescent="0.25">
      <c r="P446" s="187"/>
    </row>
    <row r="447" spans="16:16" ht="12.5" x14ac:dyDescent="0.25">
      <c r="P447" s="187"/>
    </row>
    <row r="448" spans="16:16" ht="12.5" x14ac:dyDescent="0.25">
      <c r="P448" s="187"/>
    </row>
    <row r="449" spans="16:16" ht="12.5" x14ac:dyDescent="0.25">
      <c r="P449" s="187"/>
    </row>
    <row r="450" spans="16:16" ht="12.5" x14ac:dyDescent="0.25">
      <c r="P450" s="187"/>
    </row>
    <row r="451" spans="16:16" ht="12.5" x14ac:dyDescent="0.25">
      <c r="P451" s="187"/>
    </row>
    <row r="452" spans="16:16" ht="12.5" x14ac:dyDescent="0.25">
      <c r="P452" s="187"/>
    </row>
    <row r="453" spans="16:16" ht="12.5" x14ac:dyDescent="0.25">
      <c r="P453" s="187"/>
    </row>
    <row r="454" spans="16:16" ht="12.5" x14ac:dyDescent="0.25">
      <c r="P454" s="187"/>
    </row>
    <row r="455" spans="16:16" ht="12.5" x14ac:dyDescent="0.25">
      <c r="P455" s="187"/>
    </row>
    <row r="456" spans="16:16" ht="12.5" x14ac:dyDescent="0.25">
      <c r="P456" s="187"/>
    </row>
    <row r="457" spans="16:16" ht="12.5" x14ac:dyDescent="0.25">
      <c r="P457" s="187"/>
    </row>
    <row r="458" spans="16:16" ht="12.5" x14ac:dyDescent="0.25">
      <c r="P458" s="187"/>
    </row>
    <row r="459" spans="16:16" ht="12.5" x14ac:dyDescent="0.25">
      <c r="P459" s="187"/>
    </row>
    <row r="460" spans="16:16" ht="12.5" x14ac:dyDescent="0.25">
      <c r="P460" s="187"/>
    </row>
    <row r="461" spans="16:16" ht="12.5" x14ac:dyDescent="0.25">
      <c r="P461" s="187"/>
    </row>
    <row r="462" spans="16:16" ht="12.5" x14ac:dyDescent="0.25">
      <c r="P462" s="187"/>
    </row>
    <row r="463" spans="16:16" ht="12.5" x14ac:dyDescent="0.25">
      <c r="P463" s="187"/>
    </row>
    <row r="464" spans="16:16" ht="12.5" x14ac:dyDescent="0.25">
      <c r="P464" s="187"/>
    </row>
    <row r="465" spans="16:16" ht="12.5" x14ac:dyDescent="0.25">
      <c r="P465" s="187"/>
    </row>
    <row r="466" spans="16:16" ht="12.5" x14ac:dyDescent="0.25">
      <c r="P466" s="187"/>
    </row>
    <row r="467" spans="16:16" ht="12.5" x14ac:dyDescent="0.25">
      <c r="P467" s="187"/>
    </row>
    <row r="468" spans="16:16" ht="12.5" x14ac:dyDescent="0.25">
      <c r="P468" s="187"/>
    </row>
    <row r="469" spans="16:16" ht="12.5" x14ac:dyDescent="0.25">
      <c r="P469" s="187"/>
    </row>
    <row r="470" spans="16:16" ht="12.5" x14ac:dyDescent="0.25">
      <c r="P470" s="187"/>
    </row>
    <row r="471" spans="16:16" ht="12.5" x14ac:dyDescent="0.25">
      <c r="P471" s="187"/>
    </row>
    <row r="472" spans="16:16" ht="12.5" x14ac:dyDescent="0.25">
      <c r="P472" s="187"/>
    </row>
    <row r="473" spans="16:16" ht="12.5" x14ac:dyDescent="0.25">
      <c r="P473" s="187"/>
    </row>
    <row r="474" spans="16:16" ht="12.5" x14ac:dyDescent="0.25">
      <c r="P474" s="187"/>
    </row>
    <row r="475" spans="16:16" ht="12.5" x14ac:dyDescent="0.25">
      <c r="P475" s="187"/>
    </row>
    <row r="476" spans="16:16" ht="12.5" x14ac:dyDescent="0.25">
      <c r="P476" s="187"/>
    </row>
    <row r="477" spans="16:16" ht="12.5" x14ac:dyDescent="0.25">
      <c r="P477" s="187"/>
    </row>
    <row r="478" spans="16:16" ht="12.5" x14ac:dyDescent="0.25">
      <c r="P478" s="187"/>
    </row>
    <row r="479" spans="16:16" ht="12.5" x14ac:dyDescent="0.25">
      <c r="P479" s="187"/>
    </row>
    <row r="480" spans="16:16" ht="12.5" x14ac:dyDescent="0.25">
      <c r="P480" s="187"/>
    </row>
    <row r="481" spans="16:16" ht="12.5" x14ac:dyDescent="0.25">
      <c r="P481" s="187"/>
    </row>
    <row r="482" spans="16:16" ht="12.5" x14ac:dyDescent="0.25">
      <c r="P482" s="187"/>
    </row>
    <row r="483" spans="16:16" ht="12.5" x14ac:dyDescent="0.25">
      <c r="P483" s="187"/>
    </row>
    <row r="484" spans="16:16" ht="12.5" x14ac:dyDescent="0.25">
      <c r="P484" s="187"/>
    </row>
    <row r="485" spans="16:16" ht="12.5" x14ac:dyDescent="0.25">
      <c r="P485" s="187"/>
    </row>
    <row r="486" spans="16:16" ht="12.5" x14ac:dyDescent="0.25">
      <c r="P486" s="187"/>
    </row>
    <row r="487" spans="16:16" ht="12.5" x14ac:dyDescent="0.25">
      <c r="P487" s="187"/>
    </row>
    <row r="488" spans="16:16" ht="12.5" x14ac:dyDescent="0.25">
      <c r="P488" s="187"/>
    </row>
    <row r="489" spans="16:16" ht="12.5" x14ac:dyDescent="0.25">
      <c r="P489" s="187"/>
    </row>
    <row r="490" spans="16:16" ht="12.5" x14ac:dyDescent="0.25">
      <c r="P490" s="187"/>
    </row>
    <row r="491" spans="16:16" ht="12.5" x14ac:dyDescent="0.25">
      <c r="P491" s="187"/>
    </row>
    <row r="492" spans="16:16" ht="12.5" x14ac:dyDescent="0.25">
      <c r="P492" s="187"/>
    </row>
    <row r="493" spans="16:16" ht="12.5" x14ac:dyDescent="0.25">
      <c r="P493" s="187"/>
    </row>
    <row r="494" spans="16:16" ht="12.5" x14ac:dyDescent="0.25">
      <c r="P494" s="187"/>
    </row>
    <row r="495" spans="16:16" ht="12.5" x14ac:dyDescent="0.25">
      <c r="P495" s="187"/>
    </row>
    <row r="496" spans="16:16" ht="12.5" x14ac:dyDescent="0.25">
      <c r="P496" s="187"/>
    </row>
    <row r="497" spans="16:16" ht="12.5" x14ac:dyDescent="0.25">
      <c r="P497" s="187"/>
    </row>
    <row r="498" spans="16:16" ht="12.5" x14ac:dyDescent="0.25">
      <c r="P498" s="187"/>
    </row>
    <row r="499" spans="16:16" ht="12.5" x14ac:dyDescent="0.25">
      <c r="P499" s="187"/>
    </row>
    <row r="500" spans="16:16" ht="12.5" x14ac:dyDescent="0.25">
      <c r="P500" s="187"/>
    </row>
    <row r="501" spans="16:16" ht="12.5" x14ac:dyDescent="0.25">
      <c r="P501" s="187"/>
    </row>
    <row r="502" spans="16:16" ht="12.5" x14ac:dyDescent="0.25">
      <c r="P502" s="187"/>
    </row>
    <row r="503" spans="16:16" ht="12.5" x14ac:dyDescent="0.25">
      <c r="P503" s="187"/>
    </row>
    <row r="504" spans="16:16" ht="12.5" x14ac:dyDescent="0.25">
      <c r="P504" s="187"/>
    </row>
    <row r="505" spans="16:16" ht="12.5" x14ac:dyDescent="0.25">
      <c r="P505" s="187"/>
    </row>
    <row r="506" spans="16:16" ht="12.5" x14ac:dyDescent="0.25">
      <c r="P506" s="187"/>
    </row>
    <row r="507" spans="16:16" ht="12.5" x14ac:dyDescent="0.25">
      <c r="P507" s="187"/>
    </row>
    <row r="508" spans="16:16" ht="12.5" x14ac:dyDescent="0.25">
      <c r="P508" s="187"/>
    </row>
    <row r="509" spans="16:16" ht="12.5" x14ac:dyDescent="0.25">
      <c r="P509" s="187"/>
    </row>
    <row r="510" spans="16:16" ht="12.5" x14ac:dyDescent="0.25">
      <c r="P510" s="187"/>
    </row>
    <row r="511" spans="16:16" ht="12.5" x14ac:dyDescent="0.25">
      <c r="P511" s="187"/>
    </row>
    <row r="512" spans="16:16" ht="12.5" x14ac:dyDescent="0.25">
      <c r="P512" s="187"/>
    </row>
    <row r="513" spans="16:16" ht="12.5" x14ac:dyDescent="0.25">
      <c r="P513" s="187"/>
    </row>
    <row r="514" spans="16:16" ht="12.5" x14ac:dyDescent="0.25">
      <c r="P514" s="187"/>
    </row>
    <row r="515" spans="16:16" ht="12.5" x14ac:dyDescent="0.25">
      <c r="P515" s="187"/>
    </row>
    <row r="516" spans="16:16" ht="12.5" x14ac:dyDescent="0.25">
      <c r="P516" s="187"/>
    </row>
    <row r="517" spans="16:16" ht="12.5" x14ac:dyDescent="0.25">
      <c r="P517" s="187"/>
    </row>
    <row r="518" spans="16:16" ht="12.5" x14ac:dyDescent="0.25">
      <c r="P518" s="187"/>
    </row>
    <row r="519" spans="16:16" ht="12.5" x14ac:dyDescent="0.25">
      <c r="P519" s="187"/>
    </row>
    <row r="520" spans="16:16" ht="12.5" x14ac:dyDescent="0.25">
      <c r="P520" s="187"/>
    </row>
    <row r="521" spans="16:16" ht="12.5" x14ac:dyDescent="0.25">
      <c r="P521" s="187"/>
    </row>
    <row r="522" spans="16:16" ht="12.5" x14ac:dyDescent="0.25">
      <c r="P522" s="187"/>
    </row>
    <row r="523" spans="16:16" ht="12.5" x14ac:dyDescent="0.25">
      <c r="P523" s="187"/>
    </row>
    <row r="524" spans="16:16" ht="12.5" x14ac:dyDescent="0.25">
      <c r="P524" s="187"/>
    </row>
    <row r="525" spans="16:16" ht="12.5" x14ac:dyDescent="0.25">
      <c r="P525" s="187"/>
    </row>
    <row r="526" spans="16:16" ht="12.5" x14ac:dyDescent="0.25">
      <c r="P526" s="187"/>
    </row>
    <row r="527" spans="16:16" ht="12.5" x14ac:dyDescent="0.25">
      <c r="P527" s="187"/>
    </row>
    <row r="528" spans="16:16" ht="12.5" x14ac:dyDescent="0.25">
      <c r="P528" s="187"/>
    </row>
    <row r="529" spans="16:16" ht="12.5" x14ac:dyDescent="0.25">
      <c r="P529" s="187"/>
    </row>
    <row r="530" spans="16:16" ht="12.5" x14ac:dyDescent="0.25">
      <c r="P530" s="187"/>
    </row>
    <row r="531" spans="16:16" ht="12.5" x14ac:dyDescent="0.25">
      <c r="P531" s="187"/>
    </row>
    <row r="532" spans="16:16" ht="12.5" x14ac:dyDescent="0.25">
      <c r="P532" s="187"/>
    </row>
    <row r="533" spans="16:16" ht="12.5" x14ac:dyDescent="0.25">
      <c r="P533" s="187"/>
    </row>
    <row r="534" spans="16:16" ht="12.5" x14ac:dyDescent="0.25">
      <c r="P534" s="187"/>
    </row>
    <row r="535" spans="16:16" ht="12.5" x14ac:dyDescent="0.25">
      <c r="P535" s="187"/>
    </row>
    <row r="536" spans="16:16" ht="12.5" x14ac:dyDescent="0.25">
      <c r="P536" s="187"/>
    </row>
    <row r="537" spans="16:16" ht="12.5" x14ac:dyDescent="0.25">
      <c r="P537" s="187"/>
    </row>
    <row r="538" spans="16:16" ht="12.5" x14ac:dyDescent="0.25">
      <c r="P538" s="187"/>
    </row>
    <row r="539" spans="16:16" ht="12.5" x14ac:dyDescent="0.25">
      <c r="P539" s="187"/>
    </row>
    <row r="540" spans="16:16" ht="12.5" x14ac:dyDescent="0.25">
      <c r="P540" s="187"/>
    </row>
    <row r="541" spans="16:16" ht="12.5" x14ac:dyDescent="0.25">
      <c r="P541" s="187"/>
    </row>
    <row r="542" spans="16:16" ht="12.5" x14ac:dyDescent="0.25">
      <c r="P542" s="187"/>
    </row>
    <row r="543" spans="16:16" ht="12.5" x14ac:dyDescent="0.25">
      <c r="P543" s="187"/>
    </row>
    <row r="544" spans="16:16" ht="12.5" x14ac:dyDescent="0.25">
      <c r="P544" s="187"/>
    </row>
    <row r="545" spans="16:16" ht="12.5" x14ac:dyDescent="0.25">
      <c r="P545" s="187"/>
    </row>
    <row r="546" spans="16:16" ht="12.5" x14ac:dyDescent="0.25">
      <c r="P546" s="187"/>
    </row>
    <row r="547" spans="16:16" ht="12.5" x14ac:dyDescent="0.25">
      <c r="P547" s="187"/>
    </row>
    <row r="548" spans="16:16" ht="12.5" x14ac:dyDescent="0.25">
      <c r="P548" s="187"/>
    </row>
    <row r="549" spans="16:16" ht="12.5" x14ac:dyDescent="0.25">
      <c r="P549" s="187"/>
    </row>
    <row r="550" spans="16:16" ht="12.5" x14ac:dyDescent="0.25">
      <c r="P550" s="187"/>
    </row>
    <row r="551" spans="16:16" ht="12.5" x14ac:dyDescent="0.25">
      <c r="P551" s="187"/>
    </row>
    <row r="552" spans="16:16" ht="12.5" x14ac:dyDescent="0.25">
      <c r="P552" s="187"/>
    </row>
    <row r="553" spans="16:16" ht="12.5" x14ac:dyDescent="0.25">
      <c r="P553" s="187"/>
    </row>
    <row r="554" spans="16:16" ht="12.5" x14ac:dyDescent="0.25">
      <c r="P554" s="187"/>
    </row>
    <row r="555" spans="16:16" ht="12.5" x14ac:dyDescent="0.25">
      <c r="P555" s="187"/>
    </row>
    <row r="556" spans="16:16" ht="12.5" x14ac:dyDescent="0.25">
      <c r="P556" s="187"/>
    </row>
    <row r="557" spans="16:16" ht="12.5" x14ac:dyDescent="0.25">
      <c r="P557" s="187"/>
    </row>
    <row r="558" spans="16:16" ht="12.5" x14ac:dyDescent="0.25">
      <c r="P558" s="187"/>
    </row>
    <row r="559" spans="16:16" ht="12.5" x14ac:dyDescent="0.25">
      <c r="P559" s="187"/>
    </row>
    <row r="560" spans="16:16" ht="12.5" x14ac:dyDescent="0.25">
      <c r="P560" s="187"/>
    </row>
    <row r="561" spans="16:16" ht="12.5" x14ac:dyDescent="0.25">
      <c r="P561" s="187"/>
    </row>
    <row r="562" spans="16:16" ht="12.5" x14ac:dyDescent="0.25">
      <c r="P562" s="187"/>
    </row>
    <row r="563" spans="16:16" ht="12.5" x14ac:dyDescent="0.25">
      <c r="P563" s="187"/>
    </row>
    <row r="564" spans="16:16" ht="12.5" x14ac:dyDescent="0.25">
      <c r="P564" s="187"/>
    </row>
    <row r="565" spans="16:16" ht="12.5" x14ac:dyDescent="0.25">
      <c r="P565" s="187"/>
    </row>
    <row r="566" spans="16:16" ht="12.5" x14ac:dyDescent="0.25">
      <c r="P566" s="187"/>
    </row>
    <row r="567" spans="16:16" ht="12.5" x14ac:dyDescent="0.25">
      <c r="P567" s="187"/>
    </row>
    <row r="568" spans="16:16" ht="12.5" x14ac:dyDescent="0.25">
      <c r="P568" s="187"/>
    </row>
    <row r="569" spans="16:16" ht="12.5" x14ac:dyDescent="0.25">
      <c r="P569" s="187"/>
    </row>
    <row r="570" spans="16:16" ht="12.5" x14ac:dyDescent="0.25">
      <c r="P570" s="187"/>
    </row>
    <row r="571" spans="16:16" ht="12.5" x14ac:dyDescent="0.25">
      <c r="P571" s="187"/>
    </row>
    <row r="572" spans="16:16" ht="12.5" x14ac:dyDescent="0.25">
      <c r="P572" s="187"/>
    </row>
    <row r="573" spans="16:16" ht="12.5" x14ac:dyDescent="0.25">
      <c r="P573" s="187"/>
    </row>
    <row r="574" spans="16:16" ht="12.5" x14ac:dyDescent="0.25">
      <c r="P574" s="187"/>
    </row>
    <row r="575" spans="16:16" ht="12.5" x14ac:dyDescent="0.25">
      <c r="P575" s="187"/>
    </row>
    <row r="576" spans="16:16" ht="12.5" x14ac:dyDescent="0.25">
      <c r="P576" s="187"/>
    </row>
    <row r="577" spans="16:16" ht="12.5" x14ac:dyDescent="0.25">
      <c r="P577" s="187"/>
    </row>
    <row r="578" spans="16:16" ht="12.5" x14ac:dyDescent="0.25">
      <c r="P578" s="187"/>
    </row>
    <row r="579" spans="16:16" ht="12.5" x14ac:dyDescent="0.25">
      <c r="P579" s="187"/>
    </row>
    <row r="580" spans="16:16" ht="12.5" x14ac:dyDescent="0.25">
      <c r="P580" s="187"/>
    </row>
    <row r="581" spans="16:16" ht="12.5" x14ac:dyDescent="0.25">
      <c r="P581" s="187"/>
    </row>
    <row r="582" spans="16:16" ht="12.5" x14ac:dyDescent="0.25">
      <c r="P582" s="187"/>
    </row>
    <row r="583" spans="16:16" ht="12.5" x14ac:dyDescent="0.25">
      <c r="P583" s="187"/>
    </row>
    <row r="584" spans="16:16" ht="12.5" x14ac:dyDescent="0.25">
      <c r="P584" s="187"/>
    </row>
    <row r="585" spans="16:16" ht="12.5" x14ac:dyDescent="0.25">
      <c r="P585" s="187"/>
    </row>
    <row r="586" spans="16:16" ht="12.5" x14ac:dyDescent="0.25">
      <c r="P586" s="187"/>
    </row>
    <row r="587" spans="16:16" ht="12.5" x14ac:dyDescent="0.25">
      <c r="P587" s="187"/>
    </row>
    <row r="588" spans="16:16" ht="12.5" x14ac:dyDescent="0.25">
      <c r="P588" s="187"/>
    </row>
    <row r="589" spans="16:16" ht="12.5" x14ac:dyDescent="0.25">
      <c r="P589" s="187"/>
    </row>
    <row r="590" spans="16:16" ht="12.5" x14ac:dyDescent="0.25">
      <c r="P590" s="187"/>
    </row>
    <row r="591" spans="16:16" ht="12.5" x14ac:dyDescent="0.25">
      <c r="P591" s="187"/>
    </row>
    <row r="592" spans="16:16" ht="12.5" x14ac:dyDescent="0.25">
      <c r="P592" s="187"/>
    </row>
    <row r="593" spans="16:16" ht="12.5" x14ac:dyDescent="0.25">
      <c r="P593" s="187"/>
    </row>
    <row r="594" spans="16:16" ht="12.5" x14ac:dyDescent="0.25">
      <c r="P594" s="187"/>
    </row>
    <row r="595" spans="16:16" ht="12.5" x14ac:dyDescent="0.25">
      <c r="P595" s="187"/>
    </row>
    <row r="596" spans="16:16" ht="12.5" x14ac:dyDescent="0.25">
      <c r="P596" s="187"/>
    </row>
    <row r="597" spans="16:16" ht="12.5" x14ac:dyDescent="0.25">
      <c r="P597" s="187"/>
    </row>
    <row r="598" spans="16:16" ht="12.5" x14ac:dyDescent="0.25">
      <c r="P598" s="187"/>
    </row>
    <row r="599" spans="16:16" ht="12.5" x14ac:dyDescent="0.25">
      <c r="P599" s="187"/>
    </row>
    <row r="600" spans="16:16" ht="12.5" x14ac:dyDescent="0.25">
      <c r="P600" s="187"/>
    </row>
    <row r="601" spans="16:16" ht="12.5" x14ac:dyDescent="0.25">
      <c r="P601" s="187"/>
    </row>
    <row r="602" spans="16:16" ht="12.5" x14ac:dyDescent="0.25">
      <c r="P602" s="187"/>
    </row>
    <row r="603" spans="16:16" ht="12.5" x14ac:dyDescent="0.25">
      <c r="P603" s="187"/>
    </row>
    <row r="604" spans="16:16" ht="12.5" x14ac:dyDescent="0.25">
      <c r="P604" s="187"/>
    </row>
    <row r="605" spans="16:16" ht="12.5" x14ac:dyDescent="0.25">
      <c r="P605" s="187"/>
    </row>
    <row r="606" spans="16:16" ht="12.5" x14ac:dyDescent="0.25">
      <c r="P606" s="187"/>
    </row>
    <row r="607" spans="16:16" ht="12.5" x14ac:dyDescent="0.25">
      <c r="P607" s="187"/>
    </row>
    <row r="608" spans="16:16" ht="12.5" x14ac:dyDescent="0.25">
      <c r="P608" s="187"/>
    </row>
    <row r="609" spans="16:16" ht="12.5" x14ac:dyDescent="0.25">
      <c r="P609" s="187"/>
    </row>
    <row r="610" spans="16:16" ht="12.5" x14ac:dyDescent="0.25">
      <c r="P610" s="187"/>
    </row>
    <row r="611" spans="16:16" ht="12.5" x14ac:dyDescent="0.25">
      <c r="P611" s="187"/>
    </row>
    <row r="612" spans="16:16" ht="12.5" x14ac:dyDescent="0.25">
      <c r="P612" s="187"/>
    </row>
    <row r="613" spans="16:16" ht="12.5" x14ac:dyDescent="0.25">
      <c r="P613" s="187"/>
    </row>
    <row r="614" spans="16:16" ht="12.5" x14ac:dyDescent="0.25">
      <c r="P614" s="187"/>
    </row>
    <row r="615" spans="16:16" ht="12.5" x14ac:dyDescent="0.25">
      <c r="P615" s="187"/>
    </row>
    <row r="616" spans="16:16" ht="12.5" x14ac:dyDescent="0.25">
      <c r="P616" s="187"/>
    </row>
    <row r="617" spans="16:16" ht="12.5" x14ac:dyDescent="0.25">
      <c r="P617" s="187"/>
    </row>
    <row r="618" spans="16:16" ht="12.5" x14ac:dyDescent="0.25">
      <c r="P618" s="187"/>
    </row>
    <row r="619" spans="16:16" ht="12.5" x14ac:dyDescent="0.25">
      <c r="P619" s="187"/>
    </row>
    <row r="620" spans="16:16" ht="12.5" x14ac:dyDescent="0.25">
      <c r="P620" s="187"/>
    </row>
    <row r="621" spans="16:16" ht="12.5" x14ac:dyDescent="0.25">
      <c r="P621" s="187"/>
    </row>
    <row r="622" spans="16:16" ht="12.5" x14ac:dyDescent="0.25">
      <c r="P622" s="187"/>
    </row>
    <row r="623" spans="16:16" ht="12.5" x14ac:dyDescent="0.25">
      <c r="P623" s="187"/>
    </row>
    <row r="624" spans="16:16" ht="12.5" x14ac:dyDescent="0.25">
      <c r="P624" s="187"/>
    </row>
    <row r="625" spans="16:16" ht="12.5" x14ac:dyDescent="0.25">
      <c r="P625" s="187"/>
    </row>
    <row r="626" spans="16:16" ht="12.5" x14ac:dyDescent="0.25">
      <c r="P626" s="187"/>
    </row>
    <row r="627" spans="16:16" ht="12.5" x14ac:dyDescent="0.25">
      <c r="P627" s="187"/>
    </row>
    <row r="628" spans="16:16" ht="12.5" x14ac:dyDescent="0.25">
      <c r="P628" s="187"/>
    </row>
    <row r="629" spans="16:16" ht="12.5" x14ac:dyDescent="0.25">
      <c r="P629" s="187"/>
    </row>
    <row r="630" spans="16:16" ht="12.5" x14ac:dyDescent="0.25">
      <c r="P630" s="187"/>
    </row>
    <row r="631" spans="16:16" ht="12.5" x14ac:dyDescent="0.25">
      <c r="P631" s="187"/>
    </row>
    <row r="632" spans="16:16" ht="12.5" x14ac:dyDescent="0.25">
      <c r="P632" s="187"/>
    </row>
    <row r="633" spans="16:16" ht="12.5" x14ac:dyDescent="0.25">
      <c r="P633" s="187"/>
    </row>
    <row r="634" spans="16:16" ht="12.5" x14ac:dyDescent="0.25">
      <c r="P634" s="187"/>
    </row>
    <row r="635" spans="16:16" ht="12.5" x14ac:dyDescent="0.25">
      <c r="P635" s="187"/>
    </row>
    <row r="636" spans="16:16" ht="12.5" x14ac:dyDescent="0.25">
      <c r="P636" s="187"/>
    </row>
    <row r="637" spans="16:16" ht="12.5" x14ac:dyDescent="0.25">
      <c r="P637" s="187"/>
    </row>
    <row r="638" spans="16:16" ht="12.5" x14ac:dyDescent="0.25">
      <c r="P638" s="187"/>
    </row>
    <row r="639" spans="16:16" ht="12.5" x14ac:dyDescent="0.25">
      <c r="P639" s="187"/>
    </row>
    <row r="640" spans="16:16" ht="12.5" x14ac:dyDescent="0.25">
      <c r="P640" s="187"/>
    </row>
    <row r="641" spans="16:16" ht="12.5" x14ac:dyDescent="0.25">
      <c r="P641" s="187"/>
    </row>
    <row r="642" spans="16:16" ht="12.5" x14ac:dyDescent="0.25">
      <c r="P642" s="187"/>
    </row>
    <row r="643" spans="16:16" ht="12.5" x14ac:dyDescent="0.25">
      <c r="P643" s="187"/>
    </row>
    <row r="644" spans="16:16" ht="12.5" x14ac:dyDescent="0.25">
      <c r="P644" s="187"/>
    </row>
    <row r="645" spans="16:16" ht="12.5" x14ac:dyDescent="0.25">
      <c r="P645" s="187"/>
    </row>
    <row r="646" spans="16:16" ht="12.5" x14ac:dyDescent="0.25">
      <c r="P646" s="187"/>
    </row>
    <row r="647" spans="16:16" ht="12.5" x14ac:dyDescent="0.25">
      <c r="P647" s="187"/>
    </row>
    <row r="648" spans="16:16" ht="12.5" x14ac:dyDescent="0.25">
      <c r="P648" s="187"/>
    </row>
    <row r="649" spans="16:16" ht="12.5" x14ac:dyDescent="0.25">
      <c r="P649" s="187"/>
    </row>
    <row r="650" spans="16:16" ht="12.5" x14ac:dyDescent="0.25">
      <c r="P650" s="187"/>
    </row>
    <row r="651" spans="16:16" ht="12.5" x14ac:dyDescent="0.25">
      <c r="P651" s="187"/>
    </row>
    <row r="652" spans="16:16" ht="12.5" x14ac:dyDescent="0.25">
      <c r="P652" s="187"/>
    </row>
    <row r="653" spans="16:16" ht="12.5" x14ac:dyDescent="0.25">
      <c r="P653" s="187"/>
    </row>
    <row r="654" spans="16:16" ht="12.5" x14ac:dyDescent="0.25">
      <c r="P654" s="187"/>
    </row>
    <row r="655" spans="16:16" ht="12.5" x14ac:dyDescent="0.25">
      <c r="P655" s="187"/>
    </row>
    <row r="656" spans="16:16" ht="12.5" x14ac:dyDescent="0.25">
      <c r="P656" s="187"/>
    </row>
    <row r="657" spans="16:16" ht="12.5" x14ac:dyDescent="0.25">
      <c r="P657" s="187"/>
    </row>
    <row r="658" spans="16:16" ht="12.5" x14ac:dyDescent="0.25">
      <c r="P658" s="187"/>
    </row>
    <row r="659" spans="16:16" ht="12.5" x14ac:dyDescent="0.25">
      <c r="P659" s="187"/>
    </row>
    <row r="660" spans="16:16" ht="12.5" x14ac:dyDescent="0.25">
      <c r="P660" s="187"/>
    </row>
    <row r="661" spans="16:16" ht="12.5" x14ac:dyDescent="0.25">
      <c r="P661" s="187"/>
    </row>
    <row r="662" spans="16:16" ht="12.5" x14ac:dyDescent="0.25">
      <c r="P662" s="187"/>
    </row>
    <row r="663" spans="16:16" ht="12.5" x14ac:dyDescent="0.25">
      <c r="P663" s="187"/>
    </row>
    <row r="664" spans="16:16" ht="12.5" x14ac:dyDescent="0.25">
      <c r="P664" s="187"/>
    </row>
    <row r="665" spans="16:16" ht="12.5" x14ac:dyDescent="0.25">
      <c r="P665" s="187"/>
    </row>
    <row r="666" spans="16:16" ht="12.5" x14ac:dyDescent="0.25">
      <c r="P666" s="187"/>
    </row>
    <row r="667" spans="16:16" ht="12.5" x14ac:dyDescent="0.25">
      <c r="P667" s="187"/>
    </row>
    <row r="668" spans="16:16" ht="12.5" x14ac:dyDescent="0.25">
      <c r="P668" s="187"/>
    </row>
    <row r="669" spans="16:16" ht="12.5" x14ac:dyDescent="0.25">
      <c r="P669" s="187"/>
    </row>
    <row r="670" spans="16:16" ht="12.5" x14ac:dyDescent="0.25">
      <c r="P670" s="187"/>
    </row>
    <row r="671" spans="16:16" ht="12.5" x14ac:dyDescent="0.25">
      <c r="P671" s="187"/>
    </row>
    <row r="672" spans="16:16" ht="12.5" x14ac:dyDescent="0.25">
      <c r="P672" s="187"/>
    </row>
    <row r="673" spans="16:16" ht="12.5" x14ac:dyDescent="0.25">
      <c r="P673" s="187"/>
    </row>
    <row r="674" spans="16:16" ht="12.5" x14ac:dyDescent="0.25">
      <c r="P674" s="187"/>
    </row>
    <row r="675" spans="16:16" ht="12.5" x14ac:dyDescent="0.25">
      <c r="P675" s="187"/>
    </row>
    <row r="676" spans="16:16" ht="12.5" x14ac:dyDescent="0.25">
      <c r="P676" s="187"/>
    </row>
    <row r="677" spans="16:16" ht="12.5" x14ac:dyDescent="0.25">
      <c r="P677" s="187"/>
    </row>
    <row r="678" spans="16:16" ht="12.5" x14ac:dyDescent="0.25">
      <c r="P678" s="187"/>
    </row>
    <row r="679" spans="16:16" ht="12.5" x14ac:dyDescent="0.25">
      <c r="P679" s="187"/>
    </row>
    <row r="680" spans="16:16" ht="12.5" x14ac:dyDescent="0.25">
      <c r="P680" s="187"/>
    </row>
    <row r="681" spans="16:16" ht="12.5" x14ac:dyDescent="0.25">
      <c r="P681" s="187"/>
    </row>
    <row r="682" spans="16:16" ht="12.5" x14ac:dyDescent="0.25">
      <c r="P682" s="187"/>
    </row>
    <row r="683" spans="16:16" ht="12.5" x14ac:dyDescent="0.25">
      <c r="P683" s="187"/>
    </row>
    <row r="684" spans="16:16" ht="12.5" x14ac:dyDescent="0.25">
      <c r="P684" s="187"/>
    </row>
    <row r="685" spans="16:16" ht="12.5" x14ac:dyDescent="0.25">
      <c r="P685" s="187"/>
    </row>
    <row r="686" spans="16:16" ht="12.5" x14ac:dyDescent="0.25">
      <c r="P686" s="187"/>
    </row>
    <row r="687" spans="16:16" ht="12.5" x14ac:dyDescent="0.25">
      <c r="P687" s="187"/>
    </row>
    <row r="688" spans="16:16" ht="12.5" x14ac:dyDescent="0.25">
      <c r="P688" s="187"/>
    </row>
    <row r="689" spans="16:16" ht="12.5" x14ac:dyDescent="0.25">
      <c r="P689" s="187"/>
    </row>
    <row r="690" spans="16:16" ht="12.5" x14ac:dyDescent="0.25">
      <c r="P690" s="187"/>
    </row>
    <row r="691" spans="16:16" ht="12.5" x14ac:dyDescent="0.25">
      <c r="P691" s="187"/>
    </row>
    <row r="692" spans="16:16" ht="12.5" x14ac:dyDescent="0.25">
      <c r="P692" s="187"/>
    </row>
    <row r="693" spans="16:16" ht="12.5" x14ac:dyDescent="0.25">
      <c r="P693" s="187"/>
    </row>
    <row r="694" spans="16:16" ht="12.5" x14ac:dyDescent="0.25">
      <c r="P694" s="187"/>
    </row>
    <row r="695" spans="16:16" ht="12.5" x14ac:dyDescent="0.25">
      <c r="P695" s="187"/>
    </row>
    <row r="696" spans="16:16" ht="12.5" x14ac:dyDescent="0.25">
      <c r="P696" s="187"/>
    </row>
    <row r="697" spans="16:16" ht="12.5" x14ac:dyDescent="0.25">
      <c r="P697" s="187"/>
    </row>
    <row r="698" spans="16:16" ht="12.5" x14ac:dyDescent="0.25">
      <c r="P698" s="187"/>
    </row>
    <row r="699" spans="16:16" ht="12.5" x14ac:dyDescent="0.25">
      <c r="P699" s="187"/>
    </row>
    <row r="700" spans="16:16" ht="12.5" x14ac:dyDescent="0.25">
      <c r="P700" s="187"/>
    </row>
    <row r="701" spans="16:16" ht="12.5" x14ac:dyDescent="0.25">
      <c r="P701" s="187"/>
    </row>
    <row r="702" spans="16:16" ht="12.5" x14ac:dyDescent="0.25">
      <c r="P702" s="187"/>
    </row>
    <row r="703" spans="16:16" ht="12.5" x14ac:dyDescent="0.25">
      <c r="P703" s="187"/>
    </row>
    <row r="704" spans="16:16" ht="12.5" x14ac:dyDescent="0.25">
      <c r="P704" s="187"/>
    </row>
    <row r="705" spans="16:16" ht="12.5" x14ac:dyDescent="0.25">
      <c r="P705" s="187"/>
    </row>
    <row r="706" spans="16:16" ht="12.5" x14ac:dyDescent="0.25">
      <c r="P706" s="187"/>
    </row>
    <row r="707" spans="16:16" ht="12.5" x14ac:dyDescent="0.25">
      <c r="P707" s="187"/>
    </row>
    <row r="708" spans="16:16" ht="12.5" x14ac:dyDescent="0.25">
      <c r="P708" s="187"/>
    </row>
    <row r="709" spans="16:16" ht="12.5" x14ac:dyDescent="0.25">
      <c r="P709" s="187"/>
    </row>
    <row r="710" spans="16:16" ht="12.5" x14ac:dyDescent="0.25">
      <c r="P710" s="187"/>
    </row>
    <row r="711" spans="16:16" ht="12.5" x14ac:dyDescent="0.25">
      <c r="P711" s="187"/>
    </row>
    <row r="712" spans="16:16" ht="12.5" x14ac:dyDescent="0.25">
      <c r="P712" s="187"/>
    </row>
    <row r="713" spans="16:16" ht="12.5" x14ac:dyDescent="0.25">
      <c r="P713" s="187"/>
    </row>
    <row r="714" spans="16:16" ht="12.5" x14ac:dyDescent="0.25">
      <c r="P714" s="187"/>
    </row>
    <row r="715" spans="16:16" ht="12.5" x14ac:dyDescent="0.25">
      <c r="P715" s="187"/>
    </row>
    <row r="716" spans="16:16" ht="12.5" x14ac:dyDescent="0.25">
      <c r="P716" s="187"/>
    </row>
    <row r="717" spans="16:16" ht="12.5" x14ac:dyDescent="0.25">
      <c r="P717" s="187"/>
    </row>
    <row r="718" spans="16:16" ht="12.5" x14ac:dyDescent="0.25">
      <c r="P718" s="187"/>
    </row>
    <row r="719" spans="16:16" ht="12.5" x14ac:dyDescent="0.25">
      <c r="P719" s="187"/>
    </row>
    <row r="720" spans="16:16" ht="12.5" x14ac:dyDescent="0.25">
      <c r="P720" s="187"/>
    </row>
    <row r="721" spans="16:16" ht="12.5" x14ac:dyDescent="0.25">
      <c r="P721" s="187"/>
    </row>
    <row r="722" spans="16:16" ht="12.5" x14ac:dyDescent="0.25">
      <c r="P722" s="187"/>
    </row>
    <row r="723" spans="16:16" ht="12.5" x14ac:dyDescent="0.25">
      <c r="P723" s="187"/>
    </row>
    <row r="724" spans="16:16" ht="12.5" x14ac:dyDescent="0.25">
      <c r="P724" s="187"/>
    </row>
    <row r="725" spans="16:16" ht="12.5" x14ac:dyDescent="0.25">
      <c r="P725" s="187"/>
    </row>
    <row r="726" spans="16:16" ht="12.5" x14ac:dyDescent="0.25">
      <c r="P726" s="187"/>
    </row>
    <row r="727" spans="16:16" ht="12.5" x14ac:dyDescent="0.25">
      <c r="P727" s="187"/>
    </row>
    <row r="728" spans="16:16" ht="12.5" x14ac:dyDescent="0.25">
      <c r="P728" s="187"/>
    </row>
    <row r="729" spans="16:16" ht="12.5" x14ac:dyDescent="0.25">
      <c r="P729" s="187"/>
    </row>
    <row r="730" spans="16:16" ht="12.5" x14ac:dyDescent="0.25">
      <c r="P730" s="187"/>
    </row>
    <row r="731" spans="16:16" ht="12.5" x14ac:dyDescent="0.25">
      <c r="P731" s="187"/>
    </row>
    <row r="732" spans="16:16" ht="12.5" x14ac:dyDescent="0.25">
      <c r="P732" s="187"/>
    </row>
    <row r="733" spans="16:16" ht="12.5" x14ac:dyDescent="0.25">
      <c r="P733" s="187"/>
    </row>
    <row r="734" spans="16:16" ht="12.5" x14ac:dyDescent="0.25">
      <c r="P734" s="187"/>
    </row>
    <row r="735" spans="16:16" ht="12.5" x14ac:dyDescent="0.25">
      <c r="P735" s="187"/>
    </row>
    <row r="736" spans="16:16" ht="12.5" x14ac:dyDescent="0.25">
      <c r="P736" s="187"/>
    </row>
    <row r="737" spans="16:16" ht="12.5" x14ac:dyDescent="0.25">
      <c r="P737" s="187"/>
    </row>
    <row r="738" spans="16:16" ht="12.5" x14ac:dyDescent="0.25">
      <c r="P738" s="187"/>
    </row>
    <row r="739" spans="16:16" ht="12.5" x14ac:dyDescent="0.25">
      <c r="P739" s="187"/>
    </row>
    <row r="740" spans="16:16" ht="12.5" x14ac:dyDescent="0.25">
      <c r="P740" s="187"/>
    </row>
    <row r="741" spans="16:16" ht="12.5" x14ac:dyDescent="0.25">
      <c r="P741" s="187"/>
    </row>
    <row r="742" spans="16:16" ht="12.5" x14ac:dyDescent="0.25">
      <c r="P742" s="187"/>
    </row>
    <row r="743" spans="16:16" ht="12.5" x14ac:dyDescent="0.25">
      <c r="P743" s="187"/>
    </row>
    <row r="744" spans="16:16" ht="12.5" x14ac:dyDescent="0.25">
      <c r="P744" s="187"/>
    </row>
    <row r="745" spans="16:16" ht="12.5" x14ac:dyDescent="0.25">
      <c r="P745" s="187"/>
    </row>
    <row r="746" spans="16:16" ht="12.5" x14ac:dyDescent="0.25">
      <c r="P746" s="187"/>
    </row>
    <row r="747" spans="16:16" ht="12.5" x14ac:dyDescent="0.25">
      <c r="P747" s="187"/>
    </row>
    <row r="748" spans="16:16" ht="12.5" x14ac:dyDescent="0.25">
      <c r="P748" s="187"/>
    </row>
    <row r="749" spans="16:16" ht="12.5" x14ac:dyDescent="0.25">
      <c r="P749" s="187"/>
    </row>
    <row r="750" spans="16:16" ht="12.5" x14ac:dyDescent="0.25">
      <c r="P750" s="187"/>
    </row>
    <row r="751" spans="16:16" ht="12.5" x14ac:dyDescent="0.25">
      <c r="P751" s="187"/>
    </row>
    <row r="752" spans="16:16" ht="12.5" x14ac:dyDescent="0.25">
      <c r="P752" s="187"/>
    </row>
    <row r="753" spans="16:16" ht="12.5" x14ac:dyDescent="0.25">
      <c r="P753" s="187"/>
    </row>
    <row r="754" spans="16:16" ht="12.5" x14ac:dyDescent="0.25">
      <c r="P754" s="187"/>
    </row>
    <row r="755" spans="16:16" ht="12.5" x14ac:dyDescent="0.25">
      <c r="P755" s="187"/>
    </row>
    <row r="756" spans="16:16" ht="12.5" x14ac:dyDescent="0.25">
      <c r="P756" s="187"/>
    </row>
    <row r="757" spans="16:16" ht="12.5" x14ac:dyDescent="0.25">
      <c r="P757" s="187"/>
    </row>
    <row r="758" spans="16:16" ht="12.5" x14ac:dyDescent="0.25">
      <c r="P758" s="187"/>
    </row>
    <row r="759" spans="16:16" ht="12.5" x14ac:dyDescent="0.25">
      <c r="P759" s="187"/>
    </row>
    <row r="760" spans="16:16" ht="12.5" x14ac:dyDescent="0.25">
      <c r="P760" s="187"/>
    </row>
    <row r="761" spans="16:16" ht="12.5" x14ac:dyDescent="0.25">
      <c r="P761" s="187"/>
    </row>
    <row r="762" spans="16:16" ht="12.5" x14ac:dyDescent="0.25">
      <c r="P762" s="187"/>
    </row>
    <row r="763" spans="16:16" ht="12.5" x14ac:dyDescent="0.25">
      <c r="P763" s="187"/>
    </row>
    <row r="764" spans="16:16" ht="12.5" x14ac:dyDescent="0.25">
      <c r="P764" s="187"/>
    </row>
    <row r="765" spans="16:16" ht="12.5" x14ac:dyDescent="0.25">
      <c r="P765" s="187"/>
    </row>
    <row r="766" spans="16:16" ht="12.5" x14ac:dyDescent="0.25">
      <c r="P766" s="187"/>
    </row>
    <row r="767" spans="16:16" ht="12.5" x14ac:dyDescent="0.25">
      <c r="P767" s="187"/>
    </row>
    <row r="768" spans="16:16" ht="12.5" x14ac:dyDescent="0.25">
      <c r="P768" s="187"/>
    </row>
    <row r="769" spans="16:16" ht="12.5" x14ac:dyDescent="0.25">
      <c r="P769" s="187"/>
    </row>
    <row r="770" spans="16:16" ht="12.5" x14ac:dyDescent="0.25">
      <c r="P770" s="187"/>
    </row>
    <row r="771" spans="16:16" ht="12.5" x14ac:dyDescent="0.25">
      <c r="P771" s="187"/>
    </row>
    <row r="772" spans="16:16" ht="12.5" x14ac:dyDescent="0.25">
      <c r="P772" s="187"/>
    </row>
    <row r="773" spans="16:16" ht="12.5" x14ac:dyDescent="0.25">
      <c r="P773" s="187"/>
    </row>
    <row r="774" spans="16:16" ht="12.5" x14ac:dyDescent="0.25">
      <c r="P774" s="187"/>
    </row>
    <row r="775" spans="16:16" ht="12.5" x14ac:dyDescent="0.25">
      <c r="P775" s="187"/>
    </row>
    <row r="776" spans="16:16" ht="12.5" x14ac:dyDescent="0.25">
      <c r="P776" s="187"/>
    </row>
    <row r="777" spans="16:16" ht="12.5" x14ac:dyDescent="0.25">
      <c r="P777" s="187"/>
    </row>
    <row r="778" spans="16:16" ht="12.5" x14ac:dyDescent="0.25">
      <c r="P778" s="187"/>
    </row>
    <row r="779" spans="16:16" ht="12.5" x14ac:dyDescent="0.25">
      <c r="P779" s="187"/>
    </row>
    <row r="780" spans="16:16" ht="12.5" x14ac:dyDescent="0.25">
      <c r="P780" s="187"/>
    </row>
    <row r="781" spans="16:16" ht="12.5" x14ac:dyDescent="0.25">
      <c r="P781" s="187"/>
    </row>
    <row r="782" spans="16:16" ht="12.5" x14ac:dyDescent="0.25">
      <c r="P782" s="187"/>
    </row>
    <row r="783" spans="16:16" ht="12.5" x14ac:dyDescent="0.25">
      <c r="P783" s="187"/>
    </row>
    <row r="784" spans="16:16" ht="12.5" x14ac:dyDescent="0.25">
      <c r="P784" s="187"/>
    </row>
    <row r="785" spans="16:16" ht="12.5" x14ac:dyDescent="0.25">
      <c r="P785" s="187"/>
    </row>
    <row r="786" spans="16:16" ht="12.5" x14ac:dyDescent="0.25">
      <c r="P786" s="187"/>
    </row>
    <row r="787" spans="16:16" ht="12.5" x14ac:dyDescent="0.25">
      <c r="P787" s="187"/>
    </row>
    <row r="788" spans="16:16" ht="12.5" x14ac:dyDescent="0.25">
      <c r="P788" s="187"/>
    </row>
    <row r="789" spans="16:16" ht="12.5" x14ac:dyDescent="0.25">
      <c r="P789" s="187"/>
    </row>
    <row r="790" spans="16:16" ht="12.5" x14ac:dyDescent="0.25">
      <c r="P790" s="187"/>
    </row>
    <row r="791" spans="16:16" ht="12.5" x14ac:dyDescent="0.25">
      <c r="P791" s="187"/>
    </row>
    <row r="792" spans="16:16" ht="12.5" x14ac:dyDescent="0.25">
      <c r="P792" s="187"/>
    </row>
    <row r="793" spans="16:16" ht="12.5" x14ac:dyDescent="0.25">
      <c r="P793" s="187"/>
    </row>
    <row r="794" spans="16:16" ht="12.5" x14ac:dyDescent="0.25">
      <c r="P794" s="187"/>
    </row>
    <row r="795" spans="16:16" ht="12.5" x14ac:dyDescent="0.25">
      <c r="P795" s="187"/>
    </row>
    <row r="796" spans="16:16" ht="12.5" x14ac:dyDescent="0.25">
      <c r="P796" s="187"/>
    </row>
    <row r="797" spans="16:16" ht="12.5" x14ac:dyDescent="0.25">
      <c r="P797" s="187"/>
    </row>
    <row r="798" spans="16:16" ht="12.5" x14ac:dyDescent="0.25">
      <c r="P798" s="187"/>
    </row>
    <row r="799" spans="16:16" ht="12.5" x14ac:dyDescent="0.25">
      <c r="P799" s="187"/>
    </row>
    <row r="800" spans="16:16" ht="12.5" x14ac:dyDescent="0.25">
      <c r="P800" s="187"/>
    </row>
    <row r="801" spans="16:16" ht="12.5" x14ac:dyDescent="0.25">
      <c r="P801" s="187"/>
    </row>
    <row r="802" spans="16:16" ht="12.5" x14ac:dyDescent="0.25">
      <c r="P802" s="187"/>
    </row>
    <row r="803" spans="16:16" ht="12.5" x14ac:dyDescent="0.25">
      <c r="P803" s="187"/>
    </row>
    <row r="804" spans="16:16" ht="12.5" x14ac:dyDescent="0.25">
      <c r="P804" s="187"/>
    </row>
    <row r="805" spans="16:16" ht="12.5" x14ac:dyDescent="0.25">
      <c r="P805" s="187"/>
    </row>
    <row r="806" spans="16:16" ht="12.5" x14ac:dyDescent="0.25">
      <c r="P806" s="187"/>
    </row>
    <row r="807" spans="16:16" ht="12.5" x14ac:dyDescent="0.25">
      <c r="P807" s="187"/>
    </row>
    <row r="808" spans="16:16" ht="12.5" x14ac:dyDescent="0.25">
      <c r="P808" s="187"/>
    </row>
    <row r="809" spans="16:16" ht="12.5" x14ac:dyDescent="0.25">
      <c r="P809" s="187"/>
    </row>
    <row r="810" spans="16:16" ht="12.5" x14ac:dyDescent="0.25">
      <c r="P810" s="187"/>
    </row>
    <row r="811" spans="16:16" ht="12.5" x14ac:dyDescent="0.25">
      <c r="P811" s="187"/>
    </row>
    <row r="812" spans="16:16" ht="12.5" x14ac:dyDescent="0.25">
      <c r="P812" s="187"/>
    </row>
    <row r="813" spans="16:16" ht="12.5" x14ac:dyDescent="0.25">
      <c r="P813" s="187"/>
    </row>
    <row r="814" spans="16:16" ht="12.5" x14ac:dyDescent="0.25">
      <c r="P814" s="187"/>
    </row>
    <row r="815" spans="16:16" ht="12.5" x14ac:dyDescent="0.25">
      <c r="P815" s="187"/>
    </row>
    <row r="816" spans="16:16" ht="12.5" x14ac:dyDescent="0.25">
      <c r="P816" s="187"/>
    </row>
    <row r="817" spans="16:16" ht="12.5" x14ac:dyDescent="0.25">
      <c r="P817" s="187"/>
    </row>
    <row r="818" spans="16:16" ht="12.5" x14ac:dyDescent="0.25">
      <c r="P818" s="187"/>
    </row>
    <row r="819" spans="16:16" ht="12.5" x14ac:dyDescent="0.25">
      <c r="P819" s="187"/>
    </row>
    <row r="820" spans="16:16" ht="12.5" x14ac:dyDescent="0.25">
      <c r="P820" s="187"/>
    </row>
    <row r="821" spans="16:16" ht="12.5" x14ac:dyDescent="0.25">
      <c r="P821" s="187"/>
    </row>
    <row r="822" spans="16:16" ht="12.5" x14ac:dyDescent="0.25">
      <c r="P822" s="187"/>
    </row>
    <row r="823" spans="16:16" ht="12.5" x14ac:dyDescent="0.25">
      <c r="P823" s="187"/>
    </row>
    <row r="824" spans="16:16" ht="12.5" x14ac:dyDescent="0.25">
      <c r="P824" s="187"/>
    </row>
    <row r="825" spans="16:16" ht="12.5" x14ac:dyDescent="0.25">
      <c r="P825" s="187"/>
    </row>
    <row r="826" spans="16:16" ht="12.5" x14ac:dyDescent="0.25">
      <c r="P826" s="187"/>
    </row>
    <row r="827" spans="16:16" ht="12.5" x14ac:dyDescent="0.25">
      <c r="P827" s="187"/>
    </row>
    <row r="828" spans="16:16" ht="12.5" x14ac:dyDescent="0.25">
      <c r="P828" s="187"/>
    </row>
    <row r="829" spans="16:16" ht="12.5" x14ac:dyDescent="0.25">
      <c r="P829" s="187"/>
    </row>
    <row r="830" spans="16:16" ht="12.5" x14ac:dyDescent="0.25">
      <c r="P830" s="187"/>
    </row>
    <row r="831" spans="16:16" ht="12.5" x14ac:dyDescent="0.25">
      <c r="P831" s="187"/>
    </row>
    <row r="832" spans="16:16" ht="12.5" x14ac:dyDescent="0.25">
      <c r="P832" s="187"/>
    </row>
    <row r="833" spans="16:16" ht="12.5" x14ac:dyDescent="0.25">
      <c r="P833" s="187"/>
    </row>
    <row r="834" spans="16:16" ht="12.5" x14ac:dyDescent="0.25">
      <c r="P834" s="187"/>
    </row>
    <row r="835" spans="16:16" ht="12.5" x14ac:dyDescent="0.25">
      <c r="P835" s="187"/>
    </row>
    <row r="836" spans="16:16" ht="12.5" x14ac:dyDescent="0.25">
      <c r="P836" s="187"/>
    </row>
    <row r="837" spans="16:16" ht="12.5" x14ac:dyDescent="0.25">
      <c r="P837" s="187"/>
    </row>
    <row r="838" spans="16:16" ht="12.5" x14ac:dyDescent="0.25">
      <c r="P838" s="187"/>
    </row>
    <row r="839" spans="16:16" ht="12.5" x14ac:dyDescent="0.25">
      <c r="P839" s="187"/>
    </row>
    <row r="840" spans="16:16" ht="12.5" x14ac:dyDescent="0.25">
      <c r="P840" s="187"/>
    </row>
    <row r="841" spans="16:16" ht="12.5" x14ac:dyDescent="0.25">
      <c r="P841" s="187"/>
    </row>
    <row r="842" spans="16:16" ht="12.5" x14ac:dyDescent="0.25">
      <c r="P842" s="187"/>
    </row>
    <row r="843" spans="16:16" ht="12.5" x14ac:dyDescent="0.25">
      <c r="P843" s="187"/>
    </row>
    <row r="844" spans="16:16" ht="12.5" x14ac:dyDescent="0.25">
      <c r="P844" s="187"/>
    </row>
    <row r="845" spans="16:16" ht="12.5" x14ac:dyDescent="0.25">
      <c r="P845" s="187"/>
    </row>
    <row r="846" spans="16:16" ht="12.5" x14ac:dyDescent="0.25">
      <c r="P846" s="187"/>
    </row>
    <row r="847" spans="16:16" ht="12.5" x14ac:dyDescent="0.25">
      <c r="P847" s="187"/>
    </row>
    <row r="848" spans="16:16" ht="12.5" x14ac:dyDescent="0.25">
      <c r="P848" s="187"/>
    </row>
    <row r="849" spans="16:16" ht="12.5" x14ac:dyDescent="0.25">
      <c r="P849" s="187"/>
    </row>
    <row r="850" spans="16:16" ht="12.5" x14ac:dyDescent="0.25">
      <c r="P850" s="187"/>
    </row>
    <row r="851" spans="16:16" ht="12.5" x14ac:dyDescent="0.25">
      <c r="P851" s="187"/>
    </row>
    <row r="852" spans="16:16" ht="12.5" x14ac:dyDescent="0.25">
      <c r="P852" s="187"/>
    </row>
    <row r="853" spans="16:16" ht="12.5" x14ac:dyDescent="0.25">
      <c r="P853" s="187"/>
    </row>
    <row r="854" spans="16:16" ht="12.5" x14ac:dyDescent="0.25">
      <c r="P854" s="187"/>
    </row>
    <row r="855" spans="16:16" ht="12.5" x14ac:dyDescent="0.25">
      <c r="P855" s="187"/>
    </row>
    <row r="856" spans="16:16" ht="12.5" x14ac:dyDescent="0.25">
      <c r="P856" s="187"/>
    </row>
    <row r="857" spans="16:16" ht="12.5" x14ac:dyDescent="0.25">
      <c r="P857" s="187"/>
    </row>
    <row r="858" spans="16:16" ht="12.5" x14ac:dyDescent="0.25">
      <c r="P858" s="187"/>
    </row>
    <row r="859" spans="16:16" ht="12.5" x14ac:dyDescent="0.25">
      <c r="P859" s="187"/>
    </row>
    <row r="860" spans="16:16" ht="12.5" x14ac:dyDescent="0.25">
      <c r="P860" s="187"/>
    </row>
    <row r="861" spans="16:16" ht="12.5" x14ac:dyDescent="0.25">
      <c r="P861" s="187"/>
    </row>
    <row r="862" spans="16:16" ht="12.5" x14ac:dyDescent="0.25">
      <c r="P862" s="187"/>
    </row>
    <row r="863" spans="16:16" ht="12.5" x14ac:dyDescent="0.25">
      <c r="P863" s="187"/>
    </row>
    <row r="864" spans="16:16" ht="12.5" x14ac:dyDescent="0.25">
      <c r="P864" s="187"/>
    </row>
    <row r="865" spans="16:16" ht="12.5" x14ac:dyDescent="0.25">
      <c r="P865" s="187"/>
    </row>
    <row r="866" spans="16:16" ht="12.5" x14ac:dyDescent="0.25">
      <c r="P866" s="187"/>
    </row>
    <row r="867" spans="16:16" ht="12.5" x14ac:dyDescent="0.25">
      <c r="P867" s="187"/>
    </row>
    <row r="868" spans="16:16" ht="12.5" x14ac:dyDescent="0.25">
      <c r="P868" s="187"/>
    </row>
    <row r="869" spans="16:16" ht="12.5" x14ac:dyDescent="0.25">
      <c r="P869" s="187"/>
    </row>
    <row r="870" spans="16:16" ht="12.5" x14ac:dyDescent="0.25">
      <c r="P870" s="187"/>
    </row>
    <row r="871" spans="16:16" ht="12.5" x14ac:dyDescent="0.25">
      <c r="P871" s="187"/>
    </row>
    <row r="872" spans="16:16" ht="12.5" x14ac:dyDescent="0.25">
      <c r="P872" s="187"/>
    </row>
    <row r="873" spans="16:16" ht="12.5" x14ac:dyDescent="0.25">
      <c r="P873" s="187"/>
    </row>
    <row r="874" spans="16:16" ht="12.5" x14ac:dyDescent="0.25">
      <c r="P874" s="187"/>
    </row>
    <row r="875" spans="16:16" ht="12.5" x14ac:dyDescent="0.25">
      <c r="P875" s="187"/>
    </row>
    <row r="876" spans="16:16" ht="12.5" x14ac:dyDescent="0.25">
      <c r="P876" s="187"/>
    </row>
    <row r="877" spans="16:16" ht="12.5" x14ac:dyDescent="0.25">
      <c r="P877" s="187"/>
    </row>
    <row r="878" spans="16:16" ht="12.5" x14ac:dyDescent="0.25">
      <c r="P878" s="187"/>
    </row>
    <row r="879" spans="16:16" ht="12.5" x14ac:dyDescent="0.25">
      <c r="P879" s="187"/>
    </row>
    <row r="880" spans="16:16" ht="12.5" x14ac:dyDescent="0.25">
      <c r="P880" s="187"/>
    </row>
    <row r="881" spans="16:16" ht="12.5" x14ac:dyDescent="0.25">
      <c r="P881" s="187"/>
    </row>
    <row r="882" spans="16:16" ht="12.5" x14ac:dyDescent="0.25">
      <c r="P882" s="187"/>
    </row>
    <row r="883" spans="16:16" ht="12.5" x14ac:dyDescent="0.25">
      <c r="P883" s="187"/>
    </row>
    <row r="884" spans="16:16" ht="12.5" x14ac:dyDescent="0.25">
      <c r="P884" s="187"/>
    </row>
    <row r="885" spans="16:16" ht="12.5" x14ac:dyDescent="0.25">
      <c r="P885" s="187"/>
    </row>
    <row r="886" spans="16:16" ht="12.5" x14ac:dyDescent="0.25">
      <c r="P886" s="187"/>
    </row>
    <row r="887" spans="16:16" ht="12.5" x14ac:dyDescent="0.25">
      <c r="P887" s="187"/>
    </row>
    <row r="888" spans="16:16" ht="12.5" x14ac:dyDescent="0.25">
      <c r="P888" s="187"/>
    </row>
    <row r="889" spans="16:16" ht="12.5" x14ac:dyDescent="0.25">
      <c r="P889" s="187"/>
    </row>
    <row r="890" spans="16:16" ht="12.5" x14ac:dyDescent="0.25">
      <c r="P890" s="187"/>
    </row>
    <row r="891" spans="16:16" ht="12.5" x14ac:dyDescent="0.25">
      <c r="P891" s="187"/>
    </row>
    <row r="892" spans="16:16" ht="12.5" x14ac:dyDescent="0.25">
      <c r="P892" s="187"/>
    </row>
    <row r="893" spans="16:16" ht="12.5" x14ac:dyDescent="0.25">
      <c r="P893" s="187"/>
    </row>
    <row r="894" spans="16:16" ht="12.5" x14ac:dyDescent="0.25">
      <c r="P894" s="187"/>
    </row>
    <row r="895" spans="16:16" ht="12.5" x14ac:dyDescent="0.25">
      <c r="P895" s="187"/>
    </row>
    <row r="896" spans="16:16" ht="12.5" x14ac:dyDescent="0.25">
      <c r="P896" s="187"/>
    </row>
    <row r="897" spans="16:16" ht="12.5" x14ac:dyDescent="0.25">
      <c r="P897" s="187"/>
    </row>
    <row r="898" spans="16:16" ht="12.5" x14ac:dyDescent="0.25">
      <c r="P898" s="187"/>
    </row>
    <row r="899" spans="16:16" ht="12.5" x14ac:dyDescent="0.25">
      <c r="P899" s="187"/>
    </row>
    <row r="900" spans="16:16" ht="12.5" x14ac:dyDescent="0.25">
      <c r="P900" s="187"/>
    </row>
    <row r="901" spans="16:16" ht="12.5" x14ac:dyDescent="0.25">
      <c r="P901" s="187"/>
    </row>
    <row r="902" spans="16:16" ht="12.5" x14ac:dyDescent="0.25">
      <c r="P902" s="187"/>
    </row>
    <row r="903" spans="16:16" ht="12.5" x14ac:dyDescent="0.25">
      <c r="P903" s="187"/>
    </row>
    <row r="904" spans="16:16" ht="12.5" x14ac:dyDescent="0.25">
      <c r="P904" s="187"/>
    </row>
    <row r="905" spans="16:16" ht="12.5" x14ac:dyDescent="0.25">
      <c r="P905" s="187"/>
    </row>
    <row r="906" spans="16:16" ht="12.5" x14ac:dyDescent="0.25">
      <c r="P906" s="187"/>
    </row>
    <row r="907" spans="16:16" ht="12.5" x14ac:dyDescent="0.25">
      <c r="P907" s="187"/>
    </row>
    <row r="908" spans="16:16" ht="12.5" x14ac:dyDescent="0.25">
      <c r="P908" s="187"/>
    </row>
    <row r="909" spans="16:16" ht="12.5" x14ac:dyDescent="0.25">
      <c r="P909" s="187"/>
    </row>
    <row r="910" spans="16:16" ht="12.5" x14ac:dyDescent="0.25">
      <c r="P910" s="187"/>
    </row>
    <row r="911" spans="16:16" ht="12.5" x14ac:dyDescent="0.25">
      <c r="P911" s="187"/>
    </row>
    <row r="912" spans="16:16" ht="12.5" x14ac:dyDescent="0.25">
      <c r="P912" s="187"/>
    </row>
    <row r="913" spans="16:16" ht="12.5" x14ac:dyDescent="0.25">
      <c r="P913" s="187"/>
    </row>
    <row r="914" spans="16:16" ht="12.5" x14ac:dyDescent="0.25">
      <c r="P914" s="187"/>
    </row>
    <row r="915" spans="16:16" ht="12.5" x14ac:dyDescent="0.25">
      <c r="P915" s="187"/>
    </row>
    <row r="916" spans="16:16" ht="12.5" x14ac:dyDescent="0.25">
      <c r="P916" s="187"/>
    </row>
    <row r="917" spans="16:16" ht="12.5" x14ac:dyDescent="0.25">
      <c r="P917" s="187"/>
    </row>
    <row r="918" spans="16:16" ht="12.5" x14ac:dyDescent="0.25">
      <c r="P918" s="187"/>
    </row>
    <row r="919" spans="16:16" ht="12.5" x14ac:dyDescent="0.25">
      <c r="P919" s="187"/>
    </row>
    <row r="920" spans="16:16" ht="12.5" x14ac:dyDescent="0.25">
      <c r="P920" s="187"/>
    </row>
    <row r="921" spans="16:16" ht="12.5" x14ac:dyDescent="0.25">
      <c r="P921" s="187"/>
    </row>
    <row r="922" spans="16:16" ht="12.5" x14ac:dyDescent="0.25">
      <c r="P922" s="187"/>
    </row>
    <row r="923" spans="16:16" ht="12.5" x14ac:dyDescent="0.25">
      <c r="P923" s="187"/>
    </row>
    <row r="924" spans="16:16" ht="12.5" x14ac:dyDescent="0.25">
      <c r="P924" s="187"/>
    </row>
    <row r="925" spans="16:16" ht="12.5" x14ac:dyDescent="0.25">
      <c r="P925" s="187"/>
    </row>
    <row r="926" spans="16:16" ht="12.5" x14ac:dyDescent="0.25">
      <c r="P926" s="187"/>
    </row>
    <row r="927" spans="16:16" ht="12.5" x14ac:dyDescent="0.25">
      <c r="P927" s="187"/>
    </row>
    <row r="928" spans="16:16" ht="12.5" x14ac:dyDescent="0.25">
      <c r="P928" s="187"/>
    </row>
    <row r="929" spans="16:16" ht="12.5" x14ac:dyDescent="0.25">
      <c r="P929" s="187"/>
    </row>
    <row r="930" spans="16:16" ht="12.5" x14ac:dyDescent="0.25">
      <c r="P930" s="187"/>
    </row>
    <row r="931" spans="16:16" ht="12.5" x14ac:dyDescent="0.25">
      <c r="P931" s="187"/>
    </row>
    <row r="932" spans="16:16" ht="12.5" x14ac:dyDescent="0.25">
      <c r="P932" s="187"/>
    </row>
    <row r="933" spans="16:16" ht="12.5" x14ac:dyDescent="0.25">
      <c r="P933" s="187"/>
    </row>
    <row r="934" spans="16:16" ht="12.5" x14ac:dyDescent="0.25">
      <c r="P934" s="187"/>
    </row>
    <row r="935" spans="16:16" ht="12.5" x14ac:dyDescent="0.25">
      <c r="P935" s="187"/>
    </row>
    <row r="936" spans="16:16" ht="12.5" x14ac:dyDescent="0.25">
      <c r="P936" s="187"/>
    </row>
    <row r="937" spans="16:16" ht="12.5" x14ac:dyDescent="0.25">
      <c r="P937" s="187"/>
    </row>
    <row r="938" spans="16:16" ht="12.5" x14ac:dyDescent="0.25">
      <c r="P938" s="187"/>
    </row>
    <row r="939" spans="16:16" ht="12.5" x14ac:dyDescent="0.25">
      <c r="P939" s="187"/>
    </row>
    <row r="940" spans="16:16" ht="12.5" x14ac:dyDescent="0.25">
      <c r="P940" s="187"/>
    </row>
    <row r="941" spans="16:16" ht="12.5" x14ac:dyDescent="0.25">
      <c r="P941" s="187"/>
    </row>
    <row r="942" spans="16:16" ht="12.5" x14ac:dyDescent="0.25">
      <c r="P942" s="187"/>
    </row>
    <row r="943" spans="16:16" ht="12.5" x14ac:dyDescent="0.25">
      <c r="P943" s="187"/>
    </row>
    <row r="944" spans="16:16" ht="12.5" x14ac:dyDescent="0.25">
      <c r="P944" s="187"/>
    </row>
    <row r="945" spans="16:16" ht="12.5" x14ac:dyDescent="0.25">
      <c r="P945" s="187"/>
    </row>
    <row r="946" spans="16:16" ht="12.5" x14ac:dyDescent="0.25">
      <c r="P946" s="187"/>
    </row>
    <row r="947" spans="16:16" ht="12.5" x14ac:dyDescent="0.25">
      <c r="P947" s="187"/>
    </row>
    <row r="948" spans="16:16" ht="12.5" x14ac:dyDescent="0.25">
      <c r="P948" s="187"/>
    </row>
    <row r="949" spans="16:16" ht="12.5" x14ac:dyDescent="0.25">
      <c r="P949" s="187"/>
    </row>
    <row r="950" spans="16:16" ht="12.5" x14ac:dyDescent="0.25">
      <c r="P950" s="187"/>
    </row>
    <row r="951" spans="16:16" ht="12.5" x14ac:dyDescent="0.25">
      <c r="P951" s="187"/>
    </row>
    <row r="952" spans="16:16" ht="12.5" x14ac:dyDescent="0.25">
      <c r="P952" s="187"/>
    </row>
    <row r="953" spans="16:16" ht="12.5" x14ac:dyDescent="0.25">
      <c r="P953" s="187"/>
    </row>
    <row r="954" spans="16:16" ht="12.5" x14ac:dyDescent="0.25">
      <c r="P954" s="187"/>
    </row>
    <row r="955" spans="16:16" ht="12.5" x14ac:dyDescent="0.25">
      <c r="P955" s="187"/>
    </row>
    <row r="956" spans="16:16" ht="12.5" x14ac:dyDescent="0.25">
      <c r="P956" s="187"/>
    </row>
    <row r="957" spans="16:16" ht="12.5" x14ac:dyDescent="0.25">
      <c r="P957" s="187"/>
    </row>
    <row r="958" spans="16:16" ht="12.5" x14ac:dyDescent="0.25">
      <c r="P958" s="187"/>
    </row>
    <row r="959" spans="16:16" ht="12.5" x14ac:dyDescent="0.25">
      <c r="P959" s="187"/>
    </row>
    <row r="960" spans="16:16" ht="12.5" x14ac:dyDescent="0.25">
      <c r="P960" s="187"/>
    </row>
    <row r="961" spans="16:16" ht="12.5" x14ac:dyDescent="0.25">
      <c r="P961" s="187"/>
    </row>
    <row r="962" spans="16:16" ht="12.5" x14ac:dyDescent="0.25">
      <c r="P962" s="187"/>
    </row>
    <row r="963" spans="16:16" ht="12.5" x14ac:dyDescent="0.25">
      <c r="P963" s="187"/>
    </row>
    <row r="964" spans="16:16" ht="12.5" x14ac:dyDescent="0.25">
      <c r="P964" s="187"/>
    </row>
    <row r="965" spans="16:16" ht="12.5" x14ac:dyDescent="0.25">
      <c r="P965" s="187"/>
    </row>
    <row r="966" spans="16:16" ht="12.5" x14ac:dyDescent="0.25">
      <c r="P966" s="187"/>
    </row>
    <row r="967" spans="16:16" ht="12.5" x14ac:dyDescent="0.25">
      <c r="P967" s="187"/>
    </row>
    <row r="968" spans="16:16" ht="12.5" x14ac:dyDescent="0.25">
      <c r="P968" s="187"/>
    </row>
    <row r="969" spans="16:16" ht="12.5" x14ac:dyDescent="0.25">
      <c r="P969" s="187"/>
    </row>
    <row r="970" spans="16:16" ht="12.5" x14ac:dyDescent="0.25">
      <c r="P970" s="187"/>
    </row>
    <row r="971" spans="16:16" ht="12.5" x14ac:dyDescent="0.25">
      <c r="P971" s="187"/>
    </row>
    <row r="972" spans="16:16" ht="12.5" x14ac:dyDescent="0.25">
      <c r="P972" s="187"/>
    </row>
    <row r="973" spans="16:16" ht="12.5" x14ac:dyDescent="0.25">
      <c r="P973" s="187"/>
    </row>
    <row r="974" spans="16:16" ht="12.5" x14ac:dyDescent="0.25">
      <c r="P974" s="187"/>
    </row>
    <row r="975" spans="16:16" ht="12.5" x14ac:dyDescent="0.25">
      <c r="P975" s="187"/>
    </row>
    <row r="976" spans="16:16" ht="12.5" x14ac:dyDescent="0.25">
      <c r="P976" s="187"/>
    </row>
    <row r="977" spans="16:16" ht="12.5" x14ac:dyDescent="0.25">
      <c r="P977" s="187"/>
    </row>
    <row r="978" spans="16:16" ht="12.5" x14ac:dyDescent="0.25">
      <c r="P978" s="187"/>
    </row>
    <row r="979" spans="16:16" ht="12.5" x14ac:dyDescent="0.25">
      <c r="P979" s="187"/>
    </row>
    <row r="980" spans="16:16" ht="12.5" x14ac:dyDescent="0.25">
      <c r="P980" s="187"/>
    </row>
    <row r="981" spans="16:16" ht="12.5" x14ac:dyDescent="0.25">
      <c r="P981" s="187"/>
    </row>
    <row r="982" spans="16:16" ht="12.5" x14ac:dyDescent="0.25">
      <c r="P982" s="187"/>
    </row>
    <row r="983" spans="16:16" ht="12.5" x14ac:dyDescent="0.25">
      <c r="P983" s="187"/>
    </row>
    <row r="984" spans="16:16" ht="12.5" x14ac:dyDescent="0.25">
      <c r="P984" s="187"/>
    </row>
    <row r="985" spans="16:16" ht="12.5" x14ac:dyDescent="0.25">
      <c r="P985" s="187"/>
    </row>
    <row r="986" spans="16:16" ht="12.5" x14ac:dyDescent="0.25">
      <c r="P986" s="187"/>
    </row>
    <row r="987" spans="16:16" ht="12.5" x14ac:dyDescent="0.25">
      <c r="P987" s="187"/>
    </row>
    <row r="988" spans="16:16" ht="12.5" x14ac:dyDescent="0.25">
      <c r="P988" s="187"/>
    </row>
    <row r="989" spans="16:16" ht="12.5" x14ac:dyDescent="0.25">
      <c r="P989" s="187"/>
    </row>
    <row r="990" spans="16:16" ht="12.5" x14ac:dyDescent="0.25">
      <c r="P990" s="187"/>
    </row>
    <row r="991" spans="16:16" ht="12.5" x14ac:dyDescent="0.25">
      <c r="P991" s="187"/>
    </row>
    <row r="992" spans="16:16" ht="12.5" x14ac:dyDescent="0.25">
      <c r="P992" s="187"/>
    </row>
    <row r="993" spans="16:16" ht="12.5" x14ac:dyDescent="0.25">
      <c r="P993" s="187"/>
    </row>
    <row r="994" spans="16:16" ht="12.5" x14ac:dyDescent="0.25">
      <c r="P994" s="187"/>
    </row>
    <row r="995" spans="16:16" ht="12.5" x14ac:dyDescent="0.25">
      <c r="P995" s="187"/>
    </row>
    <row r="996" spans="16:16" ht="12.5" x14ac:dyDescent="0.25">
      <c r="P996" s="187"/>
    </row>
    <row r="997" spans="16:16" ht="12.5" x14ac:dyDescent="0.25">
      <c r="P997" s="187"/>
    </row>
    <row r="998" spans="16:16" ht="12.5" x14ac:dyDescent="0.25">
      <c r="P998" s="187"/>
    </row>
    <row r="999" spans="16:16" ht="12.5" x14ac:dyDescent="0.25">
      <c r="P999" s="187"/>
    </row>
    <row r="1000" spans="16:16" ht="12.5" x14ac:dyDescent="0.25">
      <c r="P1000" s="187"/>
    </row>
    <row r="1001" spans="16:16" ht="12.5" x14ac:dyDescent="0.25">
      <c r="P1001" s="187"/>
    </row>
    <row r="1002" spans="16:16" ht="12.5" x14ac:dyDescent="0.25">
      <c r="P1002" s="187"/>
    </row>
    <row r="1003" spans="16:16" ht="12.5" x14ac:dyDescent="0.25">
      <c r="P1003" s="187"/>
    </row>
    <row r="1004" spans="16:16" ht="12.5" x14ac:dyDescent="0.25">
      <c r="P1004" s="187"/>
    </row>
    <row r="1005" spans="16:16" ht="12.5" x14ac:dyDescent="0.25">
      <c r="P1005" s="187"/>
    </row>
    <row r="1006" spans="16:16" ht="12.5" x14ac:dyDescent="0.25">
      <c r="P1006" s="187"/>
    </row>
    <row r="1007" spans="16:16" ht="12.5" x14ac:dyDescent="0.25">
      <c r="P1007" s="187"/>
    </row>
    <row r="1008" spans="16:16" ht="12.5" x14ac:dyDescent="0.25">
      <c r="P1008" s="187"/>
    </row>
    <row r="1009" spans="16:16" ht="12.5" x14ac:dyDescent="0.25">
      <c r="P1009" s="187"/>
    </row>
    <row r="1010" spans="16:16" ht="12.5" x14ac:dyDescent="0.25">
      <c r="P1010" s="187"/>
    </row>
    <row r="1011" spans="16:16" ht="12.5" x14ac:dyDescent="0.25">
      <c r="P1011" s="187"/>
    </row>
    <row r="1012" spans="16:16" ht="12.5" x14ac:dyDescent="0.25">
      <c r="P1012" s="187"/>
    </row>
    <row r="1013" spans="16:16" ht="12.5" x14ac:dyDescent="0.25">
      <c r="P1013" s="187"/>
    </row>
    <row r="1014" spans="16:16" ht="12.5" x14ac:dyDescent="0.25">
      <c r="P1014" s="187"/>
    </row>
    <row r="1015" spans="16:16" ht="12.5" x14ac:dyDescent="0.25">
      <c r="P1015" s="187"/>
    </row>
    <row r="1016" spans="16:16" ht="12.5" x14ac:dyDescent="0.25">
      <c r="P1016" s="187"/>
    </row>
    <row r="1017" spans="16:16" ht="12.5" x14ac:dyDescent="0.25">
      <c r="P1017" s="187"/>
    </row>
    <row r="1018" spans="16:16" ht="12.5" x14ac:dyDescent="0.25">
      <c r="P1018" s="187"/>
    </row>
    <row r="1019" spans="16:16" ht="12.5" x14ac:dyDescent="0.25">
      <c r="P1019" s="187"/>
    </row>
    <row r="1020" spans="16:16" ht="12.5" x14ac:dyDescent="0.25">
      <c r="P1020" s="187"/>
    </row>
    <row r="1021" spans="16:16" ht="12.5" x14ac:dyDescent="0.25">
      <c r="P1021" s="187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"/>
  <sheetViews>
    <sheetView tabSelected="1" workbookViewId="0">
      <selection activeCell="H13" sqref="H13"/>
    </sheetView>
  </sheetViews>
  <sheetFormatPr defaultRowHeight="12.5" x14ac:dyDescent="0.25"/>
  <cols>
    <col min="1" max="1" width="17.90625" bestFit="1" customWidth="1"/>
  </cols>
  <sheetData>
    <row r="1" spans="1:14" x14ac:dyDescent="0.25">
      <c r="A1" s="200" t="s">
        <v>1</v>
      </c>
      <c r="B1" t="s">
        <v>144</v>
      </c>
      <c r="C1" t="s">
        <v>102</v>
      </c>
      <c r="D1" t="s">
        <v>244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</row>
    <row r="2" spans="1:14" x14ac:dyDescent="0.25">
      <c r="A2" t="s">
        <v>245</v>
      </c>
      <c r="B2" t="s">
        <v>145</v>
      </c>
      <c r="C2" t="s">
        <v>4</v>
      </c>
      <c r="D2" t="s">
        <v>106</v>
      </c>
      <c r="E2">
        <v>10877.64</v>
      </c>
      <c r="F2">
        <v>11980.362999999999</v>
      </c>
      <c r="G2">
        <v>90.795579399388814</v>
      </c>
      <c r="H2">
        <v>5606</v>
      </c>
      <c r="I2">
        <v>6595</v>
      </c>
      <c r="J2">
        <v>85</v>
      </c>
      <c r="N2" s="200"/>
    </row>
    <row r="3" spans="1:14" x14ac:dyDescent="0.25">
      <c r="A3" t="s">
        <v>246</v>
      </c>
      <c r="B3" t="s">
        <v>145</v>
      </c>
      <c r="C3" t="s">
        <v>4</v>
      </c>
      <c r="D3" t="s">
        <v>106</v>
      </c>
      <c r="E3">
        <v>16026.43</v>
      </c>
      <c r="F3">
        <v>16712.048999999999</v>
      </c>
      <c r="G3">
        <v>95.897456978494986</v>
      </c>
      <c r="H3">
        <v>14025</v>
      </c>
      <c r="I3">
        <v>14685</v>
      </c>
      <c r="J3">
        <v>95.5</v>
      </c>
    </row>
    <row r="4" spans="1:14" x14ac:dyDescent="0.25">
      <c r="A4" t="s">
        <v>247</v>
      </c>
      <c r="B4" t="s">
        <v>145</v>
      </c>
      <c r="C4" t="s">
        <v>4</v>
      </c>
      <c r="D4" t="s">
        <v>106</v>
      </c>
      <c r="E4">
        <v>22535.03</v>
      </c>
      <c r="F4">
        <v>26375.633000000002</v>
      </c>
      <c r="G4">
        <v>85.438821506198536</v>
      </c>
      <c r="H4">
        <v>43182</v>
      </c>
      <c r="I4">
        <v>48848</v>
      </c>
      <c r="J4">
        <v>88.4</v>
      </c>
    </row>
    <row r="5" spans="1:14" x14ac:dyDescent="0.25">
      <c r="A5" t="s">
        <v>248</v>
      </c>
      <c r="B5" t="s">
        <v>145</v>
      </c>
      <c r="C5" t="s">
        <v>4</v>
      </c>
      <c r="D5" t="s">
        <v>106</v>
      </c>
      <c r="E5">
        <v>73473.11</v>
      </c>
      <c r="F5">
        <v>82730.198999999993</v>
      </c>
      <c r="G5">
        <v>88.810507998415432</v>
      </c>
      <c r="H5">
        <v>74574</v>
      </c>
      <c r="I5">
        <v>84550</v>
      </c>
      <c r="J5">
        <v>88.2</v>
      </c>
    </row>
    <row r="6" spans="1:14" x14ac:dyDescent="0.25">
      <c r="A6" t="s">
        <v>249</v>
      </c>
      <c r="B6" t="s">
        <v>145</v>
      </c>
      <c r="C6" t="s">
        <v>4</v>
      </c>
      <c r="D6" t="s">
        <v>106</v>
      </c>
      <c r="E6">
        <v>1851.01</v>
      </c>
      <c r="F6">
        <v>1899.8810000000001</v>
      </c>
      <c r="G6">
        <v>97.427680996862435</v>
      </c>
      <c r="H6">
        <v>1771</v>
      </c>
      <c r="I6">
        <v>1837</v>
      </c>
      <c r="J6">
        <v>96.4</v>
      </c>
    </row>
    <row r="7" spans="1:14" x14ac:dyDescent="0.25">
      <c r="A7" t="s">
        <v>250</v>
      </c>
      <c r="B7" t="s">
        <v>145</v>
      </c>
      <c r="C7" t="s">
        <v>4</v>
      </c>
      <c r="D7" t="s">
        <v>106</v>
      </c>
      <c r="E7">
        <v>9467.27</v>
      </c>
      <c r="F7">
        <v>10040.27</v>
      </c>
      <c r="G7">
        <v>94.292982160838307</v>
      </c>
      <c r="H7">
        <v>2129</v>
      </c>
      <c r="I7">
        <v>2270</v>
      </c>
      <c r="J7">
        <v>93.8</v>
      </c>
    </row>
    <row r="8" spans="1:14" x14ac:dyDescent="0.25">
      <c r="A8" t="s">
        <v>251</v>
      </c>
      <c r="B8" t="s">
        <v>145</v>
      </c>
      <c r="C8" t="s">
        <v>4</v>
      </c>
      <c r="D8" t="s">
        <v>106</v>
      </c>
      <c r="E8">
        <v>10914.45</v>
      </c>
      <c r="F8">
        <v>15003.357</v>
      </c>
      <c r="G8">
        <v>72.746719284224199</v>
      </c>
      <c r="H8">
        <v>8883</v>
      </c>
      <c r="I8">
        <v>12689</v>
      </c>
      <c r="J8">
        <v>70</v>
      </c>
    </row>
    <row r="9" spans="1:14" x14ac:dyDescent="0.25">
      <c r="A9" t="s">
        <v>252</v>
      </c>
      <c r="B9" t="s">
        <v>146</v>
      </c>
      <c r="C9" t="s">
        <v>4</v>
      </c>
      <c r="D9" t="s">
        <v>106</v>
      </c>
      <c r="E9">
        <v>124793.553</v>
      </c>
      <c r="F9">
        <v>214051.26500000001</v>
      </c>
      <c r="G9">
        <v>58.300778086969018</v>
      </c>
      <c r="H9">
        <v>131214</v>
      </c>
      <c r="I9">
        <v>226231</v>
      </c>
      <c r="J9">
        <v>58</v>
      </c>
    </row>
    <row r="10" spans="1:14" x14ac:dyDescent="0.25">
      <c r="A10" t="s">
        <v>253</v>
      </c>
      <c r="B10" t="s">
        <v>146</v>
      </c>
      <c r="C10" t="s">
        <v>4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4" x14ac:dyDescent="0.25">
      <c r="A11" t="s">
        <v>254</v>
      </c>
      <c r="B11" t="s">
        <v>146</v>
      </c>
      <c r="C11" t="s">
        <v>4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4" x14ac:dyDescent="0.25">
      <c r="A12" s="200" t="s">
        <v>277</v>
      </c>
      <c r="B12" t="s">
        <v>147</v>
      </c>
      <c r="C12" t="s">
        <v>4</v>
      </c>
      <c r="D12" t="s">
        <v>106</v>
      </c>
      <c r="E12">
        <v>97181.922999999995</v>
      </c>
      <c r="F12">
        <v>160972.84</v>
      </c>
      <c r="G12">
        <v>60.371627288181038</v>
      </c>
      <c r="H12">
        <v>90096</v>
      </c>
      <c r="I12">
        <v>155339</v>
      </c>
      <c r="J12">
        <v>58</v>
      </c>
    </row>
    <row r="13" spans="1:14" x14ac:dyDescent="0.25">
      <c r="A13" t="s">
        <v>255</v>
      </c>
      <c r="B13" t="s">
        <v>148</v>
      </c>
      <c r="C13" t="s">
        <v>4</v>
      </c>
      <c r="D13" t="s">
        <v>106</v>
      </c>
      <c r="E13">
        <v>18217.190999999999</v>
      </c>
      <c r="F13">
        <v>20891.862000000001</v>
      </c>
      <c r="G13">
        <v>87.197546106708913</v>
      </c>
      <c r="H13">
        <v>4945</v>
      </c>
      <c r="I13">
        <v>5232</v>
      </c>
      <c r="J13">
        <v>94.52</v>
      </c>
    </row>
    <row r="14" spans="1:14" x14ac:dyDescent="0.25">
      <c r="A14" t="s">
        <v>256</v>
      </c>
      <c r="B14" t="s">
        <v>148</v>
      </c>
      <c r="C14" t="s">
        <v>4</v>
      </c>
      <c r="D14" t="s">
        <v>106</v>
      </c>
      <c r="E14">
        <v>31210.999</v>
      </c>
      <c r="F14">
        <v>34515.258999999998</v>
      </c>
      <c r="G14">
        <v>90.426668969802606</v>
      </c>
      <c r="H14">
        <v>0</v>
      </c>
      <c r="I14">
        <v>0</v>
      </c>
      <c r="J14">
        <v>0</v>
      </c>
    </row>
    <row r="15" spans="1:14" x14ac:dyDescent="0.25">
      <c r="A15" t="s">
        <v>257</v>
      </c>
      <c r="B15" t="s">
        <v>148</v>
      </c>
      <c r="C15" t="s">
        <v>4</v>
      </c>
      <c r="D15" t="s">
        <v>106</v>
      </c>
      <c r="E15">
        <v>51151.207999999999</v>
      </c>
      <c r="F15">
        <v>59399.883000000002</v>
      </c>
      <c r="G15">
        <v>86.113314398279201</v>
      </c>
      <c r="H15">
        <v>10467</v>
      </c>
      <c r="I15">
        <v>12037</v>
      </c>
      <c r="J15">
        <v>86.96</v>
      </c>
    </row>
    <row r="16" spans="1:14" x14ac:dyDescent="0.25">
      <c r="A16" t="s">
        <v>258</v>
      </c>
      <c r="B16" t="s">
        <v>148</v>
      </c>
      <c r="C16" t="s">
        <v>4</v>
      </c>
      <c r="D16" t="s">
        <v>106</v>
      </c>
      <c r="E16">
        <v>0</v>
      </c>
      <c r="F16">
        <v>0</v>
      </c>
      <c r="G16">
        <v>0</v>
      </c>
      <c r="H16">
        <v>29479</v>
      </c>
      <c r="I16">
        <v>30868</v>
      </c>
      <c r="J16">
        <v>95.5</v>
      </c>
    </row>
    <row r="17" spans="1:10" x14ac:dyDescent="0.25">
      <c r="A17" t="s">
        <v>259</v>
      </c>
      <c r="B17" t="s">
        <v>149</v>
      </c>
      <c r="C17" t="s">
        <v>4</v>
      </c>
      <c r="D17" t="s">
        <v>106</v>
      </c>
      <c r="E17">
        <v>29341</v>
      </c>
      <c r="F17">
        <v>50770</v>
      </c>
      <c r="G17">
        <v>57.792003151467398</v>
      </c>
      <c r="H17">
        <v>47877</v>
      </c>
      <c r="I17">
        <v>79813</v>
      </c>
      <c r="J17">
        <v>59.99</v>
      </c>
    </row>
    <row r="18" spans="1:10" x14ac:dyDescent="0.25">
      <c r="A18" t="s">
        <v>260</v>
      </c>
      <c r="B18" t="s">
        <v>149</v>
      </c>
      <c r="C18" t="s">
        <v>4</v>
      </c>
      <c r="D18" t="s">
        <v>106</v>
      </c>
      <c r="E18">
        <v>2908.8119999999999</v>
      </c>
      <c r="F18">
        <v>3063.0459999999998</v>
      </c>
      <c r="G18">
        <v>94.964685479747928</v>
      </c>
      <c r="H18">
        <v>0</v>
      </c>
      <c r="I18">
        <v>0</v>
      </c>
      <c r="J18">
        <v>0</v>
      </c>
    </row>
    <row r="19" spans="1:10" x14ac:dyDescent="0.25">
      <c r="A19" t="s">
        <v>261</v>
      </c>
      <c r="B19" t="s">
        <v>149</v>
      </c>
      <c r="C19" t="s">
        <v>4</v>
      </c>
      <c r="D19" t="s">
        <v>106</v>
      </c>
      <c r="E19">
        <v>812.78</v>
      </c>
      <c r="F19">
        <v>934.39400000000001</v>
      </c>
      <c r="G19">
        <v>86.984719508044776</v>
      </c>
      <c r="H19">
        <v>10467</v>
      </c>
      <c r="I19">
        <v>12037</v>
      </c>
      <c r="J19">
        <v>86.96</v>
      </c>
    </row>
    <row r="20" spans="1:10" x14ac:dyDescent="0.25">
      <c r="A20" t="s">
        <v>262</v>
      </c>
      <c r="B20" t="s">
        <v>149</v>
      </c>
      <c r="C20" t="s">
        <v>4</v>
      </c>
      <c r="D20" t="s">
        <v>106</v>
      </c>
      <c r="E20">
        <v>0</v>
      </c>
      <c r="F20">
        <v>0</v>
      </c>
      <c r="G20">
        <v>0</v>
      </c>
      <c r="H20">
        <v>13150</v>
      </c>
      <c r="I20">
        <v>14559</v>
      </c>
      <c r="J20">
        <v>90.32</v>
      </c>
    </row>
    <row r="21" spans="1:10" x14ac:dyDescent="0.25">
      <c r="A21" t="s">
        <v>263</v>
      </c>
      <c r="B21" t="s">
        <v>149</v>
      </c>
      <c r="C21" t="s">
        <v>4</v>
      </c>
      <c r="D21" t="s">
        <v>106</v>
      </c>
      <c r="E21">
        <v>9320</v>
      </c>
      <c r="F21">
        <v>15386</v>
      </c>
      <c r="G21">
        <v>60.574548290653837</v>
      </c>
      <c r="H21">
        <v>0</v>
      </c>
      <c r="I21">
        <v>0</v>
      </c>
      <c r="J21">
        <v>0</v>
      </c>
    </row>
    <row r="22" spans="1:10" x14ac:dyDescent="0.25">
      <c r="A22" t="s">
        <v>264</v>
      </c>
      <c r="B22" t="s">
        <v>150</v>
      </c>
      <c r="C22" t="s">
        <v>4</v>
      </c>
      <c r="D22" t="s">
        <v>106</v>
      </c>
      <c r="E22">
        <v>42911.133999999998</v>
      </c>
      <c r="F22">
        <v>74037.744999999995</v>
      </c>
      <c r="G22">
        <v>57.958456190150045</v>
      </c>
      <c r="H22">
        <v>44878</v>
      </c>
      <c r="I22">
        <v>76715</v>
      </c>
      <c r="J22">
        <v>58.5</v>
      </c>
    </row>
    <row r="23" spans="1:10" x14ac:dyDescent="0.25">
      <c r="A23" t="s">
        <v>265</v>
      </c>
      <c r="B23" t="s">
        <v>150</v>
      </c>
      <c r="C23" t="s">
        <v>4</v>
      </c>
      <c r="D23" t="s">
        <v>106</v>
      </c>
      <c r="E23">
        <v>15732.723000000002</v>
      </c>
      <c r="F23">
        <v>18386.919999999998</v>
      </c>
      <c r="G23">
        <v>85.564754727817402</v>
      </c>
      <c r="H23">
        <v>12824</v>
      </c>
      <c r="I23">
        <v>14998</v>
      </c>
      <c r="J23">
        <v>85.5</v>
      </c>
    </row>
    <row r="24" spans="1:10" x14ac:dyDescent="0.25">
      <c r="A24" t="s">
        <v>245</v>
      </c>
      <c r="B24" t="s">
        <v>145</v>
      </c>
      <c r="C24" t="s">
        <v>5</v>
      </c>
      <c r="D24" t="s">
        <v>106</v>
      </c>
      <c r="E24">
        <v>14283.27</v>
      </c>
      <c r="F24">
        <v>14987.189</v>
      </c>
      <c r="G24">
        <v>95.303195282317461</v>
      </c>
      <c r="H24">
        <v>5872</v>
      </c>
      <c r="I24">
        <v>6909</v>
      </c>
      <c r="J24">
        <v>85</v>
      </c>
    </row>
    <row r="25" spans="1:10" x14ac:dyDescent="0.25">
      <c r="A25" t="s">
        <v>246</v>
      </c>
      <c r="B25" t="s">
        <v>145</v>
      </c>
      <c r="C25" t="s">
        <v>5</v>
      </c>
      <c r="D25" t="s">
        <v>106</v>
      </c>
      <c r="E25">
        <v>15070.18</v>
      </c>
      <c r="F25">
        <v>15933.263000000001</v>
      </c>
      <c r="G25">
        <v>94.583137176609711</v>
      </c>
      <c r="H25">
        <v>14703</v>
      </c>
      <c r="I25">
        <v>15395</v>
      </c>
      <c r="J25">
        <v>95.5</v>
      </c>
    </row>
    <row r="26" spans="1:10" x14ac:dyDescent="0.25">
      <c r="A26" t="s">
        <v>247</v>
      </c>
      <c r="B26" t="s">
        <v>145</v>
      </c>
      <c r="C26" t="s">
        <v>5</v>
      </c>
      <c r="D26" t="s">
        <v>106</v>
      </c>
      <c r="E26">
        <v>36467.78</v>
      </c>
      <c r="F26">
        <v>41472.237999999998</v>
      </c>
      <c r="G26">
        <v>87.932992668493085</v>
      </c>
      <c r="H26">
        <v>45270</v>
      </c>
      <c r="I26">
        <v>51210</v>
      </c>
      <c r="J26">
        <v>88.4</v>
      </c>
    </row>
    <row r="27" spans="1:10" x14ac:dyDescent="0.25">
      <c r="A27" t="s">
        <v>248</v>
      </c>
      <c r="B27" t="s">
        <v>145</v>
      </c>
      <c r="C27" t="s">
        <v>5</v>
      </c>
      <c r="D27" t="s">
        <v>106</v>
      </c>
      <c r="E27">
        <v>74350.2</v>
      </c>
      <c r="F27">
        <v>85183.566000000006</v>
      </c>
      <c r="G27">
        <v>87.282328612540113</v>
      </c>
      <c r="H27">
        <v>78179</v>
      </c>
      <c r="I27">
        <v>88638</v>
      </c>
      <c r="J27">
        <v>88.2</v>
      </c>
    </row>
    <row r="28" spans="1:10" x14ac:dyDescent="0.25">
      <c r="A28" t="s">
        <v>249</v>
      </c>
      <c r="B28" t="s">
        <v>145</v>
      </c>
      <c r="C28" t="s">
        <v>5</v>
      </c>
      <c r="D28" t="s">
        <v>106</v>
      </c>
      <c r="E28">
        <v>3038.54</v>
      </c>
      <c r="F28">
        <v>3170.11</v>
      </c>
      <c r="G28">
        <v>95.849670831611505</v>
      </c>
      <c r="H28">
        <v>1857</v>
      </c>
      <c r="I28">
        <v>1926</v>
      </c>
      <c r="J28">
        <v>96.4</v>
      </c>
    </row>
    <row r="29" spans="1:10" x14ac:dyDescent="0.25">
      <c r="A29" t="s">
        <v>250</v>
      </c>
      <c r="B29" t="s">
        <v>145</v>
      </c>
      <c r="C29" t="s">
        <v>5</v>
      </c>
      <c r="D29" t="s">
        <v>106</v>
      </c>
      <c r="E29">
        <v>3228.65</v>
      </c>
      <c r="F29">
        <v>3476.7939999999999</v>
      </c>
      <c r="G29">
        <v>92.862850085452294</v>
      </c>
      <c r="H29">
        <v>2232</v>
      </c>
      <c r="I29">
        <v>2380</v>
      </c>
      <c r="J29">
        <v>93.8</v>
      </c>
    </row>
    <row r="30" spans="1:10" x14ac:dyDescent="0.25">
      <c r="A30" t="s">
        <v>251</v>
      </c>
      <c r="B30" t="s">
        <v>145</v>
      </c>
      <c r="C30" t="s">
        <v>5</v>
      </c>
      <c r="D30" t="s">
        <v>106</v>
      </c>
      <c r="E30">
        <v>18698.41</v>
      </c>
      <c r="F30">
        <v>25242.720000000001</v>
      </c>
      <c r="G30">
        <v>74.074465826186724</v>
      </c>
      <c r="H30">
        <v>9219</v>
      </c>
      <c r="I30">
        <v>13170</v>
      </c>
      <c r="J30">
        <v>70</v>
      </c>
    </row>
    <row r="31" spans="1:10" x14ac:dyDescent="0.25">
      <c r="A31" t="s">
        <v>252</v>
      </c>
      <c r="B31" t="s">
        <v>146</v>
      </c>
      <c r="C31" t="s">
        <v>5</v>
      </c>
      <c r="D31" t="s">
        <v>106</v>
      </c>
      <c r="E31">
        <v>108925.52899999999</v>
      </c>
      <c r="F31">
        <v>187092.16399999999</v>
      </c>
      <c r="G31">
        <v>58.220251811294453</v>
      </c>
      <c r="H31">
        <v>110973</v>
      </c>
      <c r="I31">
        <v>191332</v>
      </c>
      <c r="J31">
        <v>58</v>
      </c>
    </row>
    <row r="32" spans="1:10" x14ac:dyDescent="0.25">
      <c r="A32" t="s">
        <v>253</v>
      </c>
      <c r="B32" t="s">
        <v>146</v>
      </c>
      <c r="C32" t="s">
        <v>5</v>
      </c>
      <c r="D32" t="s">
        <v>106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254</v>
      </c>
      <c r="B33" t="s">
        <v>146</v>
      </c>
      <c r="C33" t="s">
        <v>5</v>
      </c>
      <c r="D33" t="s">
        <v>106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277</v>
      </c>
      <c r="B34" t="s">
        <v>147</v>
      </c>
      <c r="C34" t="s">
        <v>5</v>
      </c>
      <c r="D34" t="s">
        <v>106</v>
      </c>
      <c r="E34">
        <v>75848.406000000003</v>
      </c>
      <c r="F34">
        <v>130829.227</v>
      </c>
      <c r="G34">
        <v>57.975123555533969</v>
      </c>
      <c r="H34">
        <v>89106</v>
      </c>
      <c r="I34">
        <v>153631</v>
      </c>
      <c r="J34">
        <v>58</v>
      </c>
    </row>
    <row r="35" spans="1:10" x14ac:dyDescent="0.25">
      <c r="A35" t="s">
        <v>255</v>
      </c>
      <c r="B35" t="s">
        <v>148</v>
      </c>
      <c r="C35" t="s">
        <v>5</v>
      </c>
      <c r="D35" t="s">
        <v>106</v>
      </c>
      <c r="E35">
        <v>18647.021000000001</v>
      </c>
      <c r="F35">
        <v>20653.060000000001</v>
      </c>
      <c r="G35">
        <v>90.286964740333872</v>
      </c>
      <c r="H35">
        <v>4977</v>
      </c>
      <c r="I35">
        <v>5268</v>
      </c>
      <c r="J35">
        <v>94.48</v>
      </c>
    </row>
    <row r="36" spans="1:10" x14ac:dyDescent="0.25">
      <c r="A36" t="s">
        <v>256</v>
      </c>
      <c r="B36" t="s">
        <v>148</v>
      </c>
      <c r="C36" t="s">
        <v>5</v>
      </c>
      <c r="D36" t="s">
        <v>106</v>
      </c>
      <c r="E36">
        <v>26552.100999999999</v>
      </c>
      <c r="F36">
        <v>29049.656999999999</v>
      </c>
      <c r="G36">
        <v>91.402459588421308</v>
      </c>
      <c r="H36">
        <v>0</v>
      </c>
      <c r="I36">
        <v>0</v>
      </c>
      <c r="J36">
        <v>0</v>
      </c>
    </row>
    <row r="37" spans="1:10" x14ac:dyDescent="0.25">
      <c r="A37" t="s">
        <v>257</v>
      </c>
      <c r="B37" t="s">
        <v>148</v>
      </c>
      <c r="C37" t="s">
        <v>5</v>
      </c>
      <c r="D37" t="s">
        <v>106</v>
      </c>
      <c r="E37">
        <v>40267.300000000003</v>
      </c>
      <c r="F37">
        <v>46399.911</v>
      </c>
      <c r="G37">
        <v>86.783140596972274</v>
      </c>
      <c r="H37">
        <v>10974</v>
      </c>
      <c r="I37">
        <v>12619</v>
      </c>
      <c r="J37">
        <v>86.96</v>
      </c>
    </row>
    <row r="38" spans="1:10" x14ac:dyDescent="0.25">
      <c r="A38" t="s">
        <v>258</v>
      </c>
      <c r="B38" t="s">
        <v>148</v>
      </c>
      <c r="C38" t="s">
        <v>5</v>
      </c>
      <c r="D38" t="s">
        <v>106</v>
      </c>
      <c r="E38">
        <v>1434.18</v>
      </c>
      <c r="F38">
        <v>1514.046</v>
      </c>
      <c r="G38">
        <v>94.724995145457939</v>
      </c>
      <c r="H38">
        <v>29519</v>
      </c>
      <c r="I38">
        <v>30910</v>
      </c>
      <c r="J38">
        <v>95.5</v>
      </c>
    </row>
    <row r="39" spans="1:10" x14ac:dyDescent="0.25">
      <c r="A39" t="s">
        <v>259</v>
      </c>
      <c r="B39" t="s">
        <v>149</v>
      </c>
      <c r="C39" t="s">
        <v>5</v>
      </c>
      <c r="D39" t="s">
        <v>106</v>
      </c>
      <c r="E39">
        <v>32104</v>
      </c>
      <c r="F39">
        <v>56014</v>
      </c>
      <c r="G39">
        <v>57.314242867854468</v>
      </c>
      <c r="H39">
        <v>41132</v>
      </c>
      <c r="I39">
        <v>68050</v>
      </c>
      <c r="J39">
        <v>60.44</v>
      </c>
    </row>
    <row r="40" spans="1:10" x14ac:dyDescent="0.25">
      <c r="A40" t="s">
        <v>260</v>
      </c>
      <c r="B40" t="s">
        <v>149</v>
      </c>
      <c r="C40" t="s">
        <v>5</v>
      </c>
      <c r="D40" t="s">
        <v>106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261</v>
      </c>
      <c r="B41" t="s">
        <v>149</v>
      </c>
      <c r="C41" t="s">
        <v>5</v>
      </c>
      <c r="D41" t="s">
        <v>106</v>
      </c>
      <c r="E41">
        <v>492.30700000000002</v>
      </c>
      <c r="F41">
        <v>569.17999999999995</v>
      </c>
      <c r="G41">
        <v>86.494079201658536</v>
      </c>
      <c r="H41">
        <v>10974</v>
      </c>
      <c r="I41">
        <v>12619</v>
      </c>
      <c r="J41">
        <v>86.96</v>
      </c>
    </row>
    <row r="42" spans="1:10" x14ac:dyDescent="0.25">
      <c r="A42" t="s">
        <v>262</v>
      </c>
      <c r="B42" t="s">
        <v>149</v>
      </c>
      <c r="C42" t="s">
        <v>5</v>
      </c>
      <c r="D42" t="s">
        <v>106</v>
      </c>
      <c r="E42">
        <v>2828.16</v>
      </c>
      <c r="F42">
        <v>3104.7660000000001</v>
      </c>
      <c r="G42">
        <v>91.09092279418158</v>
      </c>
      <c r="H42">
        <v>13786</v>
      </c>
      <c r="I42">
        <v>15263</v>
      </c>
      <c r="J42">
        <v>90.32</v>
      </c>
    </row>
    <row r="43" spans="1:10" x14ac:dyDescent="0.25">
      <c r="A43" t="s">
        <v>263</v>
      </c>
      <c r="B43" t="s">
        <v>149</v>
      </c>
      <c r="C43" t="s">
        <v>5</v>
      </c>
      <c r="D43" t="s">
        <v>106</v>
      </c>
      <c r="E43">
        <v>6997</v>
      </c>
      <c r="F43">
        <v>11344</v>
      </c>
      <c r="G43">
        <v>61.680183356840622</v>
      </c>
      <c r="H43">
        <v>0</v>
      </c>
      <c r="I43">
        <v>0</v>
      </c>
      <c r="J43">
        <v>0</v>
      </c>
    </row>
    <row r="44" spans="1:10" x14ac:dyDescent="0.25">
      <c r="A44" t="s">
        <v>264</v>
      </c>
      <c r="B44" t="s">
        <v>150</v>
      </c>
      <c r="C44" t="s">
        <v>5</v>
      </c>
      <c r="D44" t="s">
        <v>106</v>
      </c>
      <c r="E44">
        <v>43596.040999999997</v>
      </c>
      <c r="F44">
        <v>75269.98</v>
      </c>
      <c r="G44">
        <v>57.919559696973479</v>
      </c>
      <c r="H44">
        <v>51719</v>
      </c>
      <c r="I44">
        <v>88408</v>
      </c>
      <c r="J44">
        <v>58.5</v>
      </c>
    </row>
    <row r="45" spans="1:10" x14ac:dyDescent="0.25">
      <c r="A45" t="s">
        <v>265</v>
      </c>
      <c r="B45" t="s">
        <v>150</v>
      </c>
      <c r="C45" t="s">
        <v>5</v>
      </c>
      <c r="D45" t="s">
        <v>106</v>
      </c>
      <c r="E45">
        <v>11119.61</v>
      </c>
      <c r="F45">
        <v>12949.074000000001</v>
      </c>
      <c r="G45">
        <v>85.871854620646999</v>
      </c>
      <c r="H45">
        <v>13843</v>
      </c>
      <c r="I45">
        <v>16190</v>
      </c>
      <c r="J45">
        <v>85.5</v>
      </c>
    </row>
    <row r="46" spans="1:10" x14ac:dyDescent="0.25">
      <c r="A46" t="s">
        <v>245</v>
      </c>
      <c r="B46" t="s">
        <v>145</v>
      </c>
      <c r="C46" t="s">
        <v>6</v>
      </c>
      <c r="D46" t="s">
        <v>106</v>
      </c>
      <c r="E46">
        <v>2041.13</v>
      </c>
      <c r="F46">
        <v>2207.3380000000002</v>
      </c>
      <c r="G46">
        <v>92.470206194067245</v>
      </c>
      <c r="H46">
        <v>3447</v>
      </c>
      <c r="I46">
        <v>4055</v>
      </c>
      <c r="J46">
        <v>85</v>
      </c>
    </row>
    <row r="47" spans="1:10" x14ac:dyDescent="0.25">
      <c r="A47" t="s">
        <v>246</v>
      </c>
      <c r="B47" t="s">
        <v>145</v>
      </c>
      <c r="C47" t="s">
        <v>6</v>
      </c>
      <c r="D47" t="s">
        <v>106</v>
      </c>
      <c r="E47">
        <v>10373.61</v>
      </c>
      <c r="F47">
        <v>11045.397000000001</v>
      </c>
      <c r="G47">
        <v>93.917946091027787</v>
      </c>
      <c r="H47">
        <v>8611</v>
      </c>
      <c r="I47">
        <v>9017</v>
      </c>
      <c r="J47">
        <v>95.5</v>
      </c>
    </row>
    <row r="48" spans="1:10" x14ac:dyDescent="0.25">
      <c r="A48" t="s">
        <v>247</v>
      </c>
      <c r="B48" t="s">
        <v>145</v>
      </c>
      <c r="C48" t="s">
        <v>6</v>
      </c>
      <c r="D48" t="s">
        <v>106</v>
      </c>
      <c r="E48">
        <v>26280.25</v>
      </c>
      <c r="F48">
        <v>29827.789000000001</v>
      </c>
      <c r="G48">
        <v>88.106597508786194</v>
      </c>
      <c r="H48">
        <v>26513</v>
      </c>
      <c r="I48">
        <v>29992</v>
      </c>
      <c r="J48">
        <v>88.4</v>
      </c>
    </row>
    <row r="49" spans="1:10" x14ac:dyDescent="0.25">
      <c r="A49" t="s">
        <v>248</v>
      </c>
      <c r="B49" t="s">
        <v>145</v>
      </c>
      <c r="C49" t="s">
        <v>6</v>
      </c>
      <c r="D49" t="s">
        <v>106</v>
      </c>
      <c r="E49">
        <v>82213.14</v>
      </c>
      <c r="F49">
        <v>93747.244999999995</v>
      </c>
      <c r="G49">
        <v>87.696593110549543</v>
      </c>
      <c r="H49">
        <v>45787</v>
      </c>
      <c r="I49">
        <v>51913</v>
      </c>
      <c r="J49">
        <v>88.2</v>
      </c>
    </row>
    <row r="50" spans="1:10" x14ac:dyDescent="0.25">
      <c r="A50" t="s">
        <v>249</v>
      </c>
      <c r="B50" t="s">
        <v>145</v>
      </c>
      <c r="C50" t="s">
        <v>6</v>
      </c>
      <c r="D50" t="s">
        <v>106</v>
      </c>
      <c r="E50">
        <v>2402.79</v>
      </c>
      <c r="F50">
        <v>2516.3649999999998</v>
      </c>
      <c r="G50">
        <v>95.486545075932952</v>
      </c>
      <c r="H50">
        <v>1088</v>
      </c>
      <c r="I50">
        <v>1128</v>
      </c>
      <c r="J50">
        <v>96.4</v>
      </c>
    </row>
    <row r="51" spans="1:10" x14ac:dyDescent="0.25">
      <c r="A51" t="s">
        <v>250</v>
      </c>
      <c r="B51" t="s">
        <v>145</v>
      </c>
      <c r="C51" t="s">
        <v>6</v>
      </c>
      <c r="D51" t="s">
        <v>106</v>
      </c>
      <c r="E51">
        <v>3886.37</v>
      </c>
      <c r="F51">
        <v>4216.3379999999997</v>
      </c>
      <c r="G51">
        <v>92.174061946646589</v>
      </c>
      <c r="H51">
        <v>1307</v>
      </c>
      <c r="I51">
        <v>1394</v>
      </c>
      <c r="J51">
        <v>93.8</v>
      </c>
    </row>
    <row r="52" spans="1:10" x14ac:dyDescent="0.25">
      <c r="A52" t="s">
        <v>251</v>
      </c>
      <c r="B52" t="s">
        <v>145</v>
      </c>
      <c r="C52" t="s">
        <v>6</v>
      </c>
      <c r="D52" t="s">
        <v>106</v>
      </c>
      <c r="E52">
        <v>9595.58</v>
      </c>
      <c r="F52">
        <v>13194.564</v>
      </c>
      <c r="G52">
        <v>72.723736835866646</v>
      </c>
      <c r="H52">
        <v>5560</v>
      </c>
      <c r="I52">
        <v>7943</v>
      </c>
      <c r="J52">
        <v>70</v>
      </c>
    </row>
    <row r="53" spans="1:10" x14ac:dyDescent="0.25">
      <c r="A53" t="s">
        <v>252</v>
      </c>
      <c r="B53" t="s">
        <v>146</v>
      </c>
      <c r="C53" t="s">
        <v>6</v>
      </c>
      <c r="D53" t="s">
        <v>106</v>
      </c>
      <c r="E53">
        <v>75255.286999999997</v>
      </c>
      <c r="F53">
        <v>128848.795</v>
      </c>
      <c r="G53">
        <v>58.405891184314143</v>
      </c>
      <c r="H53">
        <v>73998</v>
      </c>
      <c r="I53">
        <v>127583</v>
      </c>
      <c r="J53">
        <v>58</v>
      </c>
    </row>
    <row r="54" spans="1:10" x14ac:dyDescent="0.25">
      <c r="A54" t="s">
        <v>253</v>
      </c>
      <c r="B54" t="s">
        <v>146</v>
      </c>
      <c r="C54" t="s">
        <v>6</v>
      </c>
      <c r="D54" t="s">
        <v>106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254</v>
      </c>
      <c r="B55" t="s">
        <v>146</v>
      </c>
      <c r="C55" t="s">
        <v>6</v>
      </c>
      <c r="D55" t="s">
        <v>106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277</v>
      </c>
      <c r="B56" t="s">
        <v>147</v>
      </c>
      <c r="C56" t="s">
        <v>6</v>
      </c>
      <c r="D56" t="s">
        <v>106</v>
      </c>
      <c r="E56">
        <v>67612.383000000002</v>
      </c>
      <c r="F56">
        <v>115515.656</v>
      </c>
      <c r="G56">
        <v>58.530925885924937</v>
      </c>
      <c r="H56">
        <v>59450</v>
      </c>
      <c r="I56">
        <v>102500</v>
      </c>
      <c r="J56">
        <v>58</v>
      </c>
    </row>
    <row r="57" spans="1:10" x14ac:dyDescent="0.25">
      <c r="A57" t="s">
        <v>255</v>
      </c>
      <c r="B57" t="s">
        <v>148</v>
      </c>
      <c r="C57" t="s">
        <v>6</v>
      </c>
      <c r="D57" t="s">
        <v>106</v>
      </c>
      <c r="E57">
        <v>10441.049999999999</v>
      </c>
      <c r="F57">
        <v>11537.057000000001</v>
      </c>
      <c r="G57">
        <v>90.500116277487393</v>
      </c>
      <c r="H57">
        <v>4695</v>
      </c>
      <c r="I57">
        <v>4950</v>
      </c>
      <c r="J57">
        <v>94.86</v>
      </c>
    </row>
    <row r="58" spans="1:10" x14ac:dyDescent="0.25">
      <c r="A58" t="s">
        <v>256</v>
      </c>
      <c r="B58" t="s">
        <v>148</v>
      </c>
      <c r="C58" t="s">
        <v>6</v>
      </c>
      <c r="D58" t="s">
        <v>106</v>
      </c>
      <c r="E58">
        <v>28605.412</v>
      </c>
      <c r="F58">
        <v>31496.331999999999</v>
      </c>
      <c r="G58">
        <v>90.821407394359454</v>
      </c>
      <c r="H58">
        <v>0</v>
      </c>
      <c r="I58">
        <v>0</v>
      </c>
      <c r="J58">
        <v>0</v>
      </c>
    </row>
    <row r="59" spans="1:10" x14ac:dyDescent="0.25">
      <c r="A59" t="s">
        <v>257</v>
      </c>
      <c r="B59" t="s">
        <v>148</v>
      </c>
      <c r="C59" t="s">
        <v>6</v>
      </c>
      <c r="D59" t="s">
        <v>106</v>
      </c>
      <c r="E59">
        <v>28197.276000000002</v>
      </c>
      <c r="F59">
        <v>32470.278999999999</v>
      </c>
      <c r="G59">
        <v>86.840263984180737</v>
      </c>
      <c r="H59">
        <v>6427</v>
      </c>
      <c r="I59">
        <v>7391</v>
      </c>
      <c r="J59">
        <v>86.96</v>
      </c>
    </row>
    <row r="60" spans="1:10" x14ac:dyDescent="0.25">
      <c r="A60" t="s">
        <v>258</v>
      </c>
      <c r="B60" t="s">
        <v>148</v>
      </c>
      <c r="C60" t="s">
        <v>6</v>
      </c>
      <c r="D60" t="s">
        <v>106</v>
      </c>
      <c r="E60">
        <v>8544.1530000000002</v>
      </c>
      <c r="F60">
        <v>8988.116</v>
      </c>
      <c r="G60">
        <v>95.060555515749911</v>
      </c>
      <c r="H60">
        <v>29159</v>
      </c>
      <c r="I60">
        <v>30533</v>
      </c>
      <c r="J60">
        <v>95.5</v>
      </c>
    </row>
    <row r="61" spans="1:10" x14ac:dyDescent="0.25">
      <c r="A61" t="s">
        <v>259</v>
      </c>
      <c r="B61" t="s">
        <v>149</v>
      </c>
      <c r="C61" t="s">
        <v>6</v>
      </c>
      <c r="D61" t="s">
        <v>106</v>
      </c>
      <c r="E61">
        <v>32396</v>
      </c>
      <c r="F61">
        <v>55955</v>
      </c>
      <c r="G61">
        <v>57.896523992493968</v>
      </c>
      <c r="H61">
        <v>27320</v>
      </c>
      <c r="I61">
        <v>45424</v>
      </c>
      <c r="J61">
        <v>60.14</v>
      </c>
    </row>
    <row r="62" spans="1:10" x14ac:dyDescent="0.25">
      <c r="A62" t="s">
        <v>260</v>
      </c>
      <c r="B62" t="s">
        <v>149</v>
      </c>
      <c r="C62" t="s">
        <v>6</v>
      </c>
      <c r="D62" t="s">
        <v>106</v>
      </c>
      <c r="E62">
        <v>1152.8219999999999</v>
      </c>
      <c r="F62">
        <v>1216.0060000000001</v>
      </c>
      <c r="G62">
        <v>94.803973006712113</v>
      </c>
      <c r="H62">
        <v>0</v>
      </c>
      <c r="I62">
        <v>0</v>
      </c>
      <c r="J62">
        <v>0</v>
      </c>
    </row>
    <row r="63" spans="1:10" x14ac:dyDescent="0.25">
      <c r="A63" t="s">
        <v>261</v>
      </c>
      <c r="B63" t="s">
        <v>149</v>
      </c>
      <c r="C63" t="s">
        <v>6</v>
      </c>
      <c r="D63" t="s">
        <v>106</v>
      </c>
      <c r="E63">
        <v>7766.9110000000001</v>
      </c>
      <c r="F63">
        <v>8743.4840000000004</v>
      </c>
      <c r="G63">
        <v>88.830848206504413</v>
      </c>
      <c r="H63">
        <v>6427</v>
      </c>
      <c r="I63">
        <v>7391</v>
      </c>
      <c r="J63">
        <v>86.96</v>
      </c>
    </row>
    <row r="64" spans="1:10" x14ac:dyDescent="0.25">
      <c r="A64" t="s">
        <v>262</v>
      </c>
      <c r="B64" t="s">
        <v>149</v>
      </c>
      <c r="C64" t="s">
        <v>6</v>
      </c>
      <c r="D64" t="s">
        <v>106</v>
      </c>
      <c r="E64">
        <v>1658.674</v>
      </c>
      <c r="F64">
        <v>1813.8219999999999</v>
      </c>
      <c r="G64">
        <v>91.446349200748472</v>
      </c>
      <c r="H64">
        <v>8074</v>
      </c>
      <c r="I64">
        <v>8939</v>
      </c>
      <c r="J64">
        <v>90.32</v>
      </c>
    </row>
    <row r="65" spans="1:10" x14ac:dyDescent="0.25">
      <c r="A65" t="s">
        <v>263</v>
      </c>
      <c r="B65" t="s">
        <v>149</v>
      </c>
      <c r="C65" t="s">
        <v>6</v>
      </c>
      <c r="D65" t="s">
        <v>106</v>
      </c>
      <c r="E65">
        <v>8480</v>
      </c>
      <c r="F65">
        <v>11529</v>
      </c>
      <c r="G65">
        <v>73.553647324139121</v>
      </c>
      <c r="H65">
        <v>0</v>
      </c>
      <c r="I65">
        <v>0</v>
      </c>
      <c r="J65">
        <v>0</v>
      </c>
    </row>
    <row r="66" spans="1:10" x14ac:dyDescent="0.25">
      <c r="A66" t="s">
        <v>264</v>
      </c>
      <c r="B66" t="s">
        <v>150</v>
      </c>
      <c r="C66" t="s">
        <v>6</v>
      </c>
      <c r="D66" t="s">
        <v>106</v>
      </c>
      <c r="E66">
        <v>41396.917999999998</v>
      </c>
      <c r="F66">
        <v>71690.703999999998</v>
      </c>
      <c r="G66">
        <v>57.743773865018824</v>
      </c>
      <c r="H66">
        <v>30459</v>
      </c>
      <c r="I66">
        <v>52066</v>
      </c>
      <c r="J66">
        <v>58.5</v>
      </c>
    </row>
    <row r="67" spans="1:10" x14ac:dyDescent="0.25">
      <c r="A67" t="s">
        <v>265</v>
      </c>
      <c r="B67" t="s">
        <v>150</v>
      </c>
      <c r="C67" t="s">
        <v>6</v>
      </c>
      <c r="D67" t="s">
        <v>106</v>
      </c>
      <c r="E67">
        <v>6982.9050000000007</v>
      </c>
      <c r="F67">
        <v>8149.0509999999995</v>
      </c>
      <c r="G67">
        <v>85.689793817709585</v>
      </c>
      <c r="H67">
        <v>7873</v>
      </c>
      <c r="I67">
        <v>9209</v>
      </c>
      <c r="J67">
        <v>85.5</v>
      </c>
    </row>
    <row r="68" spans="1:10" x14ac:dyDescent="0.25">
      <c r="A68" t="s">
        <v>245</v>
      </c>
      <c r="B68" t="s">
        <v>145</v>
      </c>
      <c r="C68" t="s">
        <v>7</v>
      </c>
      <c r="D68" t="s">
        <v>106</v>
      </c>
      <c r="E68">
        <v>9117.91</v>
      </c>
      <c r="F68">
        <v>9911.23</v>
      </c>
      <c r="G68">
        <v>91.995746239366866</v>
      </c>
      <c r="H68">
        <v>5597</v>
      </c>
      <c r="I68">
        <v>6585</v>
      </c>
      <c r="J68">
        <v>85</v>
      </c>
    </row>
    <row r="69" spans="1:10" x14ac:dyDescent="0.25">
      <c r="A69" t="s">
        <v>246</v>
      </c>
      <c r="B69" t="s">
        <v>145</v>
      </c>
      <c r="C69" t="s">
        <v>7</v>
      </c>
      <c r="D69" t="s">
        <v>106</v>
      </c>
      <c r="E69">
        <v>7320</v>
      </c>
      <c r="F69">
        <v>7784.3509999999997</v>
      </c>
      <c r="G69">
        <v>94.034814206091184</v>
      </c>
      <c r="H69">
        <v>14002</v>
      </c>
      <c r="I69">
        <v>14661</v>
      </c>
      <c r="J69">
        <v>95.5</v>
      </c>
    </row>
    <row r="70" spans="1:10" x14ac:dyDescent="0.25">
      <c r="A70" t="s">
        <v>247</v>
      </c>
      <c r="B70" t="s">
        <v>145</v>
      </c>
      <c r="C70" t="s">
        <v>7</v>
      </c>
      <c r="D70" t="s">
        <v>106</v>
      </c>
      <c r="E70">
        <v>19321.080000000002</v>
      </c>
      <c r="F70">
        <v>22152.856</v>
      </c>
      <c r="G70">
        <v>87.217106453452331</v>
      </c>
      <c r="H70">
        <v>43112</v>
      </c>
      <c r="I70">
        <v>48769</v>
      </c>
      <c r="J70">
        <v>88.4</v>
      </c>
    </row>
    <row r="71" spans="1:10" x14ac:dyDescent="0.25">
      <c r="A71" t="s">
        <v>248</v>
      </c>
      <c r="B71" t="s">
        <v>145</v>
      </c>
      <c r="C71" t="s">
        <v>7</v>
      </c>
      <c r="D71" t="s">
        <v>106</v>
      </c>
      <c r="E71">
        <v>52227.22</v>
      </c>
      <c r="F71">
        <v>59732.73</v>
      </c>
      <c r="G71">
        <v>87.434845184541203</v>
      </c>
      <c r="H71">
        <v>74452</v>
      </c>
      <c r="I71">
        <v>84413</v>
      </c>
      <c r="J71">
        <v>88.2</v>
      </c>
    </row>
    <row r="72" spans="1:10" x14ac:dyDescent="0.25">
      <c r="A72" t="s">
        <v>249</v>
      </c>
      <c r="B72" t="s">
        <v>145</v>
      </c>
      <c r="C72" t="s">
        <v>7</v>
      </c>
      <c r="D72" t="s">
        <v>106</v>
      </c>
      <c r="E72">
        <v>0</v>
      </c>
      <c r="F72">
        <v>0</v>
      </c>
      <c r="G72">
        <v>0</v>
      </c>
      <c r="H72">
        <v>1768</v>
      </c>
      <c r="I72">
        <v>1834</v>
      </c>
      <c r="J72">
        <v>96.4</v>
      </c>
    </row>
    <row r="73" spans="1:10" x14ac:dyDescent="0.25">
      <c r="A73" t="s">
        <v>250</v>
      </c>
      <c r="B73" t="s">
        <v>145</v>
      </c>
      <c r="C73" t="s">
        <v>7</v>
      </c>
      <c r="D73" t="s">
        <v>106</v>
      </c>
      <c r="E73">
        <v>2959.08</v>
      </c>
      <c r="F73">
        <v>3186.08</v>
      </c>
      <c r="G73">
        <v>92.875257369557573</v>
      </c>
      <c r="H73">
        <v>2126</v>
      </c>
      <c r="I73">
        <v>2266</v>
      </c>
      <c r="J73">
        <v>93.8</v>
      </c>
    </row>
    <row r="74" spans="1:10" x14ac:dyDescent="0.25">
      <c r="A74" t="s">
        <v>251</v>
      </c>
      <c r="B74" t="s">
        <v>145</v>
      </c>
      <c r="C74" t="s">
        <v>7</v>
      </c>
      <c r="D74" t="s">
        <v>106</v>
      </c>
      <c r="E74">
        <v>8907.58</v>
      </c>
      <c r="F74">
        <v>11821.72</v>
      </c>
      <c r="G74">
        <v>75.349272356306869</v>
      </c>
      <c r="H74">
        <v>8873</v>
      </c>
      <c r="I74">
        <v>12675</v>
      </c>
      <c r="J74">
        <v>70</v>
      </c>
    </row>
    <row r="75" spans="1:10" x14ac:dyDescent="0.25">
      <c r="A75" t="s">
        <v>252</v>
      </c>
      <c r="B75" t="s">
        <v>146</v>
      </c>
      <c r="C75" t="s">
        <v>7</v>
      </c>
      <c r="D75" t="s">
        <v>106</v>
      </c>
      <c r="E75">
        <v>74904.350000000006</v>
      </c>
      <c r="F75">
        <v>125903.77</v>
      </c>
      <c r="G75">
        <v>59.493333678570551</v>
      </c>
      <c r="H75">
        <v>107056</v>
      </c>
      <c r="I75">
        <v>184580</v>
      </c>
      <c r="J75">
        <v>58</v>
      </c>
    </row>
    <row r="76" spans="1:10" x14ac:dyDescent="0.25">
      <c r="A76" t="s">
        <v>253</v>
      </c>
      <c r="B76" t="s">
        <v>146</v>
      </c>
      <c r="C76" t="s">
        <v>7</v>
      </c>
      <c r="D76" t="s">
        <v>106</v>
      </c>
      <c r="E76">
        <v>13406.61</v>
      </c>
      <c r="F76">
        <v>14658.356</v>
      </c>
      <c r="G76">
        <v>91.460529407254128</v>
      </c>
      <c r="H76">
        <v>0</v>
      </c>
      <c r="I76">
        <v>0</v>
      </c>
      <c r="J76">
        <v>0</v>
      </c>
    </row>
    <row r="77" spans="1:10" x14ac:dyDescent="0.25">
      <c r="A77" t="s">
        <v>254</v>
      </c>
      <c r="B77" t="s">
        <v>146</v>
      </c>
      <c r="C77" t="s">
        <v>7</v>
      </c>
      <c r="D77" t="s">
        <v>106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277</v>
      </c>
      <c r="B78" t="s">
        <v>147</v>
      </c>
      <c r="C78" t="s">
        <v>7</v>
      </c>
      <c r="D78" t="s">
        <v>106</v>
      </c>
      <c r="E78">
        <v>70741.456000000006</v>
      </c>
      <c r="F78">
        <v>122003.783</v>
      </c>
      <c r="G78">
        <v>57.983002051665899</v>
      </c>
      <c r="H78">
        <v>90007</v>
      </c>
      <c r="I78">
        <v>155184</v>
      </c>
      <c r="J78">
        <v>58</v>
      </c>
    </row>
    <row r="79" spans="1:10" x14ac:dyDescent="0.25">
      <c r="A79" t="s">
        <v>255</v>
      </c>
      <c r="B79" t="s">
        <v>148</v>
      </c>
      <c r="C79" t="s">
        <v>7</v>
      </c>
      <c r="D79" t="s">
        <v>106</v>
      </c>
      <c r="E79">
        <v>14730.24</v>
      </c>
      <c r="F79">
        <v>16609.934000000001</v>
      </c>
      <c r="G79">
        <v>88.683314455072477</v>
      </c>
      <c r="H79">
        <v>5104</v>
      </c>
      <c r="I79">
        <v>5415</v>
      </c>
      <c r="J79">
        <v>94.26</v>
      </c>
    </row>
    <row r="80" spans="1:10" x14ac:dyDescent="0.25">
      <c r="A80" t="s">
        <v>256</v>
      </c>
      <c r="B80" t="s">
        <v>148</v>
      </c>
      <c r="C80" t="s">
        <v>7</v>
      </c>
      <c r="D80" t="s">
        <v>106</v>
      </c>
      <c r="E80">
        <v>26171.092000000001</v>
      </c>
      <c r="F80">
        <v>29044.187999999998</v>
      </c>
      <c r="G80">
        <v>90.107845328642014</v>
      </c>
      <c r="H80">
        <v>0</v>
      </c>
      <c r="I80">
        <v>0</v>
      </c>
      <c r="J80">
        <v>0</v>
      </c>
    </row>
    <row r="81" spans="1:10" x14ac:dyDescent="0.25">
      <c r="A81" t="s">
        <v>257</v>
      </c>
      <c r="B81" t="s">
        <v>148</v>
      </c>
      <c r="C81" t="s">
        <v>7</v>
      </c>
      <c r="D81" t="s">
        <v>106</v>
      </c>
      <c r="E81">
        <v>34367.232000000004</v>
      </c>
      <c r="F81">
        <v>39742.853999999999</v>
      </c>
      <c r="G81">
        <v>86.473991022386073</v>
      </c>
      <c r="H81">
        <v>13646</v>
      </c>
      <c r="I81">
        <v>15693</v>
      </c>
      <c r="J81">
        <v>86.96</v>
      </c>
    </row>
    <row r="82" spans="1:10" x14ac:dyDescent="0.25">
      <c r="A82" t="s">
        <v>258</v>
      </c>
      <c r="B82" t="s">
        <v>148</v>
      </c>
      <c r="C82" t="s">
        <v>7</v>
      </c>
      <c r="D82" t="s">
        <v>106</v>
      </c>
      <c r="E82">
        <v>0</v>
      </c>
      <c r="F82">
        <v>0</v>
      </c>
      <c r="G82">
        <v>0</v>
      </c>
      <c r="H82">
        <v>29478</v>
      </c>
      <c r="I82">
        <v>30867</v>
      </c>
      <c r="J82">
        <v>95.5</v>
      </c>
    </row>
    <row r="83" spans="1:10" x14ac:dyDescent="0.25">
      <c r="A83" t="s">
        <v>259</v>
      </c>
      <c r="B83" t="s">
        <v>149</v>
      </c>
      <c r="C83" t="s">
        <v>7</v>
      </c>
      <c r="D83" t="s">
        <v>106</v>
      </c>
      <c r="E83">
        <v>34129</v>
      </c>
      <c r="F83">
        <v>59064</v>
      </c>
      <c r="G83">
        <v>57.783082757686579</v>
      </c>
      <c r="H83">
        <v>44150</v>
      </c>
      <c r="I83">
        <v>72814</v>
      </c>
      <c r="J83">
        <v>60.63</v>
      </c>
    </row>
    <row r="84" spans="1:10" x14ac:dyDescent="0.25">
      <c r="A84" t="s">
        <v>260</v>
      </c>
      <c r="B84" t="s">
        <v>149</v>
      </c>
      <c r="C84" t="s">
        <v>7</v>
      </c>
      <c r="D84" t="s">
        <v>106</v>
      </c>
      <c r="E84">
        <v>4322.1899999999996</v>
      </c>
      <c r="F84">
        <v>4560.6019999999999</v>
      </c>
      <c r="G84">
        <v>94.772356807281128</v>
      </c>
      <c r="H84">
        <v>0</v>
      </c>
      <c r="I84">
        <v>0</v>
      </c>
      <c r="J84">
        <v>0</v>
      </c>
    </row>
    <row r="85" spans="1:10" x14ac:dyDescent="0.25">
      <c r="A85" t="s">
        <v>261</v>
      </c>
      <c r="B85" t="s">
        <v>149</v>
      </c>
      <c r="C85" t="s">
        <v>7</v>
      </c>
      <c r="D85" t="s">
        <v>106</v>
      </c>
      <c r="E85">
        <v>582.17600000000004</v>
      </c>
      <c r="F85">
        <v>667.53399999999999</v>
      </c>
      <c r="G85">
        <v>87.212935970302638</v>
      </c>
      <c r="H85">
        <v>13646</v>
      </c>
      <c r="I85">
        <v>15693</v>
      </c>
      <c r="J85">
        <v>86.96</v>
      </c>
    </row>
    <row r="86" spans="1:10" x14ac:dyDescent="0.25">
      <c r="A86" t="s">
        <v>262</v>
      </c>
      <c r="B86" t="s">
        <v>149</v>
      </c>
      <c r="C86" t="s">
        <v>7</v>
      </c>
      <c r="D86" t="s">
        <v>106</v>
      </c>
      <c r="E86">
        <v>572.62599999999998</v>
      </c>
      <c r="F86">
        <v>631.63400000000001</v>
      </c>
      <c r="G86">
        <v>90.657880988040546</v>
      </c>
      <c r="H86">
        <v>15748</v>
      </c>
      <c r="I86">
        <v>17436</v>
      </c>
      <c r="J86">
        <v>90.32</v>
      </c>
    </row>
    <row r="87" spans="1:10" x14ac:dyDescent="0.25">
      <c r="A87" t="s">
        <v>263</v>
      </c>
      <c r="B87" t="s">
        <v>149</v>
      </c>
      <c r="C87" t="s">
        <v>7</v>
      </c>
      <c r="D87" t="s">
        <v>106</v>
      </c>
      <c r="E87">
        <v>9892</v>
      </c>
      <c r="F87">
        <v>15145</v>
      </c>
      <c r="G87">
        <v>65.315285572796299</v>
      </c>
      <c r="H87">
        <v>0</v>
      </c>
      <c r="I87">
        <v>0</v>
      </c>
      <c r="J87">
        <v>0</v>
      </c>
    </row>
    <row r="88" spans="1:10" x14ac:dyDescent="0.25">
      <c r="A88" t="s">
        <v>264</v>
      </c>
      <c r="B88" t="s">
        <v>150</v>
      </c>
      <c r="C88" t="s">
        <v>7</v>
      </c>
      <c r="D88" t="s">
        <v>106</v>
      </c>
      <c r="E88">
        <v>53040.057000000001</v>
      </c>
      <c r="F88">
        <v>91953.633999999991</v>
      </c>
      <c r="G88">
        <v>57.681305993844688</v>
      </c>
      <c r="H88">
        <v>45234</v>
      </c>
      <c r="I88">
        <v>77323</v>
      </c>
      <c r="J88">
        <v>58.5</v>
      </c>
    </row>
    <row r="89" spans="1:10" x14ac:dyDescent="0.25">
      <c r="A89" t="s">
        <v>265</v>
      </c>
      <c r="B89" t="s">
        <v>150</v>
      </c>
      <c r="C89" t="s">
        <v>7</v>
      </c>
      <c r="D89" t="s">
        <v>106</v>
      </c>
      <c r="E89">
        <v>10749.582999999999</v>
      </c>
      <c r="F89">
        <v>12632.175999999999</v>
      </c>
      <c r="G89">
        <v>85.096843172546031</v>
      </c>
      <c r="H89">
        <v>12803</v>
      </c>
      <c r="I89">
        <v>14974</v>
      </c>
      <c r="J89">
        <v>85.5</v>
      </c>
    </row>
    <row r="90" spans="1:10" x14ac:dyDescent="0.25">
      <c r="A90" t="s">
        <v>245</v>
      </c>
      <c r="B90" t="s">
        <v>145</v>
      </c>
      <c r="C90" t="s">
        <v>8</v>
      </c>
      <c r="D90" t="s">
        <v>106</v>
      </c>
      <c r="E90">
        <v>3043.67</v>
      </c>
      <c r="F90">
        <v>3387.529</v>
      </c>
      <c r="G90">
        <v>89.849267711066091</v>
      </c>
      <c r="H90">
        <v>7389</v>
      </c>
      <c r="I90">
        <v>8693</v>
      </c>
      <c r="J90">
        <v>85</v>
      </c>
    </row>
    <row r="91" spans="1:10" x14ac:dyDescent="0.25">
      <c r="A91" t="s">
        <v>246</v>
      </c>
      <c r="B91" t="s">
        <v>145</v>
      </c>
      <c r="C91" t="s">
        <v>8</v>
      </c>
      <c r="D91" t="s">
        <v>106</v>
      </c>
      <c r="E91">
        <v>15657.64</v>
      </c>
      <c r="F91">
        <v>16736.54</v>
      </c>
      <c r="G91">
        <v>93.553625779282925</v>
      </c>
      <c r="H91">
        <v>20783</v>
      </c>
      <c r="I91">
        <v>21762</v>
      </c>
      <c r="J91">
        <v>95.5</v>
      </c>
    </row>
    <row r="92" spans="1:10" x14ac:dyDescent="0.25">
      <c r="A92" t="s">
        <v>247</v>
      </c>
      <c r="B92" t="s">
        <v>145</v>
      </c>
      <c r="C92" t="s">
        <v>8</v>
      </c>
      <c r="D92" t="s">
        <v>106</v>
      </c>
      <c r="E92">
        <v>7858.15</v>
      </c>
      <c r="F92">
        <v>8975.6970000000001</v>
      </c>
      <c r="G92">
        <v>87.549189773228747</v>
      </c>
      <c r="H92">
        <v>49801</v>
      </c>
      <c r="I92">
        <v>56336</v>
      </c>
      <c r="J92">
        <v>88.4</v>
      </c>
    </row>
    <row r="93" spans="1:10" x14ac:dyDescent="0.25">
      <c r="A93" t="s">
        <v>248</v>
      </c>
      <c r="B93" t="s">
        <v>145</v>
      </c>
      <c r="C93" t="s">
        <v>8</v>
      </c>
      <c r="D93" t="s">
        <v>106</v>
      </c>
      <c r="E93">
        <v>100891.67</v>
      </c>
      <c r="F93">
        <v>117396.961</v>
      </c>
      <c r="G93">
        <v>85.94061476599893</v>
      </c>
      <c r="H93">
        <v>104047</v>
      </c>
      <c r="I93">
        <v>117967</v>
      </c>
      <c r="J93">
        <v>88.2</v>
      </c>
    </row>
    <row r="94" spans="1:10" x14ac:dyDescent="0.25">
      <c r="A94" t="s">
        <v>249</v>
      </c>
      <c r="B94" t="s">
        <v>145</v>
      </c>
      <c r="C94" t="s">
        <v>8</v>
      </c>
      <c r="D94" t="s">
        <v>106</v>
      </c>
      <c r="E94">
        <v>2372.2600000000002</v>
      </c>
      <c r="F94">
        <v>2482.0680000000002</v>
      </c>
      <c r="G94">
        <v>95.57594715374438</v>
      </c>
      <c r="H94">
        <v>2625</v>
      </c>
      <c r="I94">
        <v>2723</v>
      </c>
      <c r="J94">
        <v>96.4</v>
      </c>
    </row>
    <row r="95" spans="1:10" x14ac:dyDescent="0.25">
      <c r="A95" t="s">
        <v>250</v>
      </c>
      <c r="B95" t="s">
        <v>145</v>
      </c>
      <c r="C95" t="s">
        <v>8</v>
      </c>
      <c r="D95" t="s">
        <v>106</v>
      </c>
      <c r="E95">
        <v>2803.81</v>
      </c>
      <c r="F95">
        <v>3020.377</v>
      </c>
      <c r="G95">
        <v>92.829802372352859</v>
      </c>
      <c r="H95">
        <v>2497</v>
      </c>
      <c r="I95">
        <v>2662</v>
      </c>
      <c r="J95">
        <v>93.8</v>
      </c>
    </row>
    <row r="96" spans="1:10" x14ac:dyDescent="0.25">
      <c r="A96" t="s">
        <v>251</v>
      </c>
      <c r="B96" t="s">
        <v>145</v>
      </c>
      <c r="C96" t="s">
        <v>8</v>
      </c>
      <c r="D96" t="s">
        <v>106</v>
      </c>
      <c r="E96">
        <v>7753.9</v>
      </c>
      <c r="F96">
        <v>10719.630999999999</v>
      </c>
      <c r="G96">
        <v>72.333646559289207</v>
      </c>
      <c r="H96">
        <v>11121</v>
      </c>
      <c r="I96">
        <v>15886</v>
      </c>
      <c r="J96">
        <v>70</v>
      </c>
    </row>
    <row r="97" spans="1:10" x14ac:dyDescent="0.25">
      <c r="A97" t="s">
        <v>252</v>
      </c>
      <c r="B97" t="s">
        <v>146</v>
      </c>
      <c r="C97" t="s">
        <v>8</v>
      </c>
      <c r="D97" t="s">
        <v>106</v>
      </c>
      <c r="E97">
        <v>118891.428</v>
      </c>
      <c r="F97">
        <v>196309.71</v>
      </c>
      <c r="G97">
        <v>60.563192722356938</v>
      </c>
      <c r="H97">
        <v>130337</v>
      </c>
      <c r="I97">
        <v>224719</v>
      </c>
      <c r="J97">
        <v>58</v>
      </c>
    </row>
    <row r="98" spans="1:10" x14ac:dyDescent="0.25">
      <c r="A98" t="s">
        <v>253</v>
      </c>
      <c r="B98" t="s">
        <v>146</v>
      </c>
      <c r="C98" t="s">
        <v>8</v>
      </c>
      <c r="D98" t="s">
        <v>106</v>
      </c>
      <c r="E98">
        <v>29171.06</v>
      </c>
      <c r="F98">
        <v>33004.095999999998</v>
      </c>
      <c r="G98">
        <v>88.386180915241567</v>
      </c>
      <c r="H98">
        <v>0</v>
      </c>
      <c r="I98">
        <v>0</v>
      </c>
      <c r="J98">
        <v>0</v>
      </c>
    </row>
    <row r="99" spans="1:10" x14ac:dyDescent="0.25">
      <c r="A99" t="s">
        <v>254</v>
      </c>
      <c r="B99" t="s">
        <v>146</v>
      </c>
      <c r="C99" t="s">
        <v>8</v>
      </c>
      <c r="D99" t="s">
        <v>106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277</v>
      </c>
      <c r="B100" t="s">
        <v>147</v>
      </c>
      <c r="C100" t="s">
        <v>8</v>
      </c>
      <c r="D100" t="s">
        <v>106</v>
      </c>
      <c r="E100">
        <v>94614.418999999994</v>
      </c>
      <c r="F100">
        <v>158412.98699999999</v>
      </c>
      <c r="G100">
        <v>59.726428237856531</v>
      </c>
      <c r="H100">
        <v>130790</v>
      </c>
      <c r="I100">
        <v>225499</v>
      </c>
      <c r="J100">
        <v>58</v>
      </c>
    </row>
    <row r="101" spans="1:10" x14ac:dyDescent="0.25">
      <c r="A101" t="s">
        <v>255</v>
      </c>
      <c r="B101" t="s">
        <v>148</v>
      </c>
      <c r="C101" t="s">
        <v>8</v>
      </c>
      <c r="D101" t="s">
        <v>106</v>
      </c>
      <c r="E101">
        <v>20704.27</v>
      </c>
      <c r="F101">
        <v>23532.661</v>
      </c>
      <c r="G101">
        <v>87.980997984035895</v>
      </c>
      <c r="H101">
        <v>1214</v>
      </c>
      <c r="I101">
        <v>1366</v>
      </c>
      <c r="J101">
        <v>88.83</v>
      </c>
    </row>
    <row r="102" spans="1:10" x14ac:dyDescent="0.25">
      <c r="A102" t="s">
        <v>256</v>
      </c>
      <c r="B102" t="s">
        <v>148</v>
      </c>
      <c r="C102" t="s">
        <v>8</v>
      </c>
      <c r="D102" t="s">
        <v>106</v>
      </c>
      <c r="E102">
        <v>30592.091</v>
      </c>
      <c r="F102">
        <v>33955.569000000003</v>
      </c>
      <c r="G102">
        <v>90.094473162855834</v>
      </c>
      <c r="H102">
        <v>0</v>
      </c>
      <c r="I102">
        <v>0</v>
      </c>
      <c r="J102">
        <v>0</v>
      </c>
    </row>
    <row r="103" spans="1:10" x14ac:dyDescent="0.25">
      <c r="A103" t="s">
        <v>257</v>
      </c>
      <c r="B103" t="s">
        <v>148</v>
      </c>
      <c r="C103" t="s">
        <v>8</v>
      </c>
      <c r="D103" t="s">
        <v>106</v>
      </c>
      <c r="E103">
        <v>46583.341</v>
      </c>
      <c r="F103">
        <v>53721.339</v>
      </c>
      <c r="G103">
        <v>86.712918678367274</v>
      </c>
      <c r="H103">
        <v>18573</v>
      </c>
      <c r="I103">
        <v>21358</v>
      </c>
      <c r="J103">
        <v>86.96</v>
      </c>
    </row>
    <row r="104" spans="1:10" x14ac:dyDescent="0.25">
      <c r="A104" t="s">
        <v>258</v>
      </c>
      <c r="B104" t="s">
        <v>148</v>
      </c>
      <c r="C104" t="s">
        <v>8</v>
      </c>
      <c r="D104" t="s">
        <v>106</v>
      </c>
      <c r="E104">
        <v>0</v>
      </c>
      <c r="F104">
        <v>0</v>
      </c>
      <c r="G104">
        <v>0</v>
      </c>
      <c r="H104">
        <v>1900</v>
      </c>
      <c r="I104">
        <v>1989</v>
      </c>
      <c r="J104">
        <v>95.5</v>
      </c>
    </row>
    <row r="105" spans="1:10" x14ac:dyDescent="0.25">
      <c r="A105" t="s">
        <v>259</v>
      </c>
      <c r="B105" t="s">
        <v>149</v>
      </c>
      <c r="C105" t="s">
        <v>8</v>
      </c>
      <c r="D105" t="s">
        <v>106</v>
      </c>
      <c r="E105">
        <v>50686</v>
      </c>
      <c r="F105">
        <v>88060</v>
      </c>
      <c r="G105">
        <v>57.558482852600498</v>
      </c>
      <c r="H105">
        <v>59874</v>
      </c>
      <c r="I105">
        <v>98894</v>
      </c>
      <c r="J105">
        <v>60.54</v>
      </c>
    </row>
    <row r="106" spans="1:10" x14ac:dyDescent="0.25">
      <c r="A106" t="s">
        <v>260</v>
      </c>
      <c r="B106" t="s">
        <v>149</v>
      </c>
      <c r="C106" t="s">
        <v>8</v>
      </c>
      <c r="D106" t="s">
        <v>106</v>
      </c>
      <c r="E106">
        <v>1875.078</v>
      </c>
      <c r="F106">
        <v>1977.8530000000001</v>
      </c>
      <c r="G106">
        <v>94.803708870173864</v>
      </c>
      <c r="H106">
        <v>0</v>
      </c>
      <c r="I106">
        <v>0</v>
      </c>
      <c r="J106">
        <v>0</v>
      </c>
    </row>
    <row r="107" spans="1:10" x14ac:dyDescent="0.25">
      <c r="A107" t="s">
        <v>261</v>
      </c>
      <c r="B107" t="s">
        <v>149</v>
      </c>
      <c r="C107" t="s">
        <v>8</v>
      </c>
      <c r="D107" t="s">
        <v>106</v>
      </c>
      <c r="E107">
        <v>5005.0990000000002</v>
      </c>
      <c r="F107">
        <v>5660.7479999999996</v>
      </c>
      <c r="G107">
        <v>88.417626080510928</v>
      </c>
      <c r="H107">
        <v>18573</v>
      </c>
      <c r="I107">
        <v>21358</v>
      </c>
      <c r="J107">
        <v>86.96</v>
      </c>
    </row>
    <row r="108" spans="1:10" x14ac:dyDescent="0.25">
      <c r="A108" t="s">
        <v>262</v>
      </c>
      <c r="B108" t="s">
        <v>149</v>
      </c>
      <c r="C108" t="s">
        <v>8</v>
      </c>
      <c r="D108" t="s">
        <v>106</v>
      </c>
      <c r="E108">
        <v>2779.5259999999998</v>
      </c>
      <c r="F108">
        <v>3050.556</v>
      </c>
      <c r="G108">
        <v>91.115390112490957</v>
      </c>
      <c r="H108">
        <v>20551</v>
      </c>
      <c r="I108">
        <v>22754</v>
      </c>
      <c r="J108">
        <v>90.32</v>
      </c>
    </row>
    <row r="109" spans="1:10" x14ac:dyDescent="0.25">
      <c r="A109" t="s">
        <v>263</v>
      </c>
      <c r="B109" t="s">
        <v>149</v>
      </c>
      <c r="C109" t="s">
        <v>8</v>
      </c>
      <c r="D109" t="s">
        <v>106</v>
      </c>
      <c r="E109">
        <v>16824</v>
      </c>
      <c r="F109">
        <v>26749</v>
      </c>
      <c r="G109">
        <v>62.89580918912857</v>
      </c>
      <c r="H109">
        <v>0</v>
      </c>
      <c r="I109">
        <v>0</v>
      </c>
      <c r="J109">
        <v>0</v>
      </c>
    </row>
    <row r="110" spans="1:10" x14ac:dyDescent="0.25">
      <c r="A110" t="s">
        <v>264</v>
      </c>
      <c r="B110" t="s">
        <v>150</v>
      </c>
      <c r="C110" t="s">
        <v>8</v>
      </c>
      <c r="D110" t="s">
        <v>106</v>
      </c>
      <c r="E110">
        <v>27457.459000000003</v>
      </c>
      <c r="F110">
        <v>47721.683999999994</v>
      </c>
      <c r="G110">
        <v>57.536651472735137</v>
      </c>
      <c r="H110">
        <v>55781</v>
      </c>
      <c r="I110">
        <v>95352</v>
      </c>
      <c r="J110">
        <v>58.5</v>
      </c>
    </row>
    <row r="111" spans="1:10" ht="13" thickBot="1" x14ac:dyDescent="0.3">
      <c r="A111" t="s">
        <v>265</v>
      </c>
      <c r="B111" t="s">
        <v>150</v>
      </c>
      <c r="C111" t="s">
        <v>8</v>
      </c>
      <c r="D111" t="s">
        <v>106</v>
      </c>
      <c r="E111">
        <v>3435.3220000000001</v>
      </c>
      <c r="F111">
        <v>4012.6149999999998</v>
      </c>
      <c r="G111">
        <v>85.613047850341999</v>
      </c>
      <c r="H111">
        <v>18762</v>
      </c>
      <c r="I111">
        <v>21944</v>
      </c>
      <c r="J111">
        <v>85.5</v>
      </c>
    </row>
    <row r="112" spans="1:10" ht="13" thickBot="1" x14ac:dyDescent="0.3">
      <c r="A112" t="s">
        <v>245</v>
      </c>
      <c r="B112" t="s">
        <v>145</v>
      </c>
      <c r="C112" t="s">
        <v>9</v>
      </c>
      <c r="D112" t="s">
        <v>106</v>
      </c>
      <c r="E112" s="202">
        <v>4003</v>
      </c>
      <c r="F112" s="202">
        <v>4310</v>
      </c>
      <c r="G112" s="203">
        <v>92.89</v>
      </c>
      <c r="H112">
        <v>7166</v>
      </c>
      <c r="I112">
        <v>8431</v>
      </c>
      <c r="J112">
        <v>85</v>
      </c>
    </row>
    <row r="113" spans="1:10" ht="13" thickBot="1" x14ac:dyDescent="0.3">
      <c r="A113" t="s">
        <v>246</v>
      </c>
      <c r="B113" t="s">
        <v>145</v>
      </c>
      <c r="C113" t="s">
        <v>9</v>
      </c>
      <c r="D113" t="s">
        <v>106</v>
      </c>
      <c r="E113" s="202">
        <v>18187</v>
      </c>
      <c r="F113" s="202">
        <v>19343</v>
      </c>
      <c r="G113" s="203">
        <v>94.02</v>
      </c>
      <c r="H113">
        <v>19877</v>
      </c>
      <c r="I113">
        <v>20814</v>
      </c>
      <c r="J113">
        <v>95.5</v>
      </c>
    </row>
    <row r="114" spans="1:10" ht="13" thickBot="1" x14ac:dyDescent="0.3">
      <c r="A114" t="s">
        <v>247</v>
      </c>
      <c r="B114" t="s">
        <v>145</v>
      </c>
      <c r="C114" t="s">
        <v>9</v>
      </c>
      <c r="D114" t="s">
        <v>106</v>
      </c>
      <c r="E114" s="202">
        <v>24412</v>
      </c>
      <c r="F114" s="202">
        <v>27763</v>
      </c>
      <c r="G114" s="203">
        <v>87.93</v>
      </c>
      <c r="H114">
        <v>47631</v>
      </c>
      <c r="I114">
        <v>53881</v>
      </c>
      <c r="J114">
        <v>88.4</v>
      </c>
    </row>
    <row r="115" spans="1:10" ht="13" thickBot="1" x14ac:dyDescent="0.3">
      <c r="A115" t="s">
        <v>248</v>
      </c>
      <c r="B115" t="s">
        <v>145</v>
      </c>
      <c r="C115" t="s">
        <v>9</v>
      </c>
      <c r="D115" t="s">
        <v>106</v>
      </c>
      <c r="E115" s="202">
        <v>83626</v>
      </c>
      <c r="F115" s="202">
        <v>95822</v>
      </c>
      <c r="G115" s="203">
        <v>87.27</v>
      </c>
      <c r="H115">
        <v>102082</v>
      </c>
      <c r="I115">
        <v>115740</v>
      </c>
      <c r="J115">
        <v>88.2</v>
      </c>
    </row>
    <row r="116" spans="1:10" ht="13" thickBot="1" x14ac:dyDescent="0.3">
      <c r="A116" t="s">
        <v>249</v>
      </c>
      <c r="B116" t="s">
        <v>145</v>
      </c>
      <c r="C116" t="s">
        <v>9</v>
      </c>
      <c r="D116" t="s">
        <v>106</v>
      </c>
      <c r="E116" s="202">
        <v>4047</v>
      </c>
      <c r="F116" s="202">
        <v>4210</v>
      </c>
      <c r="G116" s="203">
        <v>96.15</v>
      </c>
      <c r="H116">
        <v>2510</v>
      </c>
      <c r="I116">
        <v>2604</v>
      </c>
      <c r="J116">
        <v>96.4</v>
      </c>
    </row>
    <row r="117" spans="1:10" ht="13" thickBot="1" x14ac:dyDescent="0.3">
      <c r="A117" t="s">
        <v>250</v>
      </c>
      <c r="B117" t="s">
        <v>145</v>
      </c>
      <c r="C117" t="s">
        <v>9</v>
      </c>
      <c r="D117" t="s">
        <v>106</v>
      </c>
      <c r="E117" s="202">
        <v>2871</v>
      </c>
      <c r="F117" s="202">
        <v>3170</v>
      </c>
      <c r="G117" s="203">
        <v>90.56</v>
      </c>
      <c r="H117">
        <v>2388</v>
      </c>
      <c r="I117">
        <v>2546</v>
      </c>
      <c r="J117">
        <v>93.8</v>
      </c>
    </row>
    <row r="118" spans="1:10" ht="13" thickBot="1" x14ac:dyDescent="0.3">
      <c r="A118" t="s">
        <v>251</v>
      </c>
      <c r="B118" t="s">
        <v>145</v>
      </c>
      <c r="C118" t="s">
        <v>9</v>
      </c>
      <c r="D118" t="s">
        <v>106</v>
      </c>
      <c r="E118" s="202">
        <v>18842</v>
      </c>
      <c r="F118" s="202">
        <v>26058</v>
      </c>
      <c r="G118" s="203">
        <v>72.31</v>
      </c>
      <c r="H118">
        <v>10630</v>
      </c>
      <c r="I118">
        <v>15186</v>
      </c>
      <c r="J118">
        <v>70</v>
      </c>
    </row>
    <row r="119" spans="1:10" ht="13" thickBot="1" x14ac:dyDescent="0.3">
      <c r="A119" t="s">
        <v>252</v>
      </c>
      <c r="B119" t="s">
        <v>146</v>
      </c>
      <c r="C119" t="s">
        <v>9</v>
      </c>
      <c r="D119" t="s">
        <v>106</v>
      </c>
      <c r="E119" s="202">
        <v>110617</v>
      </c>
      <c r="F119" s="202">
        <v>189192</v>
      </c>
      <c r="G119" s="203">
        <v>58.47</v>
      </c>
      <c r="H119">
        <v>143114</v>
      </c>
      <c r="I119">
        <v>246748</v>
      </c>
      <c r="J119">
        <v>58</v>
      </c>
    </row>
    <row r="120" spans="1:10" ht="13" thickBot="1" x14ac:dyDescent="0.3">
      <c r="A120" t="s">
        <v>253</v>
      </c>
      <c r="B120" t="s">
        <v>146</v>
      </c>
      <c r="C120" t="s">
        <v>9</v>
      </c>
      <c r="D120" t="s">
        <v>106</v>
      </c>
      <c r="E120" s="202">
        <v>20479</v>
      </c>
      <c r="F120" s="202">
        <v>22279</v>
      </c>
      <c r="G120" s="203">
        <v>91.92</v>
      </c>
      <c r="H120">
        <v>0</v>
      </c>
      <c r="I120">
        <v>0</v>
      </c>
      <c r="J120">
        <v>0</v>
      </c>
    </row>
    <row r="121" spans="1:10" ht="13" thickBot="1" x14ac:dyDescent="0.3">
      <c r="A121" t="s">
        <v>254</v>
      </c>
      <c r="B121" t="s">
        <v>146</v>
      </c>
      <c r="C121" t="s">
        <v>9</v>
      </c>
      <c r="D121" t="s">
        <v>106</v>
      </c>
      <c r="E121" s="203">
        <v>0</v>
      </c>
      <c r="F121" s="203">
        <v>0</v>
      </c>
      <c r="G121" s="203">
        <v>0</v>
      </c>
      <c r="H121">
        <v>0</v>
      </c>
      <c r="I121">
        <v>0</v>
      </c>
      <c r="J121">
        <v>0</v>
      </c>
    </row>
    <row r="122" spans="1:10" ht="13" thickBot="1" x14ac:dyDescent="0.3">
      <c r="A122" t="s">
        <v>277</v>
      </c>
      <c r="B122" t="s">
        <v>147</v>
      </c>
      <c r="C122" t="s">
        <v>9</v>
      </c>
      <c r="D122" t="s">
        <v>106</v>
      </c>
      <c r="E122" s="202">
        <v>115532</v>
      </c>
      <c r="F122" s="202">
        <v>191132</v>
      </c>
      <c r="G122" s="203">
        <v>60.45</v>
      </c>
      <c r="H122">
        <v>120098</v>
      </c>
      <c r="I122">
        <v>207066</v>
      </c>
      <c r="J122">
        <v>58</v>
      </c>
    </row>
    <row r="123" spans="1:10" ht="13" thickBot="1" x14ac:dyDescent="0.3">
      <c r="A123" t="s">
        <v>255</v>
      </c>
      <c r="B123" t="s">
        <v>148</v>
      </c>
      <c r="C123" t="s">
        <v>9</v>
      </c>
      <c r="D123" t="s">
        <v>106</v>
      </c>
      <c r="E123" s="202">
        <v>20638</v>
      </c>
      <c r="F123" s="202">
        <v>23178</v>
      </c>
      <c r="G123" s="203">
        <v>89.04</v>
      </c>
      <c r="H123">
        <v>1330</v>
      </c>
      <c r="I123">
        <v>1501</v>
      </c>
      <c r="J123">
        <v>88.58</v>
      </c>
    </row>
    <row r="124" spans="1:10" ht="13" thickBot="1" x14ac:dyDescent="0.3">
      <c r="A124" t="s">
        <v>256</v>
      </c>
      <c r="B124" t="s">
        <v>148</v>
      </c>
      <c r="C124" t="s">
        <v>9</v>
      </c>
      <c r="D124" t="s">
        <v>106</v>
      </c>
      <c r="E124" s="202">
        <v>32822</v>
      </c>
      <c r="F124" s="202">
        <v>36235</v>
      </c>
      <c r="G124" s="203">
        <v>90.58</v>
      </c>
      <c r="H124">
        <v>0</v>
      </c>
      <c r="I124">
        <v>0</v>
      </c>
      <c r="J124">
        <v>0</v>
      </c>
    </row>
    <row r="125" spans="1:10" ht="13" thickBot="1" x14ac:dyDescent="0.3">
      <c r="A125" t="s">
        <v>257</v>
      </c>
      <c r="B125" t="s">
        <v>148</v>
      </c>
      <c r="C125" t="s">
        <v>9</v>
      </c>
      <c r="D125" t="s">
        <v>106</v>
      </c>
      <c r="E125" s="202">
        <v>43255</v>
      </c>
      <c r="F125" s="202">
        <v>49729</v>
      </c>
      <c r="G125" s="203">
        <v>86.98</v>
      </c>
      <c r="H125">
        <v>21141</v>
      </c>
      <c r="I125">
        <v>24311</v>
      </c>
      <c r="J125">
        <v>86.96</v>
      </c>
    </row>
    <row r="126" spans="1:10" ht="13" thickBot="1" x14ac:dyDescent="0.3">
      <c r="A126" t="s">
        <v>258</v>
      </c>
      <c r="B126" t="s">
        <v>148</v>
      </c>
      <c r="C126" t="s">
        <v>9</v>
      </c>
      <c r="D126" t="s">
        <v>106</v>
      </c>
      <c r="E126" s="203">
        <v>0</v>
      </c>
      <c r="F126" s="203">
        <v>0</v>
      </c>
      <c r="G126" s="203">
        <v>0</v>
      </c>
      <c r="H126">
        <v>1817</v>
      </c>
      <c r="I126">
        <v>1903</v>
      </c>
      <c r="J126">
        <v>95.5</v>
      </c>
    </row>
    <row r="127" spans="1:10" ht="13" thickBot="1" x14ac:dyDescent="0.3">
      <c r="A127" t="s">
        <v>259</v>
      </c>
      <c r="B127" t="s">
        <v>149</v>
      </c>
      <c r="C127" t="s">
        <v>9</v>
      </c>
      <c r="D127" t="s">
        <v>106</v>
      </c>
      <c r="E127" s="202">
        <v>51023</v>
      </c>
      <c r="F127" s="202">
        <v>89016</v>
      </c>
      <c r="G127" s="203">
        <v>57.32</v>
      </c>
      <c r="H127">
        <v>53956</v>
      </c>
      <c r="I127">
        <v>88094</v>
      </c>
      <c r="J127">
        <v>61.25</v>
      </c>
    </row>
    <row r="128" spans="1:10" ht="13" thickBot="1" x14ac:dyDescent="0.3">
      <c r="A128" t="s">
        <v>260</v>
      </c>
      <c r="B128" t="s">
        <v>149</v>
      </c>
      <c r="C128" t="s">
        <v>9</v>
      </c>
      <c r="D128" t="s">
        <v>106</v>
      </c>
      <c r="E128" s="202">
        <v>3054</v>
      </c>
      <c r="F128" s="202">
        <v>3230</v>
      </c>
      <c r="G128" s="203">
        <v>94.54</v>
      </c>
      <c r="H128">
        <v>0</v>
      </c>
      <c r="I128">
        <v>0</v>
      </c>
      <c r="J128">
        <v>0</v>
      </c>
    </row>
    <row r="129" spans="1:10" ht="13" thickBot="1" x14ac:dyDescent="0.3">
      <c r="A129" t="s">
        <v>261</v>
      </c>
      <c r="B129" t="s">
        <v>149</v>
      </c>
      <c r="C129" t="s">
        <v>9</v>
      </c>
      <c r="D129" t="s">
        <v>106</v>
      </c>
      <c r="E129" s="203">
        <v>657</v>
      </c>
      <c r="F129" s="203">
        <v>737</v>
      </c>
      <c r="G129" s="203">
        <v>89.12</v>
      </c>
      <c r="H129">
        <v>21141</v>
      </c>
      <c r="I129">
        <v>24311</v>
      </c>
      <c r="J129">
        <v>86.96</v>
      </c>
    </row>
    <row r="130" spans="1:10" ht="13" thickBot="1" x14ac:dyDescent="0.3">
      <c r="A130" t="s">
        <v>262</v>
      </c>
      <c r="B130" t="s">
        <v>149</v>
      </c>
      <c r="C130" t="s">
        <v>9</v>
      </c>
      <c r="D130" t="s">
        <v>106</v>
      </c>
      <c r="E130" s="203">
        <v>0</v>
      </c>
      <c r="F130" s="203">
        <v>0</v>
      </c>
      <c r="G130" s="203">
        <v>0</v>
      </c>
      <c r="H130">
        <v>23374</v>
      </c>
      <c r="I130">
        <v>25880</v>
      </c>
      <c r="J130">
        <v>90.32</v>
      </c>
    </row>
    <row r="131" spans="1:10" ht="13" thickBot="1" x14ac:dyDescent="0.3">
      <c r="A131" t="s">
        <v>263</v>
      </c>
      <c r="B131" t="s">
        <v>149</v>
      </c>
      <c r="C131" t="s">
        <v>9</v>
      </c>
      <c r="D131" t="s">
        <v>106</v>
      </c>
      <c r="E131" s="202">
        <v>12762</v>
      </c>
      <c r="F131" s="202">
        <v>21136</v>
      </c>
      <c r="G131" s="203">
        <v>60.38</v>
      </c>
      <c r="H131">
        <v>0</v>
      </c>
      <c r="I131">
        <v>0</v>
      </c>
      <c r="J131">
        <v>0</v>
      </c>
    </row>
    <row r="132" spans="1:10" ht="13" thickBot="1" x14ac:dyDescent="0.3">
      <c r="A132" t="s">
        <v>264</v>
      </c>
      <c r="B132" t="s">
        <v>150</v>
      </c>
      <c r="C132" t="s">
        <v>9</v>
      </c>
      <c r="D132" t="s">
        <v>106</v>
      </c>
      <c r="E132" s="202">
        <v>52717</v>
      </c>
      <c r="F132" s="202">
        <v>90670</v>
      </c>
      <c r="G132" s="203">
        <v>58.14</v>
      </c>
      <c r="H132">
        <v>53019</v>
      </c>
      <c r="I132">
        <v>90630</v>
      </c>
      <c r="J132">
        <v>58.5</v>
      </c>
    </row>
    <row r="133" spans="1:10" ht="13" thickBot="1" x14ac:dyDescent="0.3">
      <c r="A133" t="s">
        <v>265</v>
      </c>
      <c r="B133" t="s">
        <v>150</v>
      </c>
      <c r="C133" t="s">
        <v>9</v>
      </c>
      <c r="D133" t="s">
        <v>106</v>
      </c>
      <c r="E133" s="202">
        <v>8670</v>
      </c>
      <c r="F133" s="202">
        <v>10182</v>
      </c>
      <c r="G133" s="203">
        <v>85.15</v>
      </c>
      <c r="H133">
        <v>17933</v>
      </c>
      <c r="I133">
        <v>20974</v>
      </c>
      <c r="J133">
        <v>85.5</v>
      </c>
    </row>
    <row r="134" spans="1:10" ht="13" thickBot="1" x14ac:dyDescent="0.3">
      <c r="A134" t="s">
        <v>245</v>
      </c>
      <c r="B134" t="s">
        <v>145</v>
      </c>
      <c r="C134" t="s">
        <v>10</v>
      </c>
      <c r="D134" t="s">
        <v>106</v>
      </c>
      <c r="E134" s="203">
        <v>698</v>
      </c>
      <c r="F134" s="203">
        <v>792</v>
      </c>
      <c r="G134" s="203">
        <v>88.13</v>
      </c>
      <c r="H134">
        <v>7376</v>
      </c>
      <c r="I134">
        <v>8678</v>
      </c>
      <c r="J134">
        <v>85</v>
      </c>
    </row>
    <row r="135" spans="1:10" ht="13" thickBot="1" x14ac:dyDescent="0.3">
      <c r="A135" t="s">
        <v>246</v>
      </c>
      <c r="B135" t="s">
        <v>145</v>
      </c>
      <c r="C135" t="s">
        <v>10</v>
      </c>
      <c r="D135" t="s">
        <v>106</v>
      </c>
      <c r="E135" s="202">
        <v>23432</v>
      </c>
      <c r="F135" s="202">
        <v>24623</v>
      </c>
      <c r="G135" s="203">
        <v>95.16</v>
      </c>
      <c r="H135">
        <v>21478</v>
      </c>
      <c r="I135">
        <v>22490</v>
      </c>
      <c r="J135">
        <v>95.5</v>
      </c>
    </row>
    <row r="136" spans="1:10" ht="13" thickBot="1" x14ac:dyDescent="0.3">
      <c r="A136" t="s">
        <v>247</v>
      </c>
      <c r="B136" t="s">
        <v>145</v>
      </c>
      <c r="C136" t="s">
        <v>10</v>
      </c>
      <c r="D136" t="s">
        <v>106</v>
      </c>
      <c r="E136" s="202">
        <v>20326</v>
      </c>
      <c r="F136" s="202">
        <v>23346</v>
      </c>
      <c r="G136" s="203">
        <v>87.06</v>
      </c>
      <c r="H136">
        <v>51468</v>
      </c>
      <c r="I136">
        <v>58221</v>
      </c>
      <c r="J136">
        <v>88.4</v>
      </c>
    </row>
    <row r="137" spans="1:10" ht="13" thickBot="1" x14ac:dyDescent="0.3">
      <c r="A137" t="s">
        <v>248</v>
      </c>
      <c r="B137" t="s">
        <v>145</v>
      </c>
      <c r="C137" t="s">
        <v>10</v>
      </c>
      <c r="D137" t="s">
        <v>106</v>
      </c>
      <c r="E137" s="202">
        <v>89165</v>
      </c>
      <c r="F137" s="202">
        <v>101436</v>
      </c>
      <c r="G137" s="203">
        <v>87.9</v>
      </c>
      <c r="H137">
        <v>101978</v>
      </c>
      <c r="I137">
        <v>115621</v>
      </c>
      <c r="J137">
        <v>88.2</v>
      </c>
    </row>
    <row r="138" spans="1:10" ht="13" thickBot="1" x14ac:dyDescent="0.3">
      <c r="A138" t="s">
        <v>249</v>
      </c>
      <c r="B138" t="s">
        <v>145</v>
      </c>
      <c r="C138" t="s">
        <v>10</v>
      </c>
      <c r="D138" t="s">
        <v>106</v>
      </c>
      <c r="E138" s="203">
        <v>0</v>
      </c>
      <c r="F138" s="203">
        <v>0</v>
      </c>
      <c r="G138" s="203">
        <v>0</v>
      </c>
      <c r="H138">
        <v>2713</v>
      </c>
      <c r="I138">
        <v>2814</v>
      </c>
      <c r="J138">
        <v>96.4</v>
      </c>
    </row>
    <row r="139" spans="1:10" ht="13" thickBot="1" x14ac:dyDescent="0.3">
      <c r="A139" t="s">
        <v>250</v>
      </c>
      <c r="B139" t="s">
        <v>145</v>
      </c>
      <c r="C139" t="s">
        <v>10</v>
      </c>
      <c r="D139" t="s">
        <v>106</v>
      </c>
      <c r="E139" s="202">
        <v>2710</v>
      </c>
      <c r="F139" s="202">
        <v>2946</v>
      </c>
      <c r="G139" s="203">
        <v>91.97</v>
      </c>
      <c r="H139">
        <v>1343</v>
      </c>
      <c r="I139">
        <v>1432</v>
      </c>
      <c r="J139">
        <v>93.8</v>
      </c>
    </row>
    <row r="140" spans="1:10" ht="13" thickBot="1" x14ac:dyDescent="0.3">
      <c r="A140" t="s">
        <v>251</v>
      </c>
      <c r="B140" t="s">
        <v>145</v>
      </c>
      <c r="C140" t="s">
        <v>10</v>
      </c>
      <c r="D140" t="s">
        <v>106</v>
      </c>
      <c r="E140" s="202">
        <v>14244</v>
      </c>
      <c r="F140" s="202">
        <v>19211</v>
      </c>
      <c r="G140" s="203">
        <v>74.14</v>
      </c>
      <c r="H140">
        <v>11454</v>
      </c>
      <c r="I140">
        <v>16363</v>
      </c>
      <c r="J140">
        <v>70</v>
      </c>
    </row>
    <row r="141" spans="1:10" ht="13" thickBot="1" x14ac:dyDescent="0.3">
      <c r="A141" t="s">
        <v>252</v>
      </c>
      <c r="B141" t="s">
        <v>146</v>
      </c>
      <c r="C141" t="s">
        <v>10</v>
      </c>
      <c r="D141" t="s">
        <v>106</v>
      </c>
      <c r="E141" s="202">
        <v>115831</v>
      </c>
      <c r="F141" s="202">
        <v>200123</v>
      </c>
      <c r="G141" s="203">
        <v>57.88</v>
      </c>
      <c r="H141">
        <v>149333</v>
      </c>
      <c r="I141">
        <v>257471</v>
      </c>
      <c r="J141">
        <v>58</v>
      </c>
    </row>
    <row r="142" spans="1:10" ht="13" thickBot="1" x14ac:dyDescent="0.3">
      <c r="A142" t="s">
        <v>253</v>
      </c>
      <c r="B142" t="s">
        <v>146</v>
      </c>
      <c r="C142" t="s">
        <v>10</v>
      </c>
      <c r="D142" t="s">
        <v>106</v>
      </c>
      <c r="E142" s="202">
        <v>35007</v>
      </c>
      <c r="F142" s="202">
        <v>38124</v>
      </c>
      <c r="G142" s="203">
        <v>91.83</v>
      </c>
      <c r="H142">
        <v>0</v>
      </c>
      <c r="I142">
        <v>0</v>
      </c>
      <c r="J142">
        <v>0</v>
      </c>
    </row>
    <row r="143" spans="1:10" ht="13" thickBot="1" x14ac:dyDescent="0.3">
      <c r="A143" t="s">
        <v>254</v>
      </c>
      <c r="B143" t="s">
        <v>146</v>
      </c>
      <c r="C143" t="s">
        <v>10</v>
      </c>
      <c r="D143" t="s">
        <v>106</v>
      </c>
      <c r="E143" s="203">
        <v>0</v>
      </c>
      <c r="F143" s="203">
        <v>0</v>
      </c>
      <c r="G143" s="203">
        <v>0</v>
      </c>
      <c r="H143">
        <v>0</v>
      </c>
      <c r="I143">
        <v>0</v>
      </c>
      <c r="J143">
        <v>0</v>
      </c>
    </row>
    <row r="144" spans="1:10" ht="13" thickBot="1" x14ac:dyDescent="0.3">
      <c r="A144" t="s">
        <v>277</v>
      </c>
      <c r="B144" t="s">
        <v>147</v>
      </c>
      <c r="C144" t="s">
        <v>10</v>
      </c>
      <c r="D144" t="s">
        <v>106</v>
      </c>
      <c r="E144" s="202">
        <v>126519</v>
      </c>
      <c r="F144" s="202">
        <v>205219</v>
      </c>
      <c r="G144" s="203">
        <v>61.65</v>
      </c>
      <c r="H144">
        <v>130990</v>
      </c>
      <c r="I144">
        <v>225845</v>
      </c>
      <c r="J144">
        <v>58</v>
      </c>
    </row>
    <row r="145" spans="1:10" ht="13" thickBot="1" x14ac:dyDescent="0.3">
      <c r="A145" t="s">
        <v>255</v>
      </c>
      <c r="B145" t="s">
        <v>148</v>
      </c>
      <c r="C145" t="s">
        <v>10</v>
      </c>
      <c r="D145" t="s">
        <v>106</v>
      </c>
      <c r="E145" s="202">
        <v>14884</v>
      </c>
      <c r="F145" s="202">
        <v>16618</v>
      </c>
      <c r="G145" s="203">
        <v>89.57</v>
      </c>
      <c r="H145">
        <v>5928</v>
      </c>
      <c r="I145">
        <v>9119</v>
      </c>
      <c r="J145">
        <v>65</v>
      </c>
    </row>
    <row r="146" spans="1:10" ht="13" thickBot="1" x14ac:dyDescent="0.3">
      <c r="A146" t="s">
        <v>256</v>
      </c>
      <c r="B146" t="s">
        <v>148</v>
      </c>
      <c r="C146" t="s">
        <v>10</v>
      </c>
      <c r="D146" t="s">
        <v>106</v>
      </c>
      <c r="E146" s="202">
        <v>32464</v>
      </c>
      <c r="F146" s="202">
        <v>35921</v>
      </c>
      <c r="G146" s="203">
        <v>90.38</v>
      </c>
      <c r="H146">
        <v>0</v>
      </c>
      <c r="I146">
        <v>0</v>
      </c>
      <c r="J146">
        <v>0</v>
      </c>
    </row>
    <row r="147" spans="1:10" ht="13" thickBot="1" x14ac:dyDescent="0.3">
      <c r="A147" t="s">
        <v>257</v>
      </c>
      <c r="B147" t="s">
        <v>148</v>
      </c>
      <c r="C147" t="s">
        <v>10</v>
      </c>
      <c r="D147" t="s">
        <v>106</v>
      </c>
      <c r="E147" s="202">
        <v>49728</v>
      </c>
      <c r="F147" s="202">
        <v>57001</v>
      </c>
      <c r="G147" s="203">
        <v>87.24</v>
      </c>
      <c r="H147">
        <v>26948</v>
      </c>
      <c r="I147">
        <v>30989</v>
      </c>
      <c r="J147">
        <v>86.96</v>
      </c>
    </row>
    <row r="148" spans="1:10" ht="13" thickBot="1" x14ac:dyDescent="0.3">
      <c r="A148" t="s">
        <v>258</v>
      </c>
      <c r="B148" t="s">
        <v>148</v>
      </c>
      <c r="C148" t="s">
        <v>10</v>
      </c>
      <c r="D148" t="s">
        <v>106</v>
      </c>
      <c r="E148" s="202">
        <v>7946</v>
      </c>
      <c r="F148" s="202">
        <v>8411</v>
      </c>
      <c r="G148" s="203">
        <v>94.47</v>
      </c>
      <c r="H148">
        <v>3223</v>
      </c>
      <c r="I148">
        <v>3374</v>
      </c>
      <c r="J148">
        <v>95.5</v>
      </c>
    </row>
    <row r="149" spans="1:10" ht="13" thickBot="1" x14ac:dyDescent="0.3">
      <c r="A149" t="s">
        <v>259</v>
      </c>
      <c r="B149" t="s">
        <v>149</v>
      </c>
      <c r="C149" t="s">
        <v>10</v>
      </c>
      <c r="D149" t="s">
        <v>106</v>
      </c>
      <c r="E149" s="202">
        <v>30041</v>
      </c>
      <c r="F149" s="202">
        <v>52527</v>
      </c>
      <c r="G149" s="203">
        <v>57.19</v>
      </c>
      <c r="H149">
        <v>54303</v>
      </c>
      <c r="I149">
        <v>88178</v>
      </c>
      <c r="J149">
        <v>61.58</v>
      </c>
    </row>
    <row r="150" spans="1:10" ht="13" thickBot="1" x14ac:dyDescent="0.3">
      <c r="A150" t="s">
        <v>260</v>
      </c>
      <c r="B150" t="s">
        <v>149</v>
      </c>
      <c r="C150" t="s">
        <v>10</v>
      </c>
      <c r="D150" t="s">
        <v>106</v>
      </c>
      <c r="E150" s="202">
        <v>4489</v>
      </c>
      <c r="F150" s="202">
        <v>4760</v>
      </c>
      <c r="G150" s="203">
        <v>94.3</v>
      </c>
      <c r="H150">
        <v>0</v>
      </c>
      <c r="I150">
        <v>0</v>
      </c>
      <c r="J150">
        <v>0</v>
      </c>
    </row>
    <row r="151" spans="1:10" ht="13" thickBot="1" x14ac:dyDescent="0.3">
      <c r="A151" t="s">
        <v>261</v>
      </c>
      <c r="B151" t="s">
        <v>149</v>
      </c>
      <c r="C151" t="s">
        <v>10</v>
      </c>
      <c r="D151" t="s">
        <v>106</v>
      </c>
      <c r="E151" s="202">
        <v>7040</v>
      </c>
      <c r="F151" s="202">
        <v>7876</v>
      </c>
      <c r="G151" s="203">
        <v>89.38</v>
      </c>
      <c r="H151">
        <v>26948</v>
      </c>
      <c r="I151">
        <v>30989</v>
      </c>
      <c r="J151">
        <v>86.96</v>
      </c>
    </row>
    <row r="152" spans="1:10" ht="13" thickBot="1" x14ac:dyDescent="0.3">
      <c r="A152" t="s">
        <v>262</v>
      </c>
      <c r="B152" t="s">
        <v>149</v>
      </c>
      <c r="C152" t="s">
        <v>10</v>
      </c>
      <c r="D152" t="s">
        <v>106</v>
      </c>
      <c r="E152" s="202">
        <v>2196</v>
      </c>
      <c r="F152" s="202">
        <v>2408</v>
      </c>
      <c r="G152" s="203">
        <v>91.22</v>
      </c>
      <c r="H152">
        <v>25257</v>
      </c>
      <c r="I152">
        <v>27964</v>
      </c>
      <c r="J152">
        <v>90.32</v>
      </c>
    </row>
    <row r="153" spans="1:10" ht="13" thickBot="1" x14ac:dyDescent="0.3">
      <c r="A153" t="s">
        <v>263</v>
      </c>
      <c r="B153" t="s">
        <v>149</v>
      </c>
      <c r="C153" t="s">
        <v>10</v>
      </c>
      <c r="D153" t="s">
        <v>106</v>
      </c>
      <c r="E153" s="202">
        <v>10583</v>
      </c>
      <c r="F153" s="202">
        <v>14142</v>
      </c>
      <c r="G153" s="203">
        <v>74.83</v>
      </c>
      <c r="H153">
        <v>0</v>
      </c>
      <c r="I153">
        <v>0</v>
      </c>
      <c r="J153">
        <v>0</v>
      </c>
    </row>
    <row r="154" spans="1:10" ht="13" thickBot="1" x14ac:dyDescent="0.3">
      <c r="A154" t="s">
        <v>264</v>
      </c>
      <c r="B154" t="s">
        <v>150</v>
      </c>
      <c r="C154" t="s">
        <v>10</v>
      </c>
      <c r="D154" t="s">
        <v>106</v>
      </c>
      <c r="E154" s="202">
        <v>50076</v>
      </c>
      <c r="F154" s="202">
        <v>89094</v>
      </c>
      <c r="G154" s="203">
        <v>56.21</v>
      </c>
      <c r="H154">
        <v>60432</v>
      </c>
      <c r="I154">
        <v>103302</v>
      </c>
      <c r="J154">
        <v>58.5</v>
      </c>
    </row>
    <row r="155" spans="1:10" ht="13" thickBot="1" x14ac:dyDescent="0.3">
      <c r="A155" t="s">
        <v>265</v>
      </c>
      <c r="B155" t="s">
        <v>150</v>
      </c>
      <c r="C155" t="s">
        <v>10</v>
      </c>
      <c r="D155" t="s">
        <v>106</v>
      </c>
      <c r="E155" s="202">
        <v>13516</v>
      </c>
      <c r="F155" s="202">
        <v>15878</v>
      </c>
      <c r="G155" s="203">
        <v>85.12</v>
      </c>
      <c r="H155">
        <v>19639</v>
      </c>
      <c r="I155">
        <v>22970</v>
      </c>
      <c r="J155">
        <v>85.5</v>
      </c>
    </row>
    <row r="156" spans="1:10" ht="13" thickBot="1" x14ac:dyDescent="0.3">
      <c r="A156" t="s">
        <v>245</v>
      </c>
      <c r="B156" t="s">
        <v>145</v>
      </c>
      <c r="C156" t="s">
        <v>11</v>
      </c>
      <c r="D156" t="s">
        <v>106</v>
      </c>
      <c r="E156" s="202">
        <v>4014</v>
      </c>
      <c r="F156" s="202">
        <v>4626</v>
      </c>
      <c r="G156" s="203">
        <v>86.76</v>
      </c>
      <c r="H156">
        <v>7390</v>
      </c>
      <c r="I156">
        <v>8694</v>
      </c>
      <c r="J156">
        <v>85</v>
      </c>
    </row>
    <row r="157" spans="1:10" ht="13" thickBot="1" x14ac:dyDescent="0.3">
      <c r="A157" t="s">
        <v>246</v>
      </c>
      <c r="B157" t="s">
        <v>145</v>
      </c>
      <c r="C157" t="s">
        <v>11</v>
      </c>
      <c r="D157" t="s">
        <v>106</v>
      </c>
      <c r="E157" s="202">
        <v>17448</v>
      </c>
      <c r="F157" s="202">
        <v>18818</v>
      </c>
      <c r="G157" s="203">
        <v>92.72</v>
      </c>
      <c r="H157">
        <v>20779</v>
      </c>
      <c r="I157">
        <v>21758</v>
      </c>
      <c r="J157">
        <v>95.5</v>
      </c>
    </row>
    <row r="158" spans="1:10" ht="13" thickBot="1" x14ac:dyDescent="0.3">
      <c r="A158" t="s">
        <v>247</v>
      </c>
      <c r="B158" t="s">
        <v>145</v>
      </c>
      <c r="C158" t="s">
        <v>11</v>
      </c>
      <c r="D158" t="s">
        <v>106</v>
      </c>
      <c r="E158" s="202">
        <v>27364</v>
      </c>
      <c r="F158" s="202">
        <v>31563</v>
      </c>
      <c r="G158" s="203">
        <v>86.69</v>
      </c>
      <c r="H158">
        <v>49792</v>
      </c>
      <c r="I158">
        <v>56325</v>
      </c>
      <c r="J158">
        <v>88.4</v>
      </c>
    </row>
    <row r="159" spans="1:10" ht="13" thickBot="1" x14ac:dyDescent="0.3">
      <c r="A159" t="s">
        <v>248</v>
      </c>
      <c r="B159" t="s">
        <v>145</v>
      </c>
      <c r="C159" t="s">
        <v>11</v>
      </c>
      <c r="D159" t="s">
        <v>106</v>
      </c>
      <c r="E159" s="202">
        <v>63177</v>
      </c>
      <c r="F159" s="202">
        <v>71634</v>
      </c>
      <c r="G159" s="203">
        <v>88.19</v>
      </c>
      <c r="H159">
        <v>104067</v>
      </c>
      <c r="I159">
        <v>117990</v>
      </c>
      <c r="J159">
        <v>88.2</v>
      </c>
    </row>
    <row r="160" spans="1:10" ht="13" thickBot="1" x14ac:dyDescent="0.3">
      <c r="A160" t="s">
        <v>249</v>
      </c>
      <c r="B160" t="s">
        <v>145</v>
      </c>
      <c r="C160" t="s">
        <v>11</v>
      </c>
      <c r="D160" t="s">
        <v>106</v>
      </c>
      <c r="E160" s="202">
        <v>3362</v>
      </c>
      <c r="F160" s="202">
        <v>3498</v>
      </c>
      <c r="G160" s="203">
        <v>96.13</v>
      </c>
      <c r="H160">
        <v>2624</v>
      </c>
      <c r="I160">
        <v>2722</v>
      </c>
      <c r="J160">
        <v>96.4</v>
      </c>
    </row>
    <row r="161" spans="1:10" ht="13" thickBot="1" x14ac:dyDescent="0.3">
      <c r="A161" t="s">
        <v>250</v>
      </c>
      <c r="B161" t="s">
        <v>145</v>
      </c>
      <c r="C161" t="s">
        <v>11</v>
      </c>
      <c r="D161" t="s">
        <v>106</v>
      </c>
      <c r="E161" s="202">
        <v>3272</v>
      </c>
      <c r="F161" s="202">
        <v>3567</v>
      </c>
      <c r="G161" s="203">
        <v>91.73</v>
      </c>
      <c r="H161">
        <v>2496</v>
      </c>
      <c r="I161">
        <v>2661</v>
      </c>
      <c r="J161">
        <v>93.8</v>
      </c>
    </row>
    <row r="162" spans="1:10" ht="13" thickBot="1" x14ac:dyDescent="0.3">
      <c r="A162" t="s">
        <v>251</v>
      </c>
      <c r="B162" t="s">
        <v>145</v>
      </c>
      <c r="C162" t="s">
        <v>11</v>
      </c>
      <c r="D162" t="s">
        <v>106</v>
      </c>
      <c r="E162" s="202">
        <v>24359</v>
      </c>
      <c r="F162" s="202">
        <v>34334</v>
      </c>
      <c r="G162" s="203">
        <v>70.95</v>
      </c>
      <c r="H162">
        <v>11118</v>
      </c>
      <c r="I162">
        <v>15883</v>
      </c>
      <c r="J162">
        <v>70</v>
      </c>
    </row>
    <row r="163" spans="1:10" ht="13" thickBot="1" x14ac:dyDescent="0.3">
      <c r="A163" t="s">
        <v>252</v>
      </c>
      <c r="B163" t="s">
        <v>146</v>
      </c>
      <c r="C163" t="s">
        <v>11</v>
      </c>
      <c r="D163" t="s">
        <v>106</v>
      </c>
      <c r="E163" s="202">
        <v>112752</v>
      </c>
      <c r="F163" s="202">
        <v>195050</v>
      </c>
      <c r="G163" s="203">
        <v>57.81</v>
      </c>
      <c r="H163">
        <v>149093</v>
      </c>
      <c r="I163">
        <v>257057</v>
      </c>
      <c r="J163">
        <v>58</v>
      </c>
    </row>
    <row r="164" spans="1:10" ht="13" thickBot="1" x14ac:dyDescent="0.3">
      <c r="A164" t="s">
        <v>253</v>
      </c>
      <c r="B164" t="s">
        <v>146</v>
      </c>
      <c r="C164" t="s">
        <v>11</v>
      </c>
      <c r="D164" t="s">
        <v>106</v>
      </c>
      <c r="E164" s="202">
        <v>51442</v>
      </c>
      <c r="F164" s="202">
        <v>57469</v>
      </c>
      <c r="G164" s="203">
        <v>89.51</v>
      </c>
      <c r="H164">
        <v>0</v>
      </c>
      <c r="I164">
        <v>0</v>
      </c>
      <c r="J164">
        <v>0</v>
      </c>
    </row>
    <row r="165" spans="1:10" ht="13" thickBot="1" x14ac:dyDescent="0.3">
      <c r="A165" t="s">
        <v>254</v>
      </c>
      <c r="B165" t="s">
        <v>146</v>
      </c>
      <c r="C165" t="s">
        <v>11</v>
      </c>
      <c r="D165" t="s">
        <v>106</v>
      </c>
      <c r="E165" s="203">
        <v>0</v>
      </c>
      <c r="F165" s="203">
        <v>0</v>
      </c>
      <c r="G165" s="203">
        <v>0</v>
      </c>
      <c r="H165">
        <v>0</v>
      </c>
      <c r="I165">
        <v>0</v>
      </c>
      <c r="J165">
        <v>0</v>
      </c>
    </row>
    <row r="166" spans="1:10" ht="13" thickBot="1" x14ac:dyDescent="0.3">
      <c r="A166" t="s">
        <v>277</v>
      </c>
      <c r="B166" t="s">
        <v>147</v>
      </c>
      <c r="C166" t="s">
        <v>11</v>
      </c>
      <c r="D166" t="s">
        <v>106</v>
      </c>
      <c r="E166" s="202">
        <v>123706</v>
      </c>
      <c r="F166" s="202">
        <v>211449</v>
      </c>
      <c r="G166" s="203">
        <v>58.5</v>
      </c>
      <c r="H166">
        <v>130199</v>
      </c>
      <c r="I166">
        <v>224480</v>
      </c>
      <c r="J166">
        <v>58</v>
      </c>
    </row>
    <row r="167" spans="1:10" ht="13" thickBot="1" x14ac:dyDescent="0.3">
      <c r="A167" t="s">
        <v>255</v>
      </c>
      <c r="B167" t="s">
        <v>148</v>
      </c>
      <c r="C167" t="s">
        <v>11</v>
      </c>
      <c r="D167" t="s">
        <v>106</v>
      </c>
      <c r="E167" s="202">
        <v>9132</v>
      </c>
      <c r="F167" s="202">
        <v>10772</v>
      </c>
      <c r="G167" s="203">
        <v>84.78</v>
      </c>
      <c r="H167">
        <v>1212</v>
      </c>
      <c r="I167">
        <v>1365</v>
      </c>
      <c r="J167">
        <v>88.83</v>
      </c>
    </row>
    <row r="168" spans="1:10" ht="13" thickBot="1" x14ac:dyDescent="0.3">
      <c r="A168" t="s">
        <v>256</v>
      </c>
      <c r="B168" t="s">
        <v>148</v>
      </c>
      <c r="C168" t="s">
        <v>11</v>
      </c>
      <c r="D168" t="s">
        <v>106</v>
      </c>
      <c r="E168" s="202">
        <v>19108</v>
      </c>
      <c r="F168" s="202">
        <v>21142</v>
      </c>
      <c r="G168" s="203">
        <v>90.38</v>
      </c>
      <c r="H168">
        <v>0</v>
      </c>
      <c r="I168">
        <v>0</v>
      </c>
      <c r="J168">
        <v>0</v>
      </c>
    </row>
    <row r="169" spans="1:10" ht="13" thickBot="1" x14ac:dyDescent="0.3">
      <c r="A169" t="s">
        <v>257</v>
      </c>
      <c r="B169" t="s">
        <v>148</v>
      </c>
      <c r="C169" t="s">
        <v>11</v>
      </c>
      <c r="D169" t="s">
        <v>106</v>
      </c>
      <c r="E169" s="202">
        <v>53851</v>
      </c>
      <c r="F169" s="202">
        <v>61331</v>
      </c>
      <c r="G169" s="203">
        <v>87.8</v>
      </c>
      <c r="H169">
        <v>18550</v>
      </c>
      <c r="I169">
        <v>21331</v>
      </c>
      <c r="J169">
        <v>86.96</v>
      </c>
    </row>
    <row r="170" spans="1:10" ht="13" thickBot="1" x14ac:dyDescent="0.3">
      <c r="A170" t="s">
        <v>258</v>
      </c>
      <c r="B170" t="s">
        <v>148</v>
      </c>
      <c r="C170" t="s">
        <v>11</v>
      </c>
      <c r="D170" t="s">
        <v>106</v>
      </c>
      <c r="E170" s="202">
        <v>29773</v>
      </c>
      <c r="F170" s="202">
        <v>31540</v>
      </c>
      <c r="G170" s="203">
        <v>94.4</v>
      </c>
      <c r="H170">
        <v>1899</v>
      </c>
      <c r="I170">
        <v>1989</v>
      </c>
      <c r="J170">
        <v>95.5</v>
      </c>
    </row>
    <row r="171" spans="1:10" ht="13" thickBot="1" x14ac:dyDescent="0.3">
      <c r="A171" t="s">
        <v>259</v>
      </c>
      <c r="B171" t="s">
        <v>149</v>
      </c>
      <c r="C171" t="s">
        <v>11</v>
      </c>
      <c r="D171" t="s">
        <v>106</v>
      </c>
      <c r="E171" s="202">
        <v>56119</v>
      </c>
      <c r="F171" s="202">
        <v>98481</v>
      </c>
      <c r="G171" s="203">
        <v>56.98</v>
      </c>
      <c r="H171">
        <v>57545</v>
      </c>
      <c r="I171">
        <v>94881</v>
      </c>
      <c r="J171">
        <v>60.65</v>
      </c>
    </row>
    <row r="172" spans="1:10" ht="13" thickBot="1" x14ac:dyDescent="0.3">
      <c r="A172" t="s">
        <v>260</v>
      </c>
      <c r="B172" t="s">
        <v>149</v>
      </c>
      <c r="C172" t="s">
        <v>11</v>
      </c>
      <c r="D172" t="s">
        <v>106</v>
      </c>
      <c r="E172" s="202">
        <v>3283</v>
      </c>
      <c r="F172" s="202">
        <v>3474</v>
      </c>
      <c r="G172" s="203">
        <v>94.49</v>
      </c>
      <c r="H172">
        <v>0</v>
      </c>
      <c r="I172">
        <v>0</v>
      </c>
      <c r="J172">
        <v>0</v>
      </c>
    </row>
    <row r="173" spans="1:10" ht="13" thickBot="1" x14ac:dyDescent="0.3">
      <c r="A173" t="s">
        <v>261</v>
      </c>
      <c r="B173" t="s">
        <v>149</v>
      </c>
      <c r="C173" t="s">
        <v>11</v>
      </c>
      <c r="D173" t="s">
        <v>106</v>
      </c>
      <c r="E173" s="202">
        <v>4458</v>
      </c>
      <c r="F173" s="202">
        <v>5006</v>
      </c>
      <c r="G173" s="203">
        <v>89.05</v>
      </c>
      <c r="H173">
        <v>18550</v>
      </c>
      <c r="I173">
        <v>21331</v>
      </c>
      <c r="J173">
        <v>86.96</v>
      </c>
    </row>
    <row r="174" spans="1:10" ht="13" thickBot="1" x14ac:dyDescent="0.3">
      <c r="A174" t="s">
        <v>262</v>
      </c>
      <c r="B174" t="s">
        <v>149</v>
      </c>
      <c r="C174" t="s">
        <v>11</v>
      </c>
      <c r="D174" t="s">
        <v>106</v>
      </c>
      <c r="E174" s="202">
        <v>6038</v>
      </c>
      <c r="F174" s="202">
        <v>6627</v>
      </c>
      <c r="G174" s="203">
        <v>91.11</v>
      </c>
      <c r="H174">
        <v>20547</v>
      </c>
      <c r="I174">
        <v>22749</v>
      </c>
      <c r="J174">
        <v>90.32</v>
      </c>
    </row>
    <row r="175" spans="1:10" ht="13" thickBot="1" x14ac:dyDescent="0.3">
      <c r="A175" t="s">
        <v>263</v>
      </c>
      <c r="B175" t="s">
        <v>149</v>
      </c>
      <c r="C175" t="s">
        <v>11</v>
      </c>
      <c r="D175" t="s">
        <v>106</v>
      </c>
      <c r="E175" s="202">
        <v>14042</v>
      </c>
      <c r="F175" s="202">
        <v>16383</v>
      </c>
      <c r="G175" s="203">
        <v>85.71</v>
      </c>
      <c r="H175">
        <v>0</v>
      </c>
      <c r="I175">
        <v>0</v>
      </c>
      <c r="J175">
        <v>0</v>
      </c>
    </row>
    <row r="176" spans="1:10" ht="13" thickBot="1" x14ac:dyDescent="0.3">
      <c r="A176" t="s">
        <v>264</v>
      </c>
      <c r="B176" t="s">
        <v>150</v>
      </c>
      <c r="C176" t="s">
        <v>11</v>
      </c>
      <c r="D176" t="s">
        <v>106</v>
      </c>
      <c r="E176" s="202">
        <v>66923</v>
      </c>
      <c r="F176" s="202">
        <v>117240</v>
      </c>
      <c r="G176" s="203">
        <v>57.08</v>
      </c>
      <c r="H176">
        <v>59330</v>
      </c>
      <c r="I176">
        <v>101419</v>
      </c>
      <c r="J176">
        <v>58.5</v>
      </c>
    </row>
    <row r="177" spans="1:10" ht="13" thickBot="1" x14ac:dyDescent="0.3">
      <c r="A177" t="s">
        <v>265</v>
      </c>
      <c r="B177" t="s">
        <v>150</v>
      </c>
      <c r="C177" t="s">
        <v>11</v>
      </c>
      <c r="D177" t="s">
        <v>106</v>
      </c>
      <c r="E177" s="202">
        <v>16285</v>
      </c>
      <c r="F177" s="202">
        <v>19052</v>
      </c>
      <c r="G177" s="203">
        <v>85.48</v>
      </c>
      <c r="H177">
        <v>18999</v>
      </c>
      <c r="I177">
        <v>22222</v>
      </c>
      <c r="J177">
        <v>85.5</v>
      </c>
    </row>
    <row r="178" spans="1:10" ht="13" thickBot="1" x14ac:dyDescent="0.3">
      <c r="A178" t="s">
        <v>245</v>
      </c>
      <c r="B178" t="s">
        <v>145</v>
      </c>
      <c r="C178" t="s">
        <v>12</v>
      </c>
      <c r="D178" t="s">
        <v>106</v>
      </c>
      <c r="E178" s="202">
        <v>10275</v>
      </c>
      <c r="F178" s="202">
        <v>11504</v>
      </c>
      <c r="G178" s="203">
        <v>89.31</v>
      </c>
      <c r="H178">
        <v>7152</v>
      </c>
      <c r="I178">
        <v>8414</v>
      </c>
      <c r="J178">
        <v>85</v>
      </c>
    </row>
    <row r="179" spans="1:10" ht="13" thickBot="1" x14ac:dyDescent="0.3">
      <c r="A179" t="s">
        <v>246</v>
      </c>
      <c r="B179" t="s">
        <v>145</v>
      </c>
      <c r="C179" t="s">
        <v>12</v>
      </c>
      <c r="D179" t="s">
        <v>106</v>
      </c>
      <c r="E179" s="202">
        <v>14574</v>
      </c>
      <c r="F179" s="202">
        <v>15327</v>
      </c>
      <c r="G179" s="203">
        <v>95.09</v>
      </c>
      <c r="H179">
        <v>20782</v>
      </c>
      <c r="I179">
        <v>21761</v>
      </c>
      <c r="J179">
        <v>95.5</v>
      </c>
    </row>
    <row r="180" spans="1:10" ht="13" thickBot="1" x14ac:dyDescent="0.3">
      <c r="A180" t="s">
        <v>247</v>
      </c>
      <c r="B180" t="s">
        <v>145</v>
      </c>
      <c r="C180" t="s">
        <v>12</v>
      </c>
      <c r="D180" t="s">
        <v>106</v>
      </c>
      <c r="E180" s="202">
        <v>32628</v>
      </c>
      <c r="F180" s="202">
        <v>36966</v>
      </c>
      <c r="G180" s="203">
        <v>88.27</v>
      </c>
      <c r="H180">
        <v>49799</v>
      </c>
      <c r="I180">
        <v>56334</v>
      </c>
      <c r="J180">
        <v>88.4</v>
      </c>
    </row>
    <row r="181" spans="1:10" ht="13" thickBot="1" x14ac:dyDescent="0.3">
      <c r="A181" t="s">
        <v>248</v>
      </c>
      <c r="B181" t="s">
        <v>145</v>
      </c>
      <c r="C181" t="s">
        <v>12</v>
      </c>
      <c r="D181" t="s">
        <v>106</v>
      </c>
      <c r="E181" s="202">
        <v>76423</v>
      </c>
      <c r="F181" s="202">
        <v>86836</v>
      </c>
      <c r="G181" s="203">
        <v>88.01</v>
      </c>
      <c r="H181">
        <v>99001</v>
      </c>
      <c r="I181">
        <v>112246</v>
      </c>
      <c r="J181">
        <v>88.2</v>
      </c>
    </row>
    <row r="182" spans="1:10" ht="13" thickBot="1" x14ac:dyDescent="0.3">
      <c r="A182" t="s">
        <v>249</v>
      </c>
      <c r="B182" t="s">
        <v>145</v>
      </c>
      <c r="C182" t="s">
        <v>12</v>
      </c>
      <c r="D182" t="s">
        <v>106</v>
      </c>
      <c r="E182" s="202">
        <v>2833</v>
      </c>
      <c r="F182" s="202">
        <v>2944</v>
      </c>
      <c r="G182" s="203">
        <v>96.26</v>
      </c>
      <c r="H182">
        <v>2625</v>
      </c>
      <c r="I182">
        <v>2723</v>
      </c>
      <c r="J182">
        <v>96.4</v>
      </c>
    </row>
    <row r="183" spans="1:10" ht="13" thickBot="1" x14ac:dyDescent="0.3">
      <c r="A183" t="s">
        <v>250</v>
      </c>
      <c r="B183" t="s">
        <v>145</v>
      </c>
      <c r="C183" t="s">
        <v>12</v>
      </c>
      <c r="D183" t="s">
        <v>106</v>
      </c>
      <c r="E183" s="202">
        <v>5163</v>
      </c>
      <c r="F183" s="202">
        <v>5519</v>
      </c>
      <c r="G183" s="203">
        <v>93.56</v>
      </c>
      <c r="H183">
        <v>1300</v>
      </c>
      <c r="I183">
        <v>1386</v>
      </c>
      <c r="J183">
        <v>93.8</v>
      </c>
    </row>
    <row r="184" spans="1:10" ht="13" thickBot="1" x14ac:dyDescent="0.3">
      <c r="A184" t="s">
        <v>251</v>
      </c>
      <c r="B184" t="s">
        <v>145</v>
      </c>
      <c r="C184" t="s">
        <v>12</v>
      </c>
      <c r="D184" t="s">
        <v>106</v>
      </c>
      <c r="E184" s="202">
        <v>24959</v>
      </c>
      <c r="F184" s="202">
        <v>34771</v>
      </c>
      <c r="G184" s="203">
        <v>71.78</v>
      </c>
      <c r="H184">
        <v>11131</v>
      </c>
      <c r="I184">
        <v>15902</v>
      </c>
      <c r="J184">
        <v>70</v>
      </c>
    </row>
    <row r="185" spans="1:10" ht="13" thickBot="1" x14ac:dyDescent="0.3">
      <c r="A185" t="s">
        <v>252</v>
      </c>
      <c r="B185" t="s">
        <v>146</v>
      </c>
      <c r="C185" t="s">
        <v>12</v>
      </c>
      <c r="D185" t="s">
        <v>106</v>
      </c>
      <c r="E185" s="202">
        <v>123618</v>
      </c>
      <c r="F185" s="202">
        <v>214120</v>
      </c>
      <c r="G185" s="203">
        <v>57.73</v>
      </c>
      <c r="H185">
        <v>143367</v>
      </c>
      <c r="I185">
        <v>247184</v>
      </c>
      <c r="J185">
        <v>58</v>
      </c>
    </row>
    <row r="186" spans="1:10" ht="13" thickBot="1" x14ac:dyDescent="0.3">
      <c r="A186" t="s">
        <v>253</v>
      </c>
      <c r="B186" t="s">
        <v>146</v>
      </c>
      <c r="C186" t="s">
        <v>12</v>
      </c>
      <c r="D186" t="s">
        <v>106</v>
      </c>
      <c r="E186" s="202">
        <v>34581</v>
      </c>
      <c r="F186" s="202">
        <v>38693</v>
      </c>
      <c r="G186" s="203">
        <v>89.37</v>
      </c>
      <c r="H186">
        <v>0</v>
      </c>
      <c r="I186">
        <v>0</v>
      </c>
      <c r="J186">
        <v>0</v>
      </c>
    </row>
    <row r="187" spans="1:10" ht="13" thickBot="1" x14ac:dyDescent="0.3">
      <c r="A187" t="s">
        <v>254</v>
      </c>
      <c r="B187" t="s">
        <v>146</v>
      </c>
      <c r="C187" t="s">
        <v>12</v>
      </c>
      <c r="D187" t="s">
        <v>106</v>
      </c>
      <c r="E187" s="203">
        <v>0</v>
      </c>
      <c r="F187" s="203">
        <v>0</v>
      </c>
      <c r="G187" s="203">
        <v>0</v>
      </c>
      <c r="H187">
        <v>0</v>
      </c>
      <c r="I187">
        <v>0</v>
      </c>
      <c r="J187">
        <v>0</v>
      </c>
    </row>
    <row r="188" spans="1:10" ht="13" thickBot="1" x14ac:dyDescent="0.3">
      <c r="A188" t="s">
        <v>277</v>
      </c>
      <c r="B188" t="s">
        <v>147</v>
      </c>
      <c r="C188" t="s">
        <v>12</v>
      </c>
      <c r="D188" t="s">
        <v>106</v>
      </c>
      <c r="E188" s="202">
        <v>107620</v>
      </c>
      <c r="F188" s="202">
        <v>186364</v>
      </c>
      <c r="G188" s="203">
        <v>57.75</v>
      </c>
      <c r="H188">
        <v>133415</v>
      </c>
      <c r="I188">
        <v>230026</v>
      </c>
      <c r="J188">
        <v>58</v>
      </c>
    </row>
    <row r="189" spans="1:10" ht="13" thickBot="1" x14ac:dyDescent="0.3">
      <c r="A189" t="s">
        <v>255</v>
      </c>
      <c r="B189" t="s">
        <v>148</v>
      </c>
      <c r="C189" t="s">
        <v>12</v>
      </c>
      <c r="D189" t="s">
        <v>106</v>
      </c>
      <c r="E189" s="202">
        <v>8864</v>
      </c>
      <c r="F189" s="202">
        <v>9706</v>
      </c>
      <c r="G189" s="203">
        <v>91.32</v>
      </c>
      <c r="H189">
        <v>5813</v>
      </c>
      <c r="I189">
        <v>6194</v>
      </c>
      <c r="J189">
        <v>93.84</v>
      </c>
    </row>
    <row r="190" spans="1:10" ht="13" thickBot="1" x14ac:dyDescent="0.3">
      <c r="A190" t="s">
        <v>256</v>
      </c>
      <c r="B190" t="s">
        <v>148</v>
      </c>
      <c r="C190" t="s">
        <v>12</v>
      </c>
      <c r="D190" t="s">
        <v>106</v>
      </c>
      <c r="E190" s="202">
        <v>17302</v>
      </c>
      <c r="F190" s="202">
        <v>19175</v>
      </c>
      <c r="G190" s="203">
        <v>90.23</v>
      </c>
      <c r="H190">
        <v>0</v>
      </c>
      <c r="I190">
        <v>0</v>
      </c>
      <c r="J190">
        <v>0</v>
      </c>
    </row>
    <row r="191" spans="1:10" ht="13" thickBot="1" x14ac:dyDescent="0.3">
      <c r="A191" t="s">
        <v>257</v>
      </c>
      <c r="B191" t="s">
        <v>148</v>
      </c>
      <c r="C191" t="s">
        <v>12</v>
      </c>
      <c r="D191" t="s">
        <v>106</v>
      </c>
      <c r="E191" s="202">
        <v>45621</v>
      </c>
      <c r="F191" s="202">
        <v>52765</v>
      </c>
      <c r="G191" s="203">
        <v>86.46</v>
      </c>
      <c r="H191">
        <v>20950</v>
      </c>
      <c r="I191">
        <v>24091</v>
      </c>
      <c r="J191">
        <v>86.96</v>
      </c>
    </row>
    <row r="192" spans="1:10" ht="13" thickBot="1" x14ac:dyDescent="0.3">
      <c r="A192" t="s">
        <v>258</v>
      </c>
      <c r="B192" t="s">
        <v>148</v>
      </c>
      <c r="C192" t="s">
        <v>12</v>
      </c>
      <c r="D192" t="s">
        <v>106</v>
      </c>
      <c r="E192" s="202">
        <v>23049</v>
      </c>
      <c r="F192" s="202">
        <v>24345</v>
      </c>
      <c r="G192" s="203">
        <v>94.68</v>
      </c>
      <c r="H192">
        <v>31768</v>
      </c>
      <c r="I192">
        <v>33265</v>
      </c>
      <c r="J192">
        <v>95.5</v>
      </c>
    </row>
    <row r="193" spans="1:10" ht="13" thickBot="1" x14ac:dyDescent="0.3">
      <c r="A193" t="s">
        <v>259</v>
      </c>
      <c r="B193" t="s">
        <v>149</v>
      </c>
      <c r="C193" t="s">
        <v>12</v>
      </c>
      <c r="D193" t="s">
        <v>106</v>
      </c>
      <c r="E193" s="202">
        <v>41976</v>
      </c>
      <c r="F193" s="202">
        <v>73836</v>
      </c>
      <c r="G193" s="203">
        <v>56.85</v>
      </c>
      <c r="H193">
        <v>56211</v>
      </c>
      <c r="I193">
        <v>92510</v>
      </c>
      <c r="J193">
        <v>60.76</v>
      </c>
    </row>
    <row r="194" spans="1:10" ht="13" thickBot="1" x14ac:dyDescent="0.3">
      <c r="A194" t="s">
        <v>260</v>
      </c>
      <c r="B194" t="s">
        <v>149</v>
      </c>
      <c r="C194" t="s">
        <v>12</v>
      </c>
      <c r="D194" t="s">
        <v>106</v>
      </c>
      <c r="E194" s="202">
        <v>2398</v>
      </c>
      <c r="F194" s="202">
        <v>2522</v>
      </c>
      <c r="G194" s="203">
        <v>95.08</v>
      </c>
      <c r="H194">
        <v>0</v>
      </c>
      <c r="I194">
        <v>0</v>
      </c>
      <c r="J194">
        <v>0</v>
      </c>
    </row>
    <row r="195" spans="1:10" ht="13" thickBot="1" x14ac:dyDescent="0.3">
      <c r="A195" t="s">
        <v>261</v>
      </c>
      <c r="B195" t="s">
        <v>149</v>
      </c>
      <c r="C195" t="s">
        <v>12</v>
      </c>
      <c r="D195" t="s">
        <v>106</v>
      </c>
      <c r="E195" s="202">
        <v>7514</v>
      </c>
      <c r="F195" s="202">
        <v>8392</v>
      </c>
      <c r="G195" s="203">
        <v>89.54</v>
      </c>
      <c r="H195">
        <v>20950</v>
      </c>
      <c r="I195">
        <v>24091</v>
      </c>
      <c r="J195">
        <v>86.96</v>
      </c>
    </row>
    <row r="196" spans="1:10" ht="13" thickBot="1" x14ac:dyDescent="0.3">
      <c r="A196" t="s">
        <v>262</v>
      </c>
      <c r="B196" t="s">
        <v>149</v>
      </c>
      <c r="C196" t="s">
        <v>12</v>
      </c>
      <c r="D196" t="s">
        <v>106</v>
      </c>
      <c r="E196" s="202">
        <v>12158</v>
      </c>
      <c r="F196" s="202">
        <v>13250</v>
      </c>
      <c r="G196" s="203">
        <v>91.76</v>
      </c>
      <c r="H196">
        <v>20550</v>
      </c>
      <c r="I196">
        <v>22753</v>
      </c>
      <c r="J196">
        <v>90.32</v>
      </c>
    </row>
    <row r="197" spans="1:10" ht="13" thickBot="1" x14ac:dyDescent="0.3">
      <c r="A197" t="s">
        <v>263</v>
      </c>
      <c r="B197" t="s">
        <v>149</v>
      </c>
      <c r="C197" t="s">
        <v>12</v>
      </c>
      <c r="D197" t="s">
        <v>106</v>
      </c>
      <c r="E197" s="202">
        <v>4381</v>
      </c>
      <c r="F197" s="202">
        <v>4884</v>
      </c>
      <c r="G197" s="203">
        <v>89.7</v>
      </c>
      <c r="H197">
        <v>0</v>
      </c>
      <c r="I197">
        <v>0</v>
      </c>
      <c r="J197">
        <v>0</v>
      </c>
    </row>
    <row r="198" spans="1:10" ht="13" thickBot="1" x14ac:dyDescent="0.3">
      <c r="A198" t="s">
        <v>264</v>
      </c>
      <c r="B198" t="s">
        <v>150</v>
      </c>
      <c r="C198" t="s">
        <v>12</v>
      </c>
      <c r="D198" t="s">
        <v>106</v>
      </c>
      <c r="E198" s="202">
        <v>39338</v>
      </c>
      <c r="F198" s="202">
        <v>68594</v>
      </c>
      <c r="G198" s="203">
        <v>57.35</v>
      </c>
      <c r="H198">
        <v>60555</v>
      </c>
      <c r="I198">
        <v>103512</v>
      </c>
      <c r="J198">
        <v>58.5</v>
      </c>
    </row>
    <row r="199" spans="1:10" ht="13" thickBot="1" x14ac:dyDescent="0.3">
      <c r="A199" t="s">
        <v>265</v>
      </c>
      <c r="B199" t="s">
        <v>150</v>
      </c>
      <c r="C199" t="s">
        <v>12</v>
      </c>
      <c r="D199" t="s">
        <v>106</v>
      </c>
      <c r="E199" s="202">
        <v>10004</v>
      </c>
      <c r="F199" s="202">
        <v>11715</v>
      </c>
      <c r="G199" s="203">
        <v>85.4</v>
      </c>
      <c r="H199">
        <v>19002</v>
      </c>
      <c r="I199">
        <v>22225</v>
      </c>
      <c r="J199">
        <v>85.5</v>
      </c>
    </row>
    <row r="200" spans="1:10" ht="13" thickBot="1" x14ac:dyDescent="0.3">
      <c r="A200" t="s">
        <v>245</v>
      </c>
      <c r="B200" t="s">
        <v>145</v>
      </c>
      <c r="C200" t="s">
        <v>13</v>
      </c>
      <c r="D200" t="s">
        <v>106</v>
      </c>
      <c r="E200" s="203">
        <v>0</v>
      </c>
      <c r="F200" s="203">
        <v>0</v>
      </c>
      <c r="G200" s="203">
        <v>0</v>
      </c>
      <c r="H200">
        <v>7879</v>
      </c>
      <c r="I200">
        <v>9269</v>
      </c>
      <c r="J200">
        <v>85</v>
      </c>
    </row>
    <row r="201" spans="1:10" ht="13" thickBot="1" x14ac:dyDescent="0.3">
      <c r="A201" t="s">
        <v>246</v>
      </c>
      <c r="B201" t="s">
        <v>145</v>
      </c>
      <c r="C201" t="s">
        <v>13</v>
      </c>
      <c r="D201" t="s">
        <v>106</v>
      </c>
      <c r="E201" s="202">
        <v>21492</v>
      </c>
      <c r="F201" s="202">
        <v>22504</v>
      </c>
      <c r="G201" s="203">
        <v>95.5</v>
      </c>
      <c r="H201">
        <v>22894</v>
      </c>
      <c r="I201">
        <v>23973</v>
      </c>
      <c r="J201">
        <v>95.5</v>
      </c>
    </row>
    <row r="202" spans="1:10" ht="13" thickBot="1" x14ac:dyDescent="0.3">
      <c r="A202" t="s">
        <v>247</v>
      </c>
      <c r="B202" t="s">
        <v>145</v>
      </c>
      <c r="C202" t="s">
        <v>13</v>
      </c>
      <c r="D202" t="s">
        <v>106</v>
      </c>
      <c r="E202" s="202">
        <v>45235</v>
      </c>
      <c r="F202" s="202">
        <v>51170</v>
      </c>
      <c r="G202" s="203">
        <v>88.4</v>
      </c>
      <c r="H202">
        <v>54862</v>
      </c>
      <c r="I202">
        <v>62061</v>
      </c>
      <c r="J202">
        <v>88.4</v>
      </c>
    </row>
    <row r="203" spans="1:10" ht="13" thickBot="1" x14ac:dyDescent="0.3">
      <c r="A203" t="s">
        <v>248</v>
      </c>
      <c r="B203" t="s">
        <v>145</v>
      </c>
      <c r="C203" t="s">
        <v>13</v>
      </c>
      <c r="D203" t="s">
        <v>106</v>
      </c>
      <c r="E203" s="202">
        <v>64574</v>
      </c>
      <c r="F203" s="202">
        <v>73213</v>
      </c>
      <c r="G203" s="203">
        <v>88.2</v>
      </c>
      <c r="H203">
        <v>89079</v>
      </c>
      <c r="I203">
        <v>100997</v>
      </c>
      <c r="J203">
        <v>88.2</v>
      </c>
    </row>
    <row r="204" spans="1:10" ht="13" thickBot="1" x14ac:dyDescent="0.3">
      <c r="A204" t="s">
        <v>249</v>
      </c>
      <c r="B204" t="s">
        <v>145</v>
      </c>
      <c r="C204" t="s">
        <v>13</v>
      </c>
      <c r="D204" t="s">
        <v>106</v>
      </c>
      <c r="E204" s="202">
        <v>8676</v>
      </c>
      <c r="F204" s="202">
        <v>9000</v>
      </c>
      <c r="G204" s="203">
        <v>96.4</v>
      </c>
      <c r="H204">
        <v>2892</v>
      </c>
      <c r="I204">
        <v>3000</v>
      </c>
      <c r="J204">
        <v>96.4</v>
      </c>
    </row>
    <row r="205" spans="1:10" ht="13" thickBot="1" x14ac:dyDescent="0.3">
      <c r="A205" t="s">
        <v>250</v>
      </c>
      <c r="B205" t="s">
        <v>145</v>
      </c>
      <c r="C205" t="s">
        <v>13</v>
      </c>
      <c r="D205" t="s">
        <v>106</v>
      </c>
      <c r="E205" s="202">
        <v>3752</v>
      </c>
      <c r="F205" s="202">
        <v>4000</v>
      </c>
      <c r="G205" s="203">
        <v>93.8</v>
      </c>
      <c r="H205">
        <v>1249</v>
      </c>
      <c r="I205">
        <v>1332</v>
      </c>
      <c r="J205">
        <v>93.8</v>
      </c>
    </row>
    <row r="206" spans="1:10" ht="13" thickBot="1" x14ac:dyDescent="0.3">
      <c r="A206" t="s">
        <v>251</v>
      </c>
      <c r="B206" t="s">
        <v>145</v>
      </c>
      <c r="C206" t="s">
        <v>13</v>
      </c>
      <c r="D206" t="s">
        <v>106</v>
      </c>
      <c r="E206" s="202">
        <v>35000</v>
      </c>
      <c r="F206" s="202">
        <v>50000</v>
      </c>
      <c r="G206" s="203">
        <v>70</v>
      </c>
      <c r="H206">
        <v>13925</v>
      </c>
      <c r="I206">
        <v>19892</v>
      </c>
      <c r="J206">
        <v>70</v>
      </c>
    </row>
    <row r="207" spans="1:10" ht="13" thickBot="1" x14ac:dyDescent="0.3">
      <c r="A207" t="s">
        <v>252</v>
      </c>
      <c r="B207" t="s">
        <v>146</v>
      </c>
      <c r="C207" t="s">
        <v>13</v>
      </c>
      <c r="D207" t="s">
        <v>106</v>
      </c>
      <c r="E207" s="202">
        <v>144248</v>
      </c>
      <c r="F207" s="202">
        <v>248704</v>
      </c>
      <c r="G207" s="203">
        <v>58</v>
      </c>
      <c r="H207">
        <v>142198</v>
      </c>
      <c r="I207">
        <v>245170</v>
      </c>
      <c r="J207">
        <v>58</v>
      </c>
    </row>
    <row r="208" spans="1:10" ht="13" thickBot="1" x14ac:dyDescent="0.3">
      <c r="A208" t="s">
        <v>253</v>
      </c>
      <c r="B208" t="s">
        <v>146</v>
      </c>
      <c r="C208" t="s">
        <v>13</v>
      </c>
      <c r="D208" t="s">
        <v>106</v>
      </c>
      <c r="E208" s="203">
        <v>0</v>
      </c>
      <c r="F208" s="203">
        <v>0</v>
      </c>
      <c r="G208" s="203">
        <v>0</v>
      </c>
      <c r="H208">
        <v>15852</v>
      </c>
      <c r="I208">
        <v>17397</v>
      </c>
      <c r="J208">
        <v>91.12</v>
      </c>
    </row>
    <row r="209" spans="1:10" ht="13" thickBot="1" x14ac:dyDescent="0.3">
      <c r="A209" t="s">
        <v>254</v>
      </c>
      <c r="B209" t="s">
        <v>146</v>
      </c>
      <c r="C209" t="s">
        <v>13</v>
      </c>
      <c r="D209" t="s">
        <v>106</v>
      </c>
      <c r="E209" s="203">
        <v>0</v>
      </c>
      <c r="F209" s="203">
        <v>0</v>
      </c>
      <c r="G209" s="203">
        <v>0</v>
      </c>
      <c r="H209">
        <v>0</v>
      </c>
      <c r="I209">
        <v>0</v>
      </c>
      <c r="J209">
        <v>0</v>
      </c>
    </row>
    <row r="210" spans="1:10" ht="13" thickBot="1" x14ac:dyDescent="0.3">
      <c r="A210" t="s">
        <v>277</v>
      </c>
      <c r="B210" t="s">
        <v>147</v>
      </c>
      <c r="C210" t="s">
        <v>13</v>
      </c>
      <c r="D210" t="s">
        <v>106</v>
      </c>
      <c r="E210" s="202">
        <v>147501</v>
      </c>
      <c r="F210" s="202">
        <v>254312</v>
      </c>
      <c r="G210" s="203">
        <v>58</v>
      </c>
      <c r="H210">
        <v>140666</v>
      </c>
      <c r="I210">
        <v>242528</v>
      </c>
      <c r="J210">
        <v>58</v>
      </c>
    </row>
    <row r="211" spans="1:10" ht="13" thickBot="1" x14ac:dyDescent="0.3">
      <c r="A211" t="s">
        <v>255</v>
      </c>
      <c r="B211" t="s">
        <v>148</v>
      </c>
      <c r="C211" t="s">
        <v>13</v>
      </c>
      <c r="D211" t="s">
        <v>106</v>
      </c>
      <c r="E211" s="202">
        <v>15410</v>
      </c>
      <c r="F211" s="202">
        <v>22533</v>
      </c>
      <c r="G211" s="203">
        <v>68.39</v>
      </c>
      <c r="H211">
        <v>16147</v>
      </c>
      <c r="I211">
        <v>23677</v>
      </c>
      <c r="J211">
        <v>68.2</v>
      </c>
    </row>
    <row r="212" spans="1:10" ht="13" thickBot="1" x14ac:dyDescent="0.3">
      <c r="A212" t="s">
        <v>256</v>
      </c>
      <c r="B212" t="s">
        <v>148</v>
      </c>
      <c r="C212" t="s">
        <v>13</v>
      </c>
      <c r="D212" t="s">
        <v>106</v>
      </c>
      <c r="E212" s="203">
        <v>0</v>
      </c>
      <c r="F212" s="203">
        <v>0</v>
      </c>
      <c r="G212" s="203">
        <v>0</v>
      </c>
      <c r="H212">
        <v>0</v>
      </c>
      <c r="I212">
        <v>0</v>
      </c>
      <c r="J212">
        <v>0</v>
      </c>
    </row>
    <row r="213" spans="1:10" ht="13" thickBot="1" x14ac:dyDescent="0.3">
      <c r="A213" t="s">
        <v>257</v>
      </c>
      <c r="B213" t="s">
        <v>148</v>
      </c>
      <c r="C213" t="s">
        <v>13</v>
      </c>
      <c r="D213" t="s">
        <v>106</v>
      </c>
      <c r="E213" s="202">
        <v>30835</v>
      </c>
      <c r="F213" s="202">
        <v>35459</v>
      </c>
      <c r="G213" s="203">
        <v>86.96</v>
      </c>
      <c r="H213">
        <v>30835</v>
      </c>
      <c r="I213">
        <v>35459</v>
      </c>
      <c r="J213">
        <v>86.96</v>
      </c>
    </row>
    <row r="214" spans="1:10" ht="13" thickBot="1" x14ac:dyDescent="0.3">
      <c r="A214" t="s">
        <v>258</v>
      </c>
      <c r="B214" t="s">
        <v>148</v>
      </c>
      <c r="C214" t="s">
        <v>13</v>
      </c>
      <c r="D214" t="s">
        <v>106</v>
      </c>
      <c r="E214" s="202">
        <v>32271</v>
      </c>
      <c r="F214" s="202">
        <v>33792</v>
      </c>
      <c r="G214" s="203">
        <v>95.5</v>
      </c>
      <c r="H214">
        <v>32271</v>
      </c>
      <c r="I214">
        <v>33792</v>
      </c>
      <c r="J214">
        <v>95.5</v>
      </c>
    </row>
    <row r="215" spans="1:10" ht="13" thickBot="1" x14ac:dyDescent="0.3">
      <c r="A215" t="s">
        <v>259</v>
      </c>
      <c r="B215" t="s">
        <v>149</v>
      </c>
      <c r="C215" t="s">
        <v>13</v>
      </c>
      <c r="D215" t="s">
        <v>106</v>
      </c>
      <c r="E215" s="202">
        <v>56931</v>
      </c>
      <c r="F215" s="202">
        <v>92414</v>
      </c>
      <c r="G215" s="203">
        <v>61.6</v>
      </c>
      <c r="H215">
        <v>50501</v>
      </c>
      <c r="I215">
        <v>81203</v>
      </c>
      <c r="J215">
        <v>62.19</v>
      </c>
    </row>
    <row r="216" spans="1:10" ht="13" thickBot="1" x14ac:dyDescent="0.3">
      <c r="A216" t="s">
        <v>260</v>
      </c>
      <c r="B216" t="s">
        <v>149</v>
      </c>
      <c r="C216" t="s">
        <v>13</v>
      </c>
      <c r="D216" t="s">
        <v>106</v>
      </c>
      <c r="E216" s="203">
        <v>0</v>
      </c>
      <c r="F216" s="203">
        <v>0</v>
      </c>
      <c r="G216" s="203">
        <v>0</v>
      </c>
      <c r="H216">
        <v>0</v>
      </c>
      <c r="I216">
        <v>0</v>
      </c>
      <c r="J216">
        <v>0</v>
      </c>
    </row>
    <row r="217" spans="1:10" ht="13" thickBot="1" x14ac:dyDescent="0.3">
      <c r="A217" t="s">
        <v>261</v>
      </c>
      <c r="B217" t="s">
        <v>149</v>
      </c>
      <c r="C217" t="s">
        <v>13</v>
      </c>
      <c r="D217" t="s">
        <v>106</v>
      </c>
      <c r="E217" s="202">
        <v>22080</v>
      </c>
      <c r="F217" s="202">
        <v>25391</v>
      </c>
      <c r="G217" s="203">
        <v>86.96</v>
      </c>
      <c r="H217">
        <v>30835</v>
      </c>
      <c r="I217">
        <v>35459</v>
      </c>
      <c r="J217">
        <v>86.96</v>
      </c>
    </row>
    <row r="218" spans="1:10" ht="13" thickBot="1" x14ac:dyDescent="0.3">
      <c r="A218" t="s">
        <v>262</v>
      </c>
      <c r="B218" t="s">
        <v>149</v>
      </c>
      <c r="C218" t="s">
        <v>13</v>
      </c>
      <c r="D218" t="s">
        <v>106</v>
      </c>
      <c r="E218" s="202">
        <v>26923</v>
      </c>
      <c r="F218" s="202">
        <v>29808</v>
      </c>
      <c r="G218" s="203">
        <v>90.32</v>
      </c>
      <c r="H218">
        <v>26923</v>
      </c>
      <c r="I218">
        <v>29808</v>
      </c>
      <c r="J218">
        <v>90.32</v>
      </c>
    </row>
    <row r="219" spans="1:10" ht="13" thickBot="1" x14ac:dyDescent="0.3">
      <c r="A219" t="s">
        <v>263</v>
      </c>
      <c r="B219" t="s">
        <v>149</v>
      </c>
      <c r="C219" t="s">
        <v>13</v>
      </c>
      <c r="D219" t="s">
        <v>106</v>
      </c>
      <c r="E219" s="201"/>
      <c r="F219" s="201"/>
      <c r="G219" s="203">
        <v>0</v>
      </c>
      <c r="H219">
        <v>0</v>
      </c>
      <c r="I219">
        <v>0</v>
      </c>
      <c r="J219">
        <v>0</v>
      </c>
    </row>
    <row r="220" spans="1:10" ht="13" thickBot="1" x14ac:dyDescent="0.3">
      <c r="A220" t="s">
        <v>264</v>
      </c>
      <c r="B220" t="s">
        <v>150</v>
      </c>
      <c r="C220" t="s">
        <v>13</v>
      </c>
      <c r="D220" t="s">
        <v>106</v>
      </c>
      <c r="E220" s="202">
        <v>62926</v>
      </c>
      <c r="F220" s="202">
        <v>107565</v>
      </c>
      <c r="G220" s="203">
        <v>58.5</v>
      </c>
      <c r="H220">
        <v>65079</v>
      </c>
      <c r="I220">
        <v>111246</v>
      </c>
      <c r="J220">
        <v>58.5</v>
      </c>
    </row>
    <row r="221" spans="1:10" ht="13" thickBot="1" x14ac:dyDescent="0.3">
      <c r="A221" t="s">
        <v>265</v>
      </c>
      <c r="B221" t="s">
        <v>150</v>
      </c>
      <c r="C221" t="s">
        <v>13</v>
      </c>
      <c r="D221" t="s">
        <v>106</v>
      </c>
      <c r="E221" s="202">
        <v>25743</v>
      </c>
      <c r="F221" s="202">
        <v>30109</v>
      </c>
      <c r="G221" s="203">
        <v>85.5</v>
      </c>
      <c r="H221">
        <v>20869</v>
      </c>
      <c r="I221">
        <v>24409</v>
      </c>
      <c r="J221">
        <v>85.5</v>
      </c>
    </row>
    <row r="222" spans="1:10" ht="13" thickBot="1" x14ac:dyDescent="0.3">
      <c r="A222" t="s">
        <v>245</v>
      </c>
      <c r="B222" t="s">
        <v>145</v>
      </c>
      <c r="C222" t="s">
        <v>14</v>
      </c>
      <c r="D222" t="s">
        <v>106</v>
      </c>
      <c r="E222" s="203">
        <v>0</v>
      </c>
      <c r="F222" s="203">
        <v>0</v>
      </c>
      <c r="G222" s="203">
        <v>0</v>
      </c>
      <c r="H222">
        <v>7537</v>
      </c>
      <c r="I222">
        <v>8867</v>
      </c>
      <c r="J222">
        <v>85</v>
      </c>
    </row>
    <row r="223" spans="1:10" ht="13" thickBot="1" x14ac:dyDescent="0.3">
      <c r="A223" t="s">
        <v>246</v>
      </c>
      <c r="B223" t="s">
        <v>145</v>
      </c>
      <c r="C223" t="s">
        <v>14</v>
      </c>
      <c r="D223" t="s">
        <v>106</v>
      </c>
      <c r="E223" s="202">
        <v>19100</v>
      </c>
      <c r="F223" s="202">
        <v>20000</v>
      </c>
      <c r="G223" s="203">
        <v>95.5</v>
      </c>
      <c r="H223">
        <v>22698</v>
      </c>
      <c r="I223">
        <v>23767</v>
      </c>
      <c r="J223">
        <v>95.5</v>
      </c>
    </row>
    <row r="224" spans="1:10" ht="13" thickBot="1" x14ac:dyDescent="0.3">
      <c r="A224" t="s">
        <v>247</v>
      </c>
      <c r="B224" t="s">
        <v>145</v>
      </c>
      <c r="C224" t="s">
        <v>14</v>
      </c>
      <c r="D224" t="s">
        <v>106</v>
      </c>
      <c r="E224" s="202">
        <v>38100</v>
      </c>
      <c r="F224" s="202">
        <v>43100</v>
      </c>
      <c r="G224" s="203">
        <v>88.4</v>
      </c>
      <c r="H224">
        <v>50219</v>
      </c>
      <c r="I224">
        <v>56809</v>
      </c>
      <c r="J224">
        <v>88.4</v>
      </c>
    </row>
    <row r="225" spans="1:10" ht="13" thickBot="1" x14ac:dyDescent="0.3">
      <c r="A225" t="s">
        <v>248</v>
      </c>
      <c r="B225" t="s">
        <v>145</v>
      </c>
      <c r="C225" t="s">
        <v>14</v>
      </c>
      <c r="D225" t="s">
        <v>106</v>
      </c>
      <c r="E225" s="202">
        <v>67032</v>
      </c>
      <c r="F225" s="202">
        <v>76000</v>
      </c>
      <c r="G225" s="203">
        <v>88.2</v>
      </c>
      <c r="H225">
        <v>88299</v>
      </c>
      <c r="I225">
        <v>100112</v>
      </c>
      <c r="J225">
        <v>88.2</v>
      </c>
    </row>
    <row r="226" spans="1:10" ht="13" thickBot="1" x14ac:dyDescent="0.3">
      <c r="A226" t="s">
        <v>249</v>
      </c>
      <c r="B226" t="s">
        <v>145</v>
      </c>
      <c r="C226" t="s">
        <v>14</v>
      </c>
      <c r="D226" t="s">
        <v>106</v>
      </c>
      <c r="E226" s="202">
        <v>5784</v>
      </c>
      <c r="F226" s="202">
        <v>6000</v>
      </c>
      <c r="G226" s="203">
        <v>96.4</v>
      </c>
      <c r="H226">
        <v>2867</v>
      </c>
      <c r="I226">
        <v>2974</v>
      </c>
      <c r="J226">
        <v>96.4</v>
      </c>
    </row>
    <row r="227" spans="1:10" ht="13" thickBot="1" x14ac:dyDescent="0.3">
      <c r="A227" t="s">
        <v>250</v>
      </c>
      <c r="B227" t="s">
        <v>145</v>
      </c>
      <c r="C227" t="s">
        <v>14</v>
      </c>
      <c r="D227" t="s">
        <v>106</v>
      </c>
      <c r="E227" s="202">
        <v>7504</v>
      </c>
      <c r="F227" s="202">
        <v>8000</v>
      </c>
      <c r="G227" s="203">
        <v>93.8</v>
      </c>
      <c r="H227">
        <v>1238</v>
      </c>
      <c r="I227">
        <v>1320</v>
      </c>
      <c r="J227">
        <v>93.8</v>
      </c>
    </row>
    <row r="228" spans="1:10" ht="13" thickBot="1" x14ac:dyDescent="0.3">
      <c r="A228" t="s">
        <v>251</v>
      </c>
      <c r="B228" t="s">
        <v>145</v>
      </c>
      <c r="C228" t="s">
        <v>14</v>
      </c>
      <c r="D228" t="s">
        <v>106</v>
      </c>
      <c r="E228" s="202">
        <v>39200</v>
      </c>
      <c r="F228" s="202">
        <v>56000</v>
      </c>
      <c r="G228" s="203">
        <v>70</v>
      </c>
      <c r="H228">
        <v>13784</v>
      </c>
      <c r="I228">
        <v>19691</v>
      </c>
      <c r="J228">
        <v>70</v>
      </c>
    </row>
    <row r="229" spans="1:10" ht="13" thickBot="1" x14ac:dyDescent="0.3">
      <c r="A229" t="s">
        <v>252</v>
      </c>
      <c r="B229" t="s">
        <v>146</v>
      </c>
      <c r="C229" t="s">
        <v>14</v>
      </c>
      <c r="D229" t="s">
        <v>106</v>
      </c>
      <c r="E229" s="202">
        <v>137199</v>
      </c>
      <c r="F229" s="202">
        <v>236550</v>
      </c>
      <c r="G229" s="203">
        <v>58</v>
      </c>
      <c r="H229">
        <v>136539</v>
      </c>
      <c r="I229">
        <v>235412</v>
      </c>
      <c r="J229">
        <v>58</v>
      </c>
    </row>
    <row r="230" spans="1:10" ht="13" thickBot="1" x14ac:dyDescent="0.3">
      <c r="A230" t="s">
        <v>253</v>
      </c>
      <c r="B230" t="s">
        <v>146</v>
      </c>
      <c r="C230" t="s">
        <v>14</v>
      </c>
      <c r="D230" t="s">
        <v>106</v>
      </c>
      <c r="E230" s="203">
        <v>0</v>
      </c>
      <c r="F230" s="203">
        <v>0</v>
      </c>
      <c r="G230" s="203">
        <v>0</v>
      </c>
      <c r="H230">
        <v>15488</v>
      </c>
      <c r="I230">
        <v>16998</v>
      </c>
      <c r="J230">
        <v>91.12</v>
      </c>
    </row>
    <row r="231" spans="1:10" ht="13" thickBot="1" x14ac:dyDescent="0.3">
      <c r="A231" t="s">
        <v>254</v>
      </c>
      <c r="B231" t="s">
        <v>146</v>
      </c>
      <c r="C231" t="s">
        <v>14</v>
      </c>
      <c r="D231" t="s">
        <v>106</v>
      </c>
      <c r="E231" s="203">
        <v>0</v>
      </c>
      <c r="F231" s="203">
        <v>0</v>
      </c>
      <c r="G231" s="203">
        <v>0</v>
      </c>
      <c r="H231">
        <v>0</v>
      </c>
      <c r="I231">
        <v>0</v>
      </c>
      <c r="J231">
        <v>0</v>
      </c>
    </row>
    <row r="232" spans="1:10" ht="13" thickBot="1" x14ac:dyDescent="0.3">
      <c r="A232" t="s">
        <v>277</v>
      </c>
      <c r="B232" t="s">
        <v>147</v>
      </c>
      <c r="C232" t="s">
        <v>14</v>
      </c>
      <c r="D232" t="s">
        <v>106</v>
      </c>
      <c r="E232" s="202">
        <v>133017</v>
      </c>
      <c r="F232" s="202">
        <v>229341</v>
      </c>
      <c r="G232" s="203">
        <v>58</v>
      </c>
      <c r="H232">
        <v>130524</v>
      </c>
      <c r="I232">
        <v>225041</v>
      </c>
      <c r="J232">
        <v>58</v>
      </c>
    </row>
    <row r="233" spans="1:10" ht="13" thickBot="1" x14ac:dyDescent="0.3">
      <c r="A233" t="s">
        <v>255</v>
      </c>
      <c r="B233" t="s">
        <v>148</v>
      </c>
      <c r="C233" t="s">
        <v>14</v>
      </c>
      <c r="D233" t="s">
        <v>106</v>
      </c>
      <c r="E233" s="202">
        <v>31852</v>
      </c>
      <c r="F233" s="202">
        <v>52742</v>
      </c>
      <c r="G233" s="203">
        <v>60.39</v>
      </c>
      <c r="H233">
        <v>6099</v>
      </c>
      <c r="I233">
        <v>6517</v>
      </c>
      <c r="J233">
        <v>93.6</v>
      </c>
    </row>
    <row r="234" spans="1:10" ht="13" thickBot="1" x14ac:dyDescent="0.3">
      <c r="A234" t="s">
        <v>256</v>
      </c>
      <c r="B234" t="s">
        <v>148</v>
      </c>
      <c r="C234" t="s">
        <v>14</v>
      </c>
      <c r="D234" t="s">
        <v>106</v>
      </c>
      <c r="E234" s="203">
        <v>0</v>
      </c>
      <c r="F234" s="203">
        <v>0</v>
      </c>
      <c r="G234" s="203">
        <v>0</v>
      </c>
      <c r="H234">
        <v>0</v>
      </c>
      <c r="I234">
        <v>0</v>
      </c>
      <c r="J234">
        <v>0</v>
      </c>
    </row>
    <row r="235" spans="1:10" ht="13" thickBot="1" x14ac:dyDescent="0.3">
      <c r="A235" t="s">
        <v>257</v>
      </c>
      <c r="B235" t="s">
        <v>148</v>
      </c>
      <c r="C235" t="s">
        <v>14</v>
      </c>
      <c r="D235" t="s">
        <v>106</v>
      </c>
      <c r="E235" s="202">
        <v>25266</v>
      </c>
      <c r="F235" s="202">
        <v>29054</v>
      </c>
      <c r="G235" s="203">
        <v>86.96</v>
      </c>
      <c r="H235">
        <v>25266</v>
      </c>
      <c r="I235">
        <v>29054</v>
      </c>
      <c r="J235">
        <v>86.96</v>
      </c>
    </row>
    <row r="236" spans="1:10" ht="13" thickBot="1" x14ac:dyDescent="0.3">
      <c r="A236" t="s">
        <v>258</v>
      </c>
      <c r="B236" t="s">
        <v>148</v>
      </c>
      <c r="C236" t="s">
        <v>14</v>
      </c>
      <c r="D236" t="s">
        <v>106</v>
      </c>
      <c r="E236" s="202">
        <v>32240</v>
      </c>
      <c r="F236" s="202">
        <v>33759</v>
      </c>
      <c r="G236" s="203">
        <v>95.5</v>
      </c>
      <c r="H236">
        <v>32240</v>
      </c>
      <c r="I236">
        <v>33759</v>
      </c>
      <c r="J236">
        <v>95.5</v>
      </c>
    </row>
    <row r="237" spans="1:10" ht="13" thickBot="1" x14ac:dyDescent="0.3">
      <c r="A237" t="s">
        <v>259</v>
      </c>
      <c r="B237" t="s">
        <v>149</v>
      </c>
      <c r="C237" t="s">
        <v>14</v>
      </c>
      <c r="D237" t="s">
        <v>106</v>
      </c>
      <c r="E237" s="202">
        <v>34354</v>
      </c>
      <c r="F237" s="202">
        <v>54379</v>
      </c>
      <c r="G237" s="203">
        <v>63.18</v>
      </c>
      <c r="H237">
        <v>55436</v>
      </c>
      <c r="I237">
        <v>90604</v>
      </c>
      <c r="J237">
        <v>61.19</v>
      </c>
    </row>
    <row r="238" spans="1:10" ht="13" thickBot="1" x14ac:dyDescent="0.3">
      <c r="A238" t="s">
        <v>260</v>
      </c>
      <c r="B238" t="s">
        <v>149</v>
      </c>
      <c r="C238" t="s">
        <v>14</v>
      </c>
      <c r="D238" t="s">
        <v>106</v>
      </c>
      <c r="E238" s="203">
        <v>0</v>
      </c>
      <c r="F238" s="203">
        <v>0</v>
      </c>
      <c r="G238" s="203">
        <v>0</v>
      </c>
      <c r="H238">
        <v>0</v>
      </c>
      <c r="I238">
        <v>0</v>
      </c>
      <c r="J238">
        <v>0</v>
      </c>
    </row>
    <row r="239" spans="1:10" ht="13" thickBot="1" x14ac:dyDescent="0.3">
      <c r="A239" t="s">
        <v>261</v>
      </c>
      <c r="B239" t="s">
        <v>149</v>
      </c>
      <c r="C239" t="s">
        <v>14</v>
      </c>
      <c r="D239" t="s">
        <v>106</v>
      </c>
      <c r="E239" s="202">
        <v>16569</v>
      </c>
      <c r="F239" s="202">
        <v>19054</v>
      </c>
      <c r="G239" s="203">
        <v>86.96</v>
      </c>
      <c r="H239">
        <v>25266</v>
      </c>
      <c r="I239">
        <v>29054</v>
      </c>
      <c r="J239">
        <v>86.96</v>
      </c>
    </row>
    <row r="240" spans="1:10" ht="13" thickBot="1" x14ac:dyDescent="0.3">
      <c r="A240" t="s">
        <v>262</v>
      </c>
      <c r="B240" t="s">
        <v>149</v>
      </c>
      <c r="C240" t="s">
        <v>14</v>
      </c>
      <c r="D240" t="s">
        <v>106</v>
      </c>
      <c r="E240" s="202">
        <v>22965</v>
      </c>
      <c r="F240" s="202">
        <v>25427</v>
      </c>
      <c r="G240" s="203">
        <v>90.32</v>
      </c>
      <c r="H240">
        <v>22965</v>
      </c>
      <c r="I240">
        <v>25427</v>
      </c>
      <c r="J240">
        <v>90.32</v>
      </c>
    </row>
    <row r="241" spans="1:10" ht="13" thickBot="1" x14ac:dyDescent="0.3">
      <c r="A241" t="s">
        <v>263</v>
      </c>
      <c r="B241" t="s">
        <v>149</v>
      </c>
      <c r="C241" t="s">
        <v>14</v>
      </c>
      <c r="D241" t="s">
        <v>106</v>
      </c>
      <c r="E241" s="201"/>
      <c r="F241" s="201"/>
      <c r="G241" s="203">
        <v>0</v>
      </c>
      <c r="H241">
        <v>0</v>
      </c>
      <c r="I241">
        <v>0</v>
      </c>
      <c r="J241">
        <v>0</v>
      </c>
    </row>
    <row r="242" spans="1:10" ht="13" thickBot="1" x14ac:dyDescent="0.3">
      <c r="A242" t="s">
        <v>264</v>
      </c>
      <c r="B242" t="s">
        <v>150</v>
      </c>
      <c r="C242" t="s">
        <v>14</v>
      </c>
      <c r="D242" t="s">
        <v>106</v>
      </c>
      <c r="E242" s="202">
        <v>53826</v>
      </c>
      <c r="F242" s="202">
        <v>92010</v>
      </c>
      <c r="G242" s="203">
        <v>58.5</v>
      </c>
      <c r="H242">
        <v>58956</v>
      </c>
      <c r="I242">
        <v>100779</v>
      </c>
      <c r="J242">
        <v>58.5</v>
      </c>
    </row>
    <row r="243" spans="1:10" ht="13" thickBot="1" x14ac:dyDescent="0.3">
      <c r="A243" t="s">
        <v>265</v>
      </c>
      <c r="B243" t="s">
        <v>150</v>
      </c>
      <c r="C243" t="s">
        <v>14</v>
      </c>
      <c r="D243" t="s">
        <v>106</v>
      </c>
      <c r="E243" s="202">
        <v>28408</v>
      </c>
      <c r="F243" s="202">
        <v>33226</v>
      </c>
      <c r="G243" s="203">
        <v>85.5</v>
      </c>
      <c r="H243">
        <v>20754</v>
      </c>
      <c r="I243">
        <v>24274</v>
      </c>
      <c r="J243">
        <v>85.5</v>
      </c>
    </row>
    <row r="244" spans="1:10" ht="13" thickBot="1" x14ac:dyDescent="0.3">
      <c r="A244" t="s">
        <v>245</v>
      </c>
      <c r="B244" t="s">
        <v>145</v>
      </c>
      <c r="C244" t="s">
        <v>15</v>
      </c>
      <c r="D244" t="s">
        <v>106</v>
      </c>
      <c r="E244" s="203">
        <v>0</v>
      </c>
      <c r="F244" s="203">
        <v>0</v>
      </c>
      <c r="G244" s="203">
        <v>0</v>
      </c>
      <c r="H244">
        <v>7976</v>
      </c>
      <c r="I244">
        <v>9384</v>
      </c>
      <c r="J244">
        <v>85</v>
      </c>
    </row>
    <row r="245" spans="1:10" ht="13" thickBot="1" x14ac:dyDescent="0.3">
      <c r="A245" t="s">
        <v>246</v>
      </c>
      <c r="B245" t="s">
        <v>145</v>
      </c>
      <c r="C245" t="s">
        <v>15</v>
      </c>
      <c r="D245" t="s">
        <v>106</v>
      </c>
      <c r="E245" s="202">
        <v>18145</v>
      </c>
      <c r="F245" s="202">
        <v>19000</v>
      </c>
      <c r="G245" s="203">
        <v>95.5</v>
      </c>
      <c r="H245">
        <v>21527</v>
      </c>
      <c r="I245">
        <v>22542</v>
      </c>
      <c r="J245">
        <v>95.5</v>
      </c>
    </row>
    <row r="246" spans="1:10" ht="13" thickBot="1" x14ac:dyDescent="0.3">
      <c r="A246" t="s">
        <v>247</v>
      </c>
      <c r="B246" t="s">
        <v>145</v>
      </c>
      <c r="C246" t="s">
        <v>15</v>
      </c>
      <c r="D246" t="s">
        <v>106</v>
      </c>
      <c r="E246" s="202">
        <v>45084</v>
      </c>
      <c r="F246" s="202">
        <v>51000</v>
      </c>
      <c r="G246" s="203">
        <v>88.4</v>
      </c>
      <c r="H246">
        <v>54104</v>
      </c>
      <c r="I246">
        <v>61204</v>
      </c>
      <c r="J246">
        <v>88.4</v>
      </c>
    </row>
    <row r="247" spans="1:10" ht="13" thickBot="1" x14ac:dyDescent="0.3">
      <c r="A247" t="s">
        <v>248</v>
      </c>
      <c r="B247" t="s">
        <v>145</v>
      </c>
      <c r="C247" t="s">
        <v>15</v>
      </c>
      <c r="D247" t="s">
        <v>106</v>
      </c>
      <c r="E247" s="202">
        <v>78057</v>
      </c>
      <c r="F247" s="202">
        <v>88500</v>
      </c>
      <c r="G247" s="203">
        <v>88.2</v>
      </c>
      <c r="H247">
        <v>97492</v>
      </c>
      <c r="I247">
        <v>110536</v>
      </c>
      <c r="J247">
        <v>88.2</v>
      </c>
    </row>
    <row r="248" spans="1:10" ht="13" thickBot="1" x14ac:dyDescent="0.3">
      <c r="A248" t="s">
        <v>249</v>
      </c>
      <c r="B248" t="s">
        <v>145</v>
      </c>
      <c r="C248" t="s">
        <v>15</v>
      </c>
      <c r="D248" t="s">
        <v>106</v>
      </c>
      <c r="E248" s="202">
        <v>5784</v>
      </c>
      <c r="F248" s="202">
        <v>6000</v>
      </c>
      <c r="G248" s="203">
        <v>96.4</v>
      </c>
      <c r="H248">
        <v>2719</v>
      </c>
      <c r="I248">
        <v>2820</v>
      </c>
      <c r="J248">
        <v>96.4</v>
      </c>
    </row>
    <row r="249" spans="1:10" ht="13" thickBot="1" x14ac:dyDescent="0.3">
      <c r="A249" t="s">
        <v>250</v>
      </c>
      <c r="B249" t="s">
        <v>145</v>
      </c>
      <c r="C249" t="s">
        <v>15</v>
      </c>
      <c r="D249" t="s">
        <v>106</v>
      </c>
      <c r="E249" s="202">
        <v>16884</v>
      </c>
      <c r="F249" s="202">
        <v>18000</v>
      </c>
      <c r="G249" s="203">
        <v>93.8</v>
      </c>
      <c r="H249">
        <v>2586</v>
      </c>
      <c r="I249">
        <v>2757</v>
      </c>
      <c r="J249">
        <v>93.8</v>
      </c>
    </row>
    <row r="250" spans="1:10" ht="13" thickBot="1" x14ac:dyDescent="0.3">
      <c r="A250" t="s">
        <v>251</v>
      </c>
      <c r="B250" t="s">
        <v>145</v>
      </c>
      <c r="C250" t="s">
        <v>15</v>
      </c>
      <c r="D250" t="s">
        <v>106</v>
      </c>
      <c r="E250" s="202">
        <v>39200</v>
      </c>
      <c r="F250" s="202">
        <v>56000</v>
      </c>
      <c r="G250" s="203">
        <v>70</v>
      </c>
      <c r="H250">
        <v>13088</v>
      </c>
      <c r="I250">
        <v>18697</v>
      </c>
      <c r="J250">
        <v>70</v>
      </c>
    </row>
    <row r="251" spans="1:10" ht="13" thickBot="1" x14ac:dyDescent="0.3">
      <c r="A251" t="s">
        <v>252</v>
      </c>
      <c r="B251" t="s">
        <v>146</v>
      </c>
      <c r="C251" t="s">
        <v>15</v>
      </c>
      <c r="D251" t="s">
        <v>106</v>
      </c>
      <c r="E251" s="202">
        <v>142687</v>
      </c>
      <c r="F251" s="202">
        <v>246012</v>
      </c>
      <c r="G251" s="203">
        <v>58</v>
      </c>
      <c r="H251">
        <v>138688</v>
      </c>
      <c r="I251">
        <v>239117</v>
      </c>
      <c r="J251">
        <v>58</v>
      </c>
    </row>
    <row r="252" spans="1:10" ht="13" thickBot="1" x14ac:dyDescent="0.3">
      <c r="A252" t="s">
        <v>253</v>
      </c>
      <c r="B252" t="s">
        <v>146</v>
      </c>
      <c r="C252" t="s">
        <v>15</v>
      </c>
      <c r="D252" t="s">
        <v>106</v>
      </c>
      <c r="E252" s="203">
        <v>0</v>
      </c>
      <c r="F252" s="203">
        <v>0</v>
      </c>
      <c r="G252" s="203">
        <v>0</v>
      </c>
      <c r="H252">
        <v>14609</v>
      </c>
      <c r="I252">
        <v>16033</v>
      </c>
      <c r="J252">
        <v>91.12</v>
      </c>
    </row>
    <row r="253" spans="1:10" ht="13" thickBot="1" x14ac:dyDescent="0.3">
      <c r="A253" t="s">
        <v>254</v>
      </c>
      <c r="B253" t="s">
        <v>146</v>
      </c>
      <c r="C253" t="s">
        <v>15</v>
      </c>
      <c r="D253" t="s">
        <v>106</v>
      </c>
      <c r="E253" s="203">
        <v>0</v>
      </c>
      <c r="F253" s="203">
        <v>0</v>
      </c>
      <c r="G253" s="203">
        <v>0</v>
      </c>
      <c r="H253">
        <v>0</v>
      </c>
      <c r="I253">
        <v>0</v>
      </c>
      <c r="J253">
        <v>0</v>
      </c>
    </row>
    <row r="254" spans="1:10" ht="13" thickBot="1" x14ac:dyDescent="0.3">
      <c r="A254" t="s">
        <v>277</v>
      </c>
      <c r="B254" t="s">
        <v>147</v>
      </c>
      <c r="C254" t="s">
        <v>15</v>
      </c>
      <c r="D254" t="s">
        <v>106</v>
      </c>
      <c r="E254" s="202">
        <v>118744</v>
      </c>
      <c r="F254" s="202">
        <v>204731</v>
      </c>
      <c r="G254" s="203">
        <v>58</v>
      </c>
      <c r="H254">
        <v>123490</v>
      </c>
      <c r="I254">
        <v>212914</v>
      </c>
      <c r="J254">
        <v>58</v>
      </c>
    </row>
    <row r="255" spans="1:10" ht="13" thickBot="1" x14ac:dyDescent="0.3">
      <c r="A255" t="s">
        <v>255</v>
      </c>
      <c r="B255" t="s">
        <v>148</v>
      </c>
      <c r="C255" t="s">
        <v>15</v>
      </c>
      <c r="D255" t="s">
        <v>106</v>
      </c>
      <c r="E255" s="202">
        <v>9166</v>
      </c>
      <c r="F255" s="202">
        <v>12595</v>
      </c>
      <c r="G255" s="203">
        <v>72.77</v>
      </c>
      <c r="H255">
        <v>9399</v>
      </c>
      <c r="I255">
        <v>12595</v>
      </c>
      <c r="J255">
        <v>74.62</v>
      </c>
    </row>
    <row r="256" spans="1:10" ht="13" thickBot="1" x14ac:dyDescent="0.3">
      <c r="A256" t="s">
        <v>256</v>
      </c>
      <c r="B256" t="s">
        <v>148</v>
      </c>
      <c r="C256" t="s">
        <v>15</v>
      </c>
      <c r="D256" t="s">
        <v>106</v>
      </c>
      <c r="E256" s="203">
        <v>0</v>
      </c>
      <c r="F256" s="203">
        <v>0</v>
      </c>
      <c r="G256" s="203">
        <v>0</v>
      </c>
      <c r="H256">
        <v>0</v>
      </c>
      <c r="I256">
        <v>0</v>
      </c>
      <c r="J256">
        <v>0</v>
      </c>
    </row>
    <row r="257" spans="1:10" ht="13" thickBot="1" x14ac:dyDescent="0.3">
      <c r="A257" t="s">
        <v>257</v>
      </c>
      <c r="B257" t="s">
        <v>148</v>
      </c>
      <c r="C257" t="s">
        <v>15</v>
      </c>
      <c r="D257" t="s">
        <v>106</v>
      </c>
      <c r="E257" s="202">
        <v>17424</v>
      </c>
      <c r="F257" s="202">
        <v>20037</v>
      </c>
      <c r="G257" s="203">
        <v>86.96</v>
      </c>
      <c r="H257">
        <v>17424</v>
      </c>
      <c r="I257">
        <v>20037</v>
      </c>
      <c r="J257">
        <v>86.96</v>
      </c>
    </row>
    <row r="258" spans="1:10" ht="13" thickBot="1" x14ac:dyDescent="0.3">
      <c r="A258" t="s">
        <v>258</v>
      </c>
      <c r="B258" t="s">
        <v>148</v>
      </c>
      <c r="C258" t="s">
        <v>15</v>
      </c>
      <c r="D258" t="s">
        <v>106</v>
      </c>
      <c r="E258" s="202">
        <v>30618</v>
      </c>
      <c r="F258" s="202">
        <v>32060</v>
      </c>
      <c r="G258" s="203">
        <v>95.5</v>
      </c>
      <c r="H258">
        <v>30618</v>
      </c>
      <c r="I258">
        <v>32060</v>
      </c>
      <c r="J258">
        <v>95.5</v>
      </c>
    </row>
    <row r="259" spans="1:10" ht="13" thickBot="1" x14ac:dyDescent="0.3">
      <c r="A259" t="s">
        <v>259</v>
      </c>
      <c r="B259" t="s">
        <v>149</v>
      </c>
      <c r="C259" t="s">
        <v>15</v>
      </c>
      <c r="D259" t="s">
        <v>106</v>
      </c>
      <c r="E259" s="202">
        <v>45010</v>
      </c>
      <c r="F259" s="202">
        <v>73075</v>
      </c>
      <c r="G259" s="203">
        <v>61.59</v>
      </c>
      <c r="H259">
        <v>50271</v>
      </c>
      <c r="I259">
        <v>82233</v>
      </c>
      <c r="J259">
        <v>61.13</v>
      </c>
    </row>
    <row r="260" spans="1:10" ht="13" thickBot="1" x14ac:dyDescent="0.3">
      <c r="A260" t="s">
        <v>260</v>
      </c>
      <c r="B260" t="s">
        <v>149</v>
      </c>
      <c r="C260" t="s">
        <v>15</v>
      </c>
      <c r="D260" t="s">
        <v>106</v>
      </c>
      <c r="E260" s="203">
        <v>0</v>
      </c>
      <c r="F260" s="203">
        <v>0</v>
      </c>
      <c r="G260" s="203">
        <v>0</v>
      </c>
      <c r="H260">
        <v>0</v>
      </c>
      <c r="I260">
        <v>0</v>
      </c>
      <c r="J260">
        <v>0</v>
      </c>
    </row>
    <row r="261" spans="1:10" ht="13" thickBot="1" x14ac:dyDescent="0.3">
      <c r="A261" t="s">
        <v>261</v>
      </c>
      <c r="B261" t="s">
        <v>149</v>
      </c>
      <c r="C261" t="s">
        <v>15</v>
      </c>
      <c r="D261" t="s">
        <v>106</v>
      </c>
      <c r="E261" s="202">
        <v>23578</v>
      </c>
      <c r="F261" s="202">
        <v>27114</v>
      </c>
      <c r="G261" s="203">
        <v>86.96</v>
      </c>
      <c r="H261">
        <v>17424</v>
      </c>
      <c r="I261">
        <v>20037</v>
      </c>
      <c r="J261">
        <v>86.96</v>
      </c>
    </row>
    <row r="262" spans="1:10" ht="13" thickBot="1" x14ac:dyDescent="0.3">
      <c r="A262" t="s">
        <v>262</v>
      </c>
      <c r="B262" t="s">
        <v>149</v>
      </c>
      <c r="C262" t="s">
        <v>15</v>
      </c>
      <c r="D262" t="s">
        <v>106</v>
      </c>
      <c r="E262" s="202">
        <v>21287</v>
      </c>
      <c r="F262" s="202">
        <v>23569</v>
      </c>
      <c r="G262" s="203">
        <v>90.3</v>
      </c>
      <c r="H262">
        <v>21287</v>
      </c>
      <c r="I262">
        <v>23569</v>
      </c>
      <c r="J262">
        <v>90.32</v>
      </c>
    </row>
    <row r="263" spans="1:10" ht="13" thickBot="1" x14ac:dyDescent="0.3">
      <c r="A263" t="s">
        <v>263</v>
      </c>
      <c r="B263" t="s">
        <v>149</v>
      </c>
      <c r="C263" t="s">
        <v>15</v>
      </c>
      <c r="D263" t="s">
        <v>106</v>
      </c>
      <c r="E263" s="201"/>
      <c r="F263" s="201"/>
      <c r="G263" s="203">
        <v>0</v>
      </c>
      <c r="H263">
        <v>0</v>
      </c>
      <c r="I263">
        <v>0</v>
      </c>
      <c r="J263">
        <v>0</v>
      </c>
    </row>
    <row r="264" spans="1:10" ht="13" thickBot="1" x14ac:dyDescent="0.3">
      <c r="A264" t="s">
        <v>264</v>
      </c>
      <c r="B264" t="s">
        <v>150</v>
      </c>
      <c r="C264" t="s">
        <v>15</v>
      </c>
      <c r="D264" t="s">
        <v>106</v>
      </c>
      <c r="E264" s="202">
        <v>53145</v>
      </c>
      <c r="F264" s="202">
        <v>90846</v>
      </c>
      <c r="G264" s="203">
        <v>58.5</v>
      </c>
      <c r="H264">
        <v>57137</v>
      </c>
      <c r="I264">
        <v>97670</v>
      </c>
      <c r="J264">
        <v>58.5</v>
      </c>
    </row>
    <row r="265" spans="1:10" ht="13" thickBot="1" x14ac:dyDescent="0.3">
      <c r="A265" t="s">
        <v>265</v>
      </c>
      <c r="B265" t="s">
        <v>150</v>
      </c>
      <c r="C265" t="s">
        <v>15</v>
      </c>
      <c r="D265" t="s">
        <v>106</v>
      </c>
      <c r="E265" s="202">
        <v>27928</v>
      </c>
      <c r="F265" s="202">
        <v>32664</v>
      </c>
      <c r="G265" s="203">
        <v>85.5</v>
      </c>
      <c r="H265">
        <v>19684</v>
      </c>
      <c r="I265">
        <v>23022</v>
      </c>
      <c r="J265">
        <v>85.5</v>
      </c>
    </row>
    <row r="266" spans="1:10" x14ac:dyDescent="0.25">
      <c r="A266" t="s">
        <v>245</v>
      </c>
      <c r="B266" t="s">
        <v>145</v>
      </c>
      <c r="C266" t="s">
        <v>4</v>
      </c>
      <c r="D266" t="s">
        <v>107</v>
      </c>
      <c r="E266">
        <v>10877.64</v>
      </c>
      <c r="F266">
        <v>11980.362999999999</v>
      </c>
      <c r="G266">
        <v>90.795579399388814</v>
      </c>
      <c r="H266">
        <v>5606</v>
      </c>
      <c r="I266">
        <v>6595</v>
      </c>
      <c r="J266">
        <v>85</v>
      </c>
    </row>
    <row r="267" spans="1:10" x14ac:dyDescent="0.25">
      <c r="A267" t="s">
        <v>246</v>
      </c>
      <c r="B267" t="s">
        <v>145</v>
      </c>
      <c r="C267" t="s">
        <v>4</v>
      </c>
      <c r="D267" t="s">
        <v>107</v>
      </c>
      <c r="E267">
        <v>16026.43</v>
      </c>
      <c r="F267">
        <v>16712.048999999999</v>
      </c>
      <c r="G267">
        <v>95.897456978494986</v>
      </c>
      <c r="H267">
        <v>14025</v>
      </c>
      <c r="I267">
        <v>14685</v>
      </c>
      <c r="J267">
        <v>95.5</v>
      </c>
    </row>
    <row r="268" spans="1:10" x14ac:dyDescent="0.25">
      <c r="A268" t="s">
        <v>247</v>
      </c>
      <c r="B268" t="s">
        <v>145</v>
      </c>
      <c r="C268" t="s">
        <v>4</v>
      </c>
      <c r="D268" t="s">
        <v>107</v>
      </c>
      <c r="E268">
        <v>22535.03</v>
      </c>
      <c r="F268">
        <v>26375.633000000002</v>
      </c>
      <c r="G268">
        <v>85.438821506198536</v>
      </c>
      <c r="H268">
        <v>43182</v>
      </c>
      <c r="I268">
        <v>48848</v>
      </c>
      <c r="J268">
        <v>88.4</v>
      </c>
    </row>
    <row r="269" spans="1:10" x14ac:dyDescent="0.25">
      <c r="A269" t="s">
        <v>248</v>
      </c>
      <c r="B269" t="s">
        <v>145</v>
      </c>
      <c r="C269" t="s">
        <v>4</v>
      </c>
      <c r="D269" t="s">
        <v>107</v>
      </c>
      <c r="E269">
        <v>73473.11</v>
      </c>
      <c r="F269">
        <v>82730.198999999993</v>
      </c>
      <c r="G269">
        <v>88.810507998415432</v>
      </c>
      <c r="H269">
        <v>74574</v>
      </c>
      <c r="I269">
        <v>84550</v>
      </c>
      <c r="J269">
        <v>88.2</v>
      </c>
    </row>
    <row r="270" spans="1:10" x14ac:dyDescent="0.25">
      <c r="A270" t="s">
        <v>249</v>
      </c>
      <c r="B270" t="s">
        <v>145</v>
      </c>
      <c r="C270" t="s">
        <v>4</v>
      </c>
      <c r="D270" t="s">
        <v>107</v>
      </c>
      <c r="E270">
        <v>1851.01</v>
      </c>
      <c r="F270">
        <v>1899.8810000000001</v>
      </c>
      <c r="G270">
        <v>97.427680996862435</v>
      </c>
      <c r="H270">
        <v>1771</v>
      </c>
      <c r="I270">
        <v>1837</v>
      </c>
      <c r="J270">
        <v>96.4</v>
      </c>
    </row>
    <row r="271" spans="1:10" x14ac:dyDescent="0.25">
      <c r="A271" t="s">
        <v>250</v>
      </c>
      <c r="B271" t="s">
        <v>145</v>
      </c>
      <c r="C271" t="s">
        <v>4</v>
      </c>
      <c r="D271" t="s">
        <v>107</v>
      </c>
      <c r="E271">
        <v>9467.27</v>
      </c>
      <c r="F271">
        <v>10040.27</v>
      </c>
      <c r="G271">
        <v>94.292982160838307</v>
      </c>
      <c r="H271">
        <v>2129</v>
      </c>
      <c r="I271">
        <v>2270</v>
      </c>
      <c r="J271">
        <v>93.8</v>
      </c>
    </row>
    <row r="272" spans="1:10" x14ac:dyDescent="0.25">
      <c r="A272" t="s">
        <v>251</v>
      </c>
      <c r="B272" t="s">
        <v>145</v>
      </c>
      <c r="C272" t="s">
        <v>4</v>
      </c>
      <c r="D272" t="s">
        <v>107</v>
      </c>
      <c r="E272">
        <v>10914.45</v>
      </c>
      <c r="F272">
        <v>15003.357</v>
      </c>
      <c r="G272">
        <v>72.746719284224199</v>
      </c>
      <c r="H272">
        <v>8883</v>
      </c>
      <c r="I272">
        <v>12689</v>
      </c>
      <c r="J272">
        <v>70</v>
      </c>
    </row>
    <row r="273" spans="1:10" x14ac:dyDescent="0.25">
      <c r="A273" t="s">
        <v>252</v>
      </c>
      <c r="B273" t="s">
        <v>146</v>
      </c>
      <c r="C273" t="s">
        <v>4</v>
      </c>
      <c r="D273" t="s">
        <v>107</v>
      </c>
      <c r="E273">
        <v>124793.553</v>
      </c>
      <c r="F273">
        <v>214051.26500000001</v>
      </c>
      <c r="G273">
        <v>58.300778086969018</v>
      </c>
      <c r="H273">
        <v>131214</v>
      </c>
      <c r="I273">
        <v>226231</v>
      </c>
      <c r="J273">
        <v>58</v>
      </c>
    </row>
    <row r="274" spans="1:10" x14ac:dyDescent="0.25">
      <c r="A274" t="s">
        <v>253</v>
      </c>
      <c r="B274" t="s">
        <v>146</v>
      </c>
      <c r="C274" t="s">
        <v>4</v>
      </c>
      <c r="D274" t="s">
        <v>107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254</v>
      </c>
      <c r="B275" t="s">
        <v>146</v>
      </c>
      <c r="C275" t="s">
        <v>4</v>
      </c>
      <c r="D275" t="s">
        <v>107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277</v>
      </c>
      <c r="B276" t="s">
        <v>147</v>
      </c>
      <c r="C276" t="s">
        <v>4</v>
      </c>
      <c r="D276" t="s">
        <v>107</v>
      </c>
      <c r="E276">
        <v>97181.922999999995</v>
      </c>
      <c r="F276">
        <v>160972.84</v>
      </c>
      <c r="G276">
        <v>60.371627288181038</v>
      </c>
      <c r="H276">
        <v>90096</v>
      </c>
      <c r="I276">
        <v>155339</v>
      </c>
      <c r="J276">
        <v>58</v>
      </c>
    </row>
    <row r="277" spans="1:10" x14ac:dyDescent="0.25">
      <c r="A277" t="s">
        <v>255</v>
      </c>
      <c r="B277" t="s">
        <v>148</v>
      </c>
      <c r="C277" t="s">
        <v>4</v>
      </c>
      <c r="D277" t="s">
        <v>107</v>
      </c>
      <c r="E277">
        <v>18217.190999999999</v>
      </c>
      <c r="F277">
        <v>20891.862000000001</v>
      </c>
      <c r="G277">
        <v>87.197546106708913</v>
      </c>
      <c r="H277">
        <v>4945</v>
      </c>
      <c r="I277">
        <v>5232</v>
      </c>
      <c r="J277">
        <v>94.52</v>
      </c>
    </row>
    <row r="278" spans="1:10" x14ac:dyDescent="0.25">
      <c r="A278" t="s">
        <v>256</v>
      </c>
      <c r="B278" t="s">
        <v>148</v>
      </c>
      <c r="C278" t="s">
        <v>4</v>
      </c>
      <c r="D278" t="s">
        <v>107</v>
      </c>
      <c r="E278">
        <v>31210.999</v>
      </c>
      <c r="F278">
        <v>34515.258999999998</v>
      </c>
      <c r="G278">
        <v>90.426668969802606</v>
      </c>
      <c r="H278">
        <v>0</v>
      </c>
      <c r="I278">
        <v>0</v>
      </c>
      <c r="J278">
        <v>0</v>
      </c>
    </row>
    <row r="279" spans="1:10" x14ac:dyDescent="0.25">
      <c r="A279" t="s">
        <v>257</v>
      </c>
      <c r="B279" t="s">
        <v>148</v>
      </c>
      <c r="C279" t="s">
        <v>4</v>
      </c>
      <c r="D279" t="s">
        <v>107</v>
      </c>
      <c r="E279">
        <v>51151.207999999999</v>
      </c>
      <c r="F279">
        <v>59399.883000000002</v>
      </c>
      <c r="G279">
        <v>86.113314398279201</v>
      </c>
      <c r="H279">
        <v>10467</v>
      </c>
      <c r="I279">
        <v>12037</v>
      </c>
      <c r="J279">
        <v>86.96</v>
      </c>
    </row>
    <row r="280" spans="1:10" x14ac:dyDescent="0.25">
      <c r="A280" t="s">
        <v>258</v>
      </c>
      <c r="B280" t="s">
        <v>148</v>
      </c>
      <c r="C280" t="s">
        <v>4</v>
      </c>
      <c r="D280" t="s">
        <v>107</v>
      </c>
      <c r="E280">
        <v>0</v>
      </c>
      <c r="F280">
        <v>0</v>
      </c>
      <c r="G280">
        <v>0</v>
      </c>
      <c r="H280">
        <v>29479</v>
      </c>
      <c r="I280">
        <v>30868</v>
      </c>
      <c r="J280">
        <v>95.5</v>
      </c>
    </row>
    <row r="281" spans="1:10" x14ac:dyDescent="0.25">
      <c r="A281" t="s">
        <v>259</v>
      </c>
      <c r="B281" t="s">
        <v>149</v>
      </c>
      <c r="C281" t="s">
        <v>4</v>
      </c>
      <c r="D281" t="s">
        <v>107</v>
      </c>
      <c r="E281">
        <v>29341</v>
      </c>
      <c r="F281">
        <v>50770</v>
      </c>
      <c r="G281">
        <v>57.792003151467398</v>
      </c>
      <c r="H281">
        <v>47877</v>
      </c>
      <c r="I281">
        <v>79813</v>
      </c>
      <c r="J281">
        <v>59.99</v>
      </c>
    </row>
    <row r="282" spans="1:10" x14ac:dyDescent="0.25">
      <c r="A282" t="s">
        <v>260</v>
      </c>
      <c r="B282" t="s">
        <v>149</v>
      </c>
      <c r="C282" t="s">
        <v>4</v>
      </c>
      <c r="D282" t="s">
        <v>107</v>
      </c>
      <c r="E282">
        <v>2908.8119999999999</v>
      </c>
      <c r="F282">
        <v>3063.0459999999998</v>
      </c>
      <c r="G282">
        <v>94.964685479747928</v>
      </c>
      <c r="H282">
        <v>0</v>
      </c>
      <c r="I282">
        <v>0</v>
      </c>
      <c r="J282">
        <v>0</v>
      </c>
    </row>
    <row r="283" spans="1:10" x14ac:dyDescent="0.25">
      <c r="A283" t="s">
        <v>261</v>
      </c>
      <c r="B283" t="s">
        <v>149</v>
      </c>
      <c r="C283" t="s">
        <v>4</v>
      </c>
      <c r="D283" t="s">
        <v>107</v>
      </c>
      <c r="E283">
        <v>812.78</v>
      </c>
      <c r="F283">
        <v>934.39400000000001</v>
      </c>
      <c r="G283">
        <v>86.984719508044776</v>
      </c>
      <c r="H283">
        <v>10467</v>
      </c>
      <c r="I283">
        <v>12037</v>
      </c>
      <c r="J283">
        <v>86.96</v>
      </c>
    </row>
    <row r="284" spans="1:10" x14ac:dyDescent="0.25">
      <c r="A284" t="s">
        <v>262</v>
      </c>
      <c r="B284" t="s">
        <v>149</v>
      </c>
      <c r="C284" t="s">
        <v>4</v>
      </c>
      <c r="D284" t="s">
        <v>107</v>
      </c>
      <c r="E284">
        <v>0</v>
      </c>
      <c r="F284">
        <v>0</v>
      </c>
      <c r="G284">
        <v>0</v>
      </c>
      <c r="H284">
        <v>13150</v>
      </c>
      <c r="I284">
        <v>14559</v>
      </c>
      <c r="J284">
        <v>90.32</v>
      </c>
    </row>
    <row r="285" spans="1:10" x14ac:dyDescent="0.25">
      <c r="A285" t="s">
        <v>263</v>
      </c>
      <c r="B285" t="s">
        <v>149</v>
      </c>
      <c r="C285" t="s">
        <v>4</v>
      </c>
      <c r="D285" t="s">
        <v>107</v>
      </c>
      <c r="E285">
        <v>9320</v>
      </c>
      <c r="F285">
        <v>15386</v>
      </c>
      <c r="G285">
        <v>60.574548290653837</v>
      </c>
      <c r="H285">
        <v>0</v>
      </c>
      <c r="I285">
        <v>0</v>
      </c>
      <c r="J285">
        <v>0</v>
      </c>
    </row>
    <row r="286" spans="1:10" x14ac:dyDescent="0.25">
      <c r="A286" t="s">
        <v>264</v>
      </c>
      <c r="B286" t="s">
        <v>150</v>
      </c>
      <c r="C286" t="s">
        <v>4</v>
      </c>
      <c r="D286" t="s">
        <v>107</v>
      </c>
      <c r="E286">
        <v>42911.133999999998</v>
      </c>
      <c r="F286">
        <v>74037.744999999995</v>
      </c>
      <c r="G286">
        <v>57.958456190150045</v>
      </c>
      <c r="H286">
        <v>44878</v>
      </c>
      <c r="I286">
        <v>76715</v>
      </c>
      <c r="J286">
        <v>58.5</v>
      </c>
    </row>
    <row r="287" spans="1:10" x14ac:dyDescent="0.25">
      <c r="A287" t="s">
        <v>265</v>
      </c>
      <c r="B287" t="s">
        <v>150</v>
      </c>
      <c r="C287" t="s">
        <v>4</v>
      </c>
      <c r="D287" t="s">
        <v>107</v>
      </c>
      <c r="E287">
        <v>15732.723000000002</v>
      </c>
      <c r="F287">
        <v>18386.919999999998</v>
      </c>
      <c r="G287">
        <v>85.564754727817402</v>
      </c>
      <c r="H287">
        <v>12824</v>
      </c>
      <c r="I287">
        <v>14998</v>
      </c>
      <c r="J287">
        <v>85.5</v>
      </c>
    </row>
    <row r="288" spans="1:10" x14ac:dyDescent="0.25">
      <c r="A288" t="s">
        <v>245</v>
      </c>
      <c r="B288" t="s">
        <v>145</v>
      </c>
      <c r="C288" t="s">
        <v>5</v>
      </c>
      <c r="D288" t="s">
        <v>107</v>
      </c>
      <c r="E288">
        <v>25160.91</v>
      </c>
      <c r="F288">
        <v>26967.552</v>
      </c>
      <c r="G288">
        <v>93.300682242125646</v>
      </c>
      <c r="H288">
        <v>11478</v>
      </c>
      <c r="I288">
        <v>13504</v>
      </c>
      <c r="J288">
        <v>85</v>
      </c>
    </row>
    <row r="289" spans="1:10" x14ac:dyDescent="0.25">
      <c r="A289" t="s">
        <v>246</v>
      </c>
      <c r="B289" t="s">
        <v>145</v>
      </c>
      <c r="C289" t="s">
        <v>5</v>
      </c>
      <c r="D289" t="s">
        <v>107</v>
      </c>
      <c r="E289">
        <v>31096.61</v>
      </c>
      <c r="F289">
        <v>32645.311999999998</v>
      </c>
      <c r="G289">
        <v>95.255974272814441</v>
      </c>
      <c r="H289">
        <v>28727</v>
      </c>
      <c r="I289">
        <v>30081</v>
      </c>
      <c r="J289">
        <v>95.5</v>
      </c>
    </row>
    <row r="290" spans="1:10" x14ac:dyDescent="0.25">
      <c r="A290" t="s">
        <v>247</v>
      </c>
      <c r="B290" t="s">
        <v>145</v>
      </c>
      <c r="C290" t="s">
        <v>5</v>
      </c>
      <c r="D290" t="s">
        <v>107</v>
      </c>
      <c r="E290">
        <v>59002.81</v>
      </c>
      <c r="F290">
        <v>67847.870999999999</v>
      </c>
      <c r="G290">
        <v>86.963391968481957</v>
      </c>
      <c r="H290">
        <v>88452</v>
      </c>
      <c r="I290">
        <v>100058</v>
      </c>
      <c r="J290">
        <v>88.4</v>
      </c>
    </row>
    <row r="291" spans="1:10" x14ac:dyDescent="0.25">
      <c r="A291" t="s">
        <v>248</v>
      </c>
      <c r="B291" t="s">
        <v>145</v>
      </c>
      <c r="C291" t="s">
        <v>5</v>
      </c>
      <c r="D291" t="s">
        <v>107</v>
      </c>
      <c r="E291">
        <v>147823.31</v>
      </c>
      <c r="F291">
        <v>167913.76500000001</v>
      </c>
      <c r="G291">
        <v>88.035254286627421</v>
      </c>
      <c r="H291">
        <v>152752</v>
      </c>
      <c r="I291">
        <v>173189</v>
      </c>
      <c r="J291">
        <v>88.2</v>
      </c>
    </row>
    <row r="292" spans="1:10" x14ac:dyDescent="0.25">
      <c r="A292" t="s">
        <v>249</v>
      </c>
      <c r="B292" t="s">
        <v>145</v>
      </c>
      <c r="C292" t="s">
        <v>5</v>
      </c>
      <c r="D292" t="s">
        <v>107</v>
      </c>
      <c r="E292">
        <v>4889.55</v>
      </c>
      <c r="F292">
        <v>5069.991</v>
      </c>
      <c r="G292">
        <v>96.440999599407576</v>
      </c>
      <c r="H292">
        <v>3628</v>
      </c>
      <c r="I292">
        <v>3764</v>
      </c>
      <c r="J292">
        <v>96.4</v>
      </c>
    </row>
    <row r="293" spans="1:10" x14ac:dyDescent="0.25">
      <c r="A293" t="s">
        <v>250</v>
      </c>
      <c r="B293" t="s">
        <v>145</v>
      </c>
      <c r="C293" t="s">
        <v>5</v>
      </c>
      <c r="D293" t="s">
        <v>107</v>
      </c>
      <c r="E293">
        <v>12695.92</v>
      </c>
      <c r="F293">
        <v>13517.064</v>
      </c>
      <c r="G293">
        <v>93.925130486916387</v>
      </c>
      <c r="H293">
        <v>4362</v>
      </c>
      <c r="I293">
        <v>4650</v>
      </c>
      <c r="J293">
        <v>93.8</v>
      </c>
    </row>
    <row r="294" spans="1:10" x14ac:dyDescent="0.25">
      <c r="A294" t="s">
        <v>251</v>
      </c>
      <c r="B294" t="s">
        <v>145</v>
      </c>
      <c r="C294" t="s">
        <v>5</v>
      </c>
      <c r="D294" t="s">
        <v>107</v>
      </c>
      <c r="E294">
        <v>29612.86</v>
      </c>
      <c r="F294">
        <v>40246.077000000005</v>
      </c>
      <c r="G294">
        <v>73.579494468491916</v>
      </c>
      <c r="H294">
        <v>18101</v>
      </c>
      <c r="I294">
        <v>25859</v>
      </c>
      <c r="J294">
        <v>70</v>
      </c>
    </row>
    <row r="295" spans="1:10" x14ac:dyDescent="0.25">
      <c r="A295" t="s">
        <v>252</v>
      </c>
      <c r="B295" t="s">
        <v>146</v>
      </c>
      <c r="C295" t="s">
        <v>5</v>
      </c>
      <c r="D295" t="s">
        <v>107</v>
      </c>
      <c r="E295">
        <v>233719.08199999999</v>
      </c>
      <c r="F295">
        <v>401143.429</v>
      </c>
      <c r="G295">
        <v>58.263220859090772</v>
      </c>
      <c r="H295">
        <v>242187</v>
      </c>
      <c r="I295">
        <v>417563</v>
      </c>
      <c r="J295">
        <v>58</v>
      </c>
    </row>
    <row r="296" spans="1:10" x14ac:dyDescent="0.25">
      <c r="A296" t="s">
        <v>253</v>
      </c>
      <c r="B296" t="s">
        <v>146</v>
      </c>
      <c r="C296" t="s">
        <v>5</v>
      </c>
      <c r="D296" t="s">
        <v>107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254</v>
      </c>
      <c r="B297" t="s">
        <v>146</v>
      </c>
      <c r="C297" t="s">
        <v>5</v>
      </c>
      <c r="D297" t="s">
        <v>107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277</v>
      </c>
      <c r="B298" t="s">
        <v>147</v>
      </c>
      <c r="C298" t="s">
        <v>5</v>
      </c>
      <c r="D298" t="s">
        <v>107</v>
      </c>
      <c r="E298">
        <v>173030.329</v>
      </c>
      <c r="F298">
        <v>291802.06699999998</v>
      </c>
      <c r="G298">
        <v>59.297156726446353</v>
      </c>
      <c r="H298">
        <v>179202</v>
      </c>
      <c r="I298">
        <v>308969</v>
      </c>
      <c r="J298">
        <v>58</v>
      </c>
    </row>
    <row r="299" spans="1:10" x14ac:dyDescent="0.25">
      <c r="A299" t="s">
        <v>255</v>
      </c>
      <c r="B299" t="s">
        <v>148</v>
      </c>
      <c r="C299" t="s">
        <v>5</v>
      </c>
      <c r="D299" t="s">
        <v>107</v>
      </c>
      <c r="E299">
        <v>36864.212</v>
      </c>
      <c r="F299">
        <v>41544.922000000006</v>
      </c>
      <c r="G299">
        <v>88.73337636787474</v>
      </c>
      <c r="H299">
        <v>9922</v>
      </c>
      <c r="I299">
        <v>10500</v>
      </c>
      <c r="J299">
        <v>94.5</v>
      </c>
    </row>
    <row r="300" spans="1:10" x14ac:dyDescent="0.25">
      <c r="A300" t="s">
        <v>256</v>
      </c>
      <c r="B300" t="s">
        <v>148</v>
      </c>
      <c r="C300" t="s">
        <v>5</v>
      </c>
      <c r="D300" t="s">
        <v>107</v>
      </c>
      <c r="E300">
        <v>57763.1</v>
      </c>
      <c r="F300">
        <v>63564.915999999997</v>
      </c>
      <c r="G300">
        <v>90.872612810500684</v>
      </c>
      <c r="H300">
        <v>0</v>
      </c>
      <c r="I300">
        <v>0</v>
      </c>
      <c r="J300">
        <v>0</v>
      </c>
    </row>
    <row r="301" spans="1:10" x14ac:dyDescent="0.25">
      <c r="A301" t="s">
        <v>257</v>
      </c>
      <c r="B301" t="s">
        <v>148</v>
      </c>
      <c r="C301" t="s">
        <v>5</v>
      </c>
      <c r="D301" t="s">
        <v>107</v>
      </c>
      <c r="E301">
        <v>91418.508000000002</v>
      </c>
      <c r="F301">
        <v>105799.79399999999</v>
      </c>
      <c r="G301">
        <v>86.407075613020581</v>
      </c>
      <c r="H301">
        <v>21441</v>
      </c>
      <c r="I301">
        <v>24656</v>
      </c>
      <c r="J301">
        <v>86.96</v>
      </c>
    </row>
    <row r="302" spans="1:10" x14ac:dyDescent="0.25">
      <c r="A302" t="s">
        <v>258</v>
      </c>
      <c r="B302" t="s">
        <v>148</v>
      </c>
      <c r="C302" t="s">
        <v>5</v>
      </c>
      <c r="D302" t="s">
        <v>107</v>
      </c>
      <c r="E302">
        <v>1434.18</v>
      </c>
      <c r="F302">
        <v>1514.046</v>
      </c>
      <c r="G302">
        <v>94.724995145457939</v>
      </c>
      <c r="H302">
        <v>58999</v>
      </c>
      <c r="I302">
        <v>61779</v>
      </c>
      <c r="J302">
        <v>95.5</v>
      </c>
    </row>
    <row r="303" spans="1:10" x14ac:dyDescent="0.25">
      <c r="A303" t="s">
        <v>259</v>
      </c>
      <c r="B303" t="s">
        <v>149</v>
      </c>
      <c r="C303" t="s">
        <v>5</v>
      </c>
      <c r="D303" t="s">
        <v>107</v>
      </c>
      <c r="E303">
        <v>61445</v>
      </c>
      <c r="F303">
        <v>106784</v>
      </c>
      <c r="G303">
        <v>57.541391968834276</v>
      </c>
      <c r="H303">
        <v>89009</v>
      </c>
      <c r="I303">
        <v>147863</v>
      </c>
      <c r="J303">
        <v>60.2</v>
      </c>
    </row>
    <row r="304" spans="1:10" x14ac:dyDescent="0.25">
      <c r="A304" t="s">
        <v>260</v>
      </c>
      <c r="B304" t="s">
        <v>149</v>
      </c>
      <c r="C304" t="s">
        <v>5</v>
      </c>
      <c r="D304" t="s">
        <v>107</v>
      </c>
      <c r="E304">
        <v>2908.8119999999999</v>
      </c>
      <c r="F304">
        <v>3063.0459999999998</v>
      </c>
      <c r="G304">
        <v>94.964685479747928</v>
      </c>
      <c r="H304">
        <v>0</v>
      </c>
      <c r="I304">
        <v>0</v>
      </c>
      <c r="J304">
        <v>0</v>
      </c>
    </row>
    <row r="305" spans="1:10" x14ac:dyDescent="0.25">
      <c r="A305" t="s">
        <v>261</v>
      </c>
      <c r="B305" t="s">
        <v>149</v>
      </c>
      <c r="C305" t="s">
        <v>5</v>
      </c>
      <c r="D305" t="s">
        <v>107</v>
      </c>
      <c r="E305">
        <v>1305.087</v>
      </c>
      <c r="F305">
        <v>1503.5740000000001</v>
      </c>
      <c r="G305">
        <v>86.798986947100701</v>
      </c>
      <c r="H305">
        <v>21441</v>
      </c>
      <c r="I305">
        <v>24656</v>
      </c>
      <c r="J305">
        <v>86.96</v>
      </c>
    </row>
    <row r="306" spans="1:10" x14ac:dyDescent="0.25">
      <c r="A306" t="s">
        <v>262</v>
      </c>
      <c r="B306" t="s">
        <v>149</v>
      </c>
      <c r="C306" t="s">
        <v>5</v>
      </c>
      <c r="D306" t="s">
        <v>107</v>
      </c>
      <c r="E306">
        <v>2828.16</v>
      </c>
      <c r="F306">
        <v>3104.7660000000001</v>
      </c>
      <c r="G306">
        <v>91.09092279418158</v>
      </c>
      <c r="H306">
        <v>26935</v>
      </c>
      <c r="I306">
        <v>29822</v>
      </c>
      <c r="J306">
        <v>90.32</v>
      </c>
    </row>
    <row r="307" spans="1:10" x14ac:dyDescent="0.25">
      <c r="A307" t="s">
        <v>263</v>
      </c>
      <c r="B307" t="s">
        <v>149</v>
      </c>
      <c r="C307" t="s">
        <v>5</v>
      </c>
      <c r="D307" t="s">
        <v>107</v>
      </c>
      <c r="E307">
        <v>16317</v>
      </c>
      <c r="F307">
        <v>26730</v>
      </c>
      <c r="G307">
        <v>61.043771043771045</v>
      </c>
      <c r="H307">
        <v>0</v>
      </c>
      <c r="I307">
        <v>0</v>
      </c>
      <c r="J307">
        <v>0</v>
      </c>
    </row>
    <row r="308" spans="1:10" x14ac:dyDescent="0.25">
      <c r="A308" t="s">
        <v>264</v>
      </c>
      <c r="B308" t="s">
        <v>150</v>
      </c>
      <c r="C308" t="s">
        <v>5</v>
      </c>
      <c r="D308" t="s">
        <v>107</v>
      </c>
      <c r="E308">
        <v>86507.174999999988</v>
      </c>
      <c r="F308">
        <v>149307.72499999998</v>
      </c>
      <c r="G308">
        <v>57.938847437398167</v>
      </c>
      <c r="H308">
        <v>96597</v>
      </c>
      <c r="I308">
        <v>165124</v>
      </c>
      <c r="J308">
        <v>58.5</v>
      </c>
    </row>
    <row r="309" spans="1:10" x14ac:dyDescent="0.25">
      <c r="A309" t="s">
        <v>265</v>
      </c>
      <c r="B309" t="s">
        <v>150</v>
      </c>
      <c r="C309" t="s">
        <v>5</v>
      </c>
      <c r="D309" t="s">
        <v>107</v>
      </c>
      <c r="E309">
        <v>26852.333000000002</v>
      </c>
      <c r="F309">
        <v>31335.993999999999</v>
      </c>
      <c r="G309">
        <v>85.691658608308401</v>
      </c>
      <c r="H309">
        <v>26666</v>
      </c>
      <c r="I309">
        <v>31189</v>
      </c>
      <c r="J309">
        <v>85.5</v>
      </c>
    </row>
    <row r="310" spans="1:10" x14ac:dyDescent="0.25">
      <c r="A310" t="s">
        <v>245</v>
      </c>
      <c r="B310" t="s">
        <v>145</v>
      </c>
      <c r="C310" t="s">
        <v>6</v>
      </c>
      <c r="D310" t="s">
        <v>107</v>
      </c>
      <c r="E310">
        <v>27202.04</v>
      </c>
      <c r="F310">
        <v>29174.89</v>
      </c>
      <c r="G310">
        <v>93.237849397204243</v>
      </c>
      <c r="H310">
        <v>14926</v>
      </c>
      <c r="I310">
        <v>17559</v>
      </c>
      <c r="J310">
        <v>85</v>
      </c>
    </row>
    <row r="311" spans="1:10" x14ac:dyDescent="0.25">
      <c r="A311" t="s">
        <v>246</v>
      </c>
      <c r="B311" t="s">
        <v>145</v>
      </c>
      <c r="C311" t="s">
        <v>6</v>
      </c>
      <c r="D311" t="s">
        <v>107</v>
      </c>
      <c r="E311">
        <v>41470.22</v>
      </c>
      <c r="F311">
        <v>43690.709000000003</v>
      </c>
      <c r="G311">
        <v>94.917708934409831</v>
      </c>
      <c r="H311">
        <v>37338</v>
      </c>
      <c r="I311">
        <v>39097</v>
      </c>
      <c r="J311">
        <v>95.5</v>
      </c>
    </row>
    <row r="312" spans="1:10" x14ac:dyDescent="0.25">
      <c r="A312" t="s">
        <v>247</v>
      </c>
      <c r="B312" t="s">
        <v>145</v>
      </c>
      <c r="C312" t="s">
        <v>6</v>
      </c>
      <c r="D312" t="s">
        <v>107</v>
      </c>
      <c r="E312">
        <v>85283.06</v>
      </c>
      <c r="F312">
        <v>97675.66</v>
      </c>
      <c r="G312">
        <v>87.31249934732972</v>
      </c>
      <c r="H312">
        <v>114965</v>
      </c>
      <c r="I312">
        <v>130050</v>
      </c>
      <c r="J312">
        <v>88.4</v>
      </c>
    </row>
    <row r="313" spans="1:10" x14ac:dyDescent="0.25">
      <c r="A313" t="s">
        <v>248</v>
      </c>
      <c r="B313" t="s">
        <v>145</v>
      </c>
      <c r="C313" t="s">
        <v>6</v>
      </c>
      <c r="D313" t="s">
        <v>107</v>
      </c>
      <c r="E313">
        <v>230036.45</v>
      </c>
      <c r="F313">
        <v>261661.01</v>
      </c>
      <c r="G313">
        <v>87.913919616835543</v>
      </c>
      <c r="H313">
        <v>198539</v>
      </c>
      <c r="I313">
        <v>225101</v>
      </c>
      <c r="J313">
        <v>88.2</v>
      </c>
    </row>
    <row r="314" spans="1:10" x14ac:dyDescent="0.25">
      <c r="A314" t="s">
        <v>249</v>
      </c>
      <c r="B314" t="s">
        <v>145</v>
      </c>
      <c r="C314" t="s">
        <v>6</v>
      </c>
      <c r="D314" t="s">
        <v>107</v>
      </c>
      <c r="E314">
        <v>7292.34</v>
      </c>
      <c r="F314">
        <v>7586.3559999999998</v>
      </c>
      <c r="G314">
        <v>96.124410718400242</v>
      </c>
      <c r="H314">
        <v>4716</v>
      </c>
      <c r="I314">
        <v>4892</v>
      </c>
      <c r="J314">
        <v>96.4</v>
      </c>
    </row>
    <row r="315" spans="1:10" x14ac:dyDescent="0.25">
      <c r="A315" t="s">
        <v>250</v>
      </c>
      <c r="B315" t="s">
        <v>145</v>
      </c>
      <c r="C315" t="s">
        <v>6</v>
      </c>
      <c r="D315" t="s">
        <v>107</v>
      </c>
      <c r="E315">
        <v>16582.29</v>
      </c>
      <c r="F315">
        <v>17733.402000000002</v>
      </c>
      <c r="G315">
        <v>93.508792052421754</v>
      </c>
      <c r="H315">
        <v>5669</v>
      </c>
      <c r="I315">
        <v>6044</v>
      </c>
      <c r="J315">
        <v>93.8</v>
      </c>
    </row>
    <row r="316" spans="1:10" x14ac:dyDescent="0.25">
      <c r="A316" t="s">
        <v>251</v>
      </c>
      <c r="B316" t="s">
        <v>145</v>
      </c>
      <c r="C316" t="s">
        <v>6</v>
      </c>
      <c r="D316" t="s">
        <v>107</v>
      </c>
      <c r="E316">
        <v>39208.44</v>
      </c>
      <c r="F316">
        <v>53440.641000000003</v>
      </c>
      <c r="G316">
        <v>73.368206792280048</v>
      </c>
      <c r="H316">
        <v>23661</v>
      </c>
      <c r="I316">
        <v>33802</v>
      </c>
      <c r="J316">
        <v>70</v>
      </c>
    </row>
    <row r="317" spans="1:10" x14ac:dyDescent="0.25">
      <c r="A317" t="s">
        <v>252</v>
      </c>
      <c r="B317" t="s">
        <v>146</v>
      </c>
      <c r="C317" t="s">
        <v>6</v>
      </c>
      <c r="D317" t="s">
        <v>107</v>
      </c>
      <c r="E317">
        <v>308974.36900000001</v>
      </c>
      <c r="F317">
        <v>529992.22400000005</v>
      </c>
      <c r="G317">
        <v>58.297906083995677</v>
      </c>
      <c r="H317">
        <v>316185</v>
      </c>
      <c r="I317">
        <v>545146</v>
      </c>
      <c r="J317">
        <v>58</v>
      </c>
    </row>
    <row r="318" spans="1:10" x14ac:dyDescent="0.25">
      <c r="A318" t="s">
        <v>253</v>
      </c>
      <c r="B318" t="s">
        <v>146</v>
      </c>
      <c r="C318" t="s">
        <v>6</v>
      </c>
      <c r="D318" t="s">
        <v>107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254</v>
      </c>
      <c r="B319" t="s">
        <v>146</v>
      </c>
      <c r="C319" t="s">
        <v>6</v>
      </c>
      <c r="D319" t="s">
        <v>107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277</v>
      </c>
      <c r="B320" t="s">
        <v>147</v>
      </c>
      <c r="C320" t="s">
        <v>6</v>
      </c>
      <c r="D320" t="s">
        <v>107</v>
      </c>
      <c r="E320">
        <v>240642.712</v>
      </c>
      <c r="F320">
        <v>407317.723</v>
      </c>
      <c r="G320">
        <v>59.079853002124338</v>
      </c>
      <c r="H320">
        <v>238652</v>
      </c>
      <c r="I320">
        <v>411469</v>
      </c>
      <c r="J320">
        <v>58</v>
      </c>
    </row>
    <row r="321" spans="1:10" x14ac:dyDescent="0.25">
      <c r="A321" t="s">
        <v>255</v>
      </c>
      <c r="B321" t="s">
        <v>148</v>
      </c>
      <c r="C321" t="s">
        <v>6</v>
      </c>
      <c r="D321" t="s">
        <v>107</v>
      </c>
      <c r="E321">
        <v>47305.262000000002</v>
      </c>
      <c r="F321">
        <v>53081.979000000007</v>
      </c>
      <c r="G321">
        <v>89.117366931628524</v>
      </c>
      <c r="H321">
        <v>14617</v>
      </c>
      <c r="I321">
        <v>15449</v>
      </c>
      <c r="J321">
        <v>94.61</v>
      </c>
    </row>
    <row r="322" spans="1:10" x14ac:dyDescent="0.25">
      <c r="A322" t="s">
        <v>256</v>
      </c>
      <c r="B322" t="s">
        <v>148</v>
      </c>
      <c r="C322" t="s">
        <v>6</v>
      </c>
      <c r="D322" t="s">
        <v>107</v>
      </c>
      <c r="E322">
        <v>86368.512000000002</v>
      </c>
      <c r="F322">
        <v>95061.247999999992</v>
      </c>
      <c r="G322">
        <v>90.855647087654489</v>
      </c>
      <c r="H322">
        <v>0</v>
      </c>
      <c r="I322">
        <v>0</v>
      </c>
      <c r="J322">
        <v>0</v>
      </c>
    </row>
    <row r="323" spans="1:10" x14ac:dyDescent="0.25">
      <c r="A323" t="s">
        <v>257</v>
      </c>
      <c r="B323" t="s">
        <v>148</v>
      </c>
      <c r="C323" t="s">
        <v>6</v>
      </c>
      <c r="D323" t="s">
        <v>107</v>
      </c>
      <c r="E323">
        <v>119615.784</v>
      </c>
      <c r="F323">
        <v>138270.073</v>
      </c>
      <c r="G323">
        <v>86.508802233727039</v>
      </c>
      <c r="H323">
        <v>27868</v>
      </c>
      <c r="I323">
        <v>32047</v>
      </c>
      <c r="J323">
        <v>86.96</v>
      </c>
    </row>
    <row r="324" spans="1:10" x14ac:dyDescent="0.25">
      <c r="A324" t="s">
        <v>258</v>
      </c>
      <c r="B324" t="s">
        <v>148</v>
      </c>
      <c r="C324" t="s">
        <v>6</v>
      </c>
      <c r="D324" t="s">
        <v>107</v>
      </c>
      <c r="E324">
        <v>9978.3330000000005</v>
      </c>
      <c r="F324">
        <v>10502.162</v>
      </c>
      <c r="G324">
        <v>95.012179396966076</v>
      </c>
      <c r="H324">
        <v>88158</v>
      </c>
      <c r="I324">
        <v>92312</v>
      </c>
      <c r="J324">
        <v>95.5</v>
      </c>
    </row>
    <row r="325" spans="1:10" x14ac:dyDescent="0.25">
      <c r="A325" t="s">
        <v>259</v>
      </c>
      <c r="B325" t="s">
        <v>149</v>
      </c>
      <c r="C325" t="s">
        <v>6</v>
      </c>
      <c r="D325" t="s">
        <v>107</v>
      </c>
      <c r="E325">
        <v>93841</v>
      </c>
      <c r="F325">
        <v>162739</v>
      </c>
      <c r="G325">
        <v>57.66349799372</v>
      </c>
      <c r="H325">
        <v>116329</v>
      </c>
      <c r="I325">
        <v>193287</v>
      </c>
      <c r="J325">
        <v>60.18</v>
      </c>
    </row>
    <row r="326" spans="1:10" x14ac:dyDescent="0.25">
      <c r="A326" t="s">
        <v>260</v>
      </c>
      <c r="B326" t="s">
        <v>149</v>
      </c>
      <c r="C326" t="s">
        <v>6</v>
      </c>
      <c r="D326" t="s">
        <v>107</v>
      </c>
      <c r="E326">
        <v>4061.634</v>
      </c>
      <c r="F326">
        <v>4279.0519999999997</v>
      </c>
      <c r="G326">
        <v>94.919014772430913</v>
      </c>
      <c r="H326">
        <v>0</v>
      </c>
      <c r="I326">
        <v>0</v>
      </c>
      <c r="J326">
        <v>0</v>
      </c>
    </row>
    <row r="327" spans="1:10" x14ac:dyDescent="0.25">
      <c r="A327" t="s">
        <v>261</v>
      </c>
      <c r="B327" t="s">
        <v>149</v>
      </c>
      <c r="C327" t="s">
        <v>6</v>
      </c>
      <c r="D327" t="s">
        <v>107</v>
      </c>
      <c r="E327">
        <v>9071.9979999999996</v>
      </c>
      <c r="F327">
        <v>10247.058000000001</v>
      </c>
      <c r="G327">
        <v>88.532708607680348</v>
      </c>
      <c r="H327">
        <v>27868</v>
      </c>
      <c r="I327">
        <v>32047</v>
      </c>
      <c r="J327">
        <v>86.96</v>
      </c>
    </row>
    <row r="328" spans="1:10" x14ac:dyDescent="0.25">
      <c r="A328" t="s">
        <v>262</v>
      </c>
      <c r="B328" t="s">
        <v>149</v>
      </c>
      <c r="C328" t="s">
        <v>6</v>
      </c>
      <c r="D328" t="s">
        <v>107</v>
      </c>
      <c r="E328">
        <v>4486.8339999999998</v>
      </c>
      <c r="F328">
        <v>4918.5879999999997</v>
      </c>
      <c r="G328">
        <v>91.221992978472684</v>
      </c>
      <c r="H328">
        <v>35009</v>
      </c>
      <c r="I328">
        <v>38761</v>
      </c>
      <c r="J328">
        <v>90.32</v>
      </c>
    </row>
    <row r="329" spans="1:10" x14ac:dyDescent="0.25">
      <c r="A329" t="s">
        <v>263</v>
      </c>
      <c r="B329" t="s">
        <v>149</v>
      </c>
      <c r="C329" t="s">
        <v>6</v>
      </c>
      <c r="D329" t="s">
        <v>107</v>
      </c>
      <c r="E329">
        <v>24797</v>
      </c>
      <c r="F329">
        <v>38259</v>
      </c>
      <c r="G329">
        <v>64.813507932773987</v>
      </c>
      <c r="H329">
        <v>0</v>
      </c>
      <c r="I329">
        <v>0</v>
      </c>
      <c r="J329">
        <v>0</v>
      </c>
    </row>
    <row r="330" spans="1:10" x14ac:dyDescent="0.25">
      <c r="A330" t="s">
        <v>264</v>
      </c>
      <c r="B330" t="s">
        <v>150</v>
      </c>
      <c r="C330" t="s">
        <v>6</v>
      </c>
      <c r="D330" t="s">
        <v>107</v>
      </c>
      <c r="E330">
        <v>127904.09299999999</v>
      </c>
      <c r="F330">
        <v>220998.42899999997</v>
      </c>
      <c r="G330">
        <v>57.875566617715648</v>
      </c>
      <c r="H330">
        <v>127056</v>
      </c>
      <c r="I330">
        <v>217190</v>
      </c>
      <c r="J330">
        <v>58.5</v>
      </c>
    </row>
    <row r="331" spans="1:10" x14ac:dyDescent="0.25">
      <c r="A331" t="s">
        <v>265</v>
      </c>
      <c r="B331" t="s">
        <v>150</v>
      </c>
      <c r="C331" t="s">
        <v>6</v>
      </c>
      <c r="D331" t="s">
        <v>107</v>
      </c>
      <c r="E331">
        <v>33835.238000000005</v>
      </c>
      <c r="F331">
        <v>39485.044999999998</v>
      </c>
      <c r="G331">
        <v>85.691273746807198</v>
      </c>
      <c r="H331">
        <v>34540</v>
      </c>
      <c r="I331">
        <v>40397</v>
      </c>
      <c r="J331">
        <v>85.5</v>
      </c>
    </row>
    <row r="332" spans="1:10" x14ac:dyDescent="0.25">
      <c r="A332" t="s">
        <v>245</v>
      </c>
      <c r="B332" t="s">
        <v>145</v>
      </c>
      <c r="C332" t="s">
        <v>7</v>
      </c>
      <c r="D332" t="s">
        <v>107</v>
      </c>
      <c r="E332">
        <v>36319.949999999997</v>
      </c>
      <c r="F332">
        <v>39086.119999999995</v>
      </c>
      <c r="G332">
        <v>92.922884133805056</v>
      </c>
      <c r="H332">
        <v>20523</v>
      </c>
      <c r="I332">
        <v>24144</v>
      </c>
      <c r="J332">
        <v>85</v>
      </c>
    </row>
    <row r="333" spans="1:10" x14ac:dyDescent="0.25">
      <c r="A333" t="s">
        <v>246</v>
      </c>
      <c r="B333" t="s">
        <v>145</v>
      </c>
      <c r="C333" t="s">
        <v>7</v>
      </c>
      <c r="D333" t="s">
        <v>107</v>
      </c>
      <c r="E333">
        <v>48790.22</v>
      </c>
      <c r="F333">
        <v>51475.060000000005</v>
      </c>
      <c r="G333">
        <v>94.784192577920251</v>
      </c>
      <c r="H333">
        <v>51339</v>
      </c>
      <c r="I333">
        <v>53759</v>
      </c>
      <c r="J333">
        <v>95.5</v>
      </c>
    </row>
    <row r="334" spans="1:10" x14ac:dyDescent="0.25">
      <c r="A334" t="s">
        <v>247</v>
      </c>
      <c r="B334" t="s">
        <v>145</v>
      </c>
      <c r="C334" t="s">
        <v>7</v>
      </c>
      <c r="D334" t="s">
        <v>107</v>
      </c>
      <c r="E334">
        <v>104604.14</v>
      </c>
      <c r="F334">
        <v>119828.516</v>
      </c>
      <c r="G334">
        <v>87.294863937061521</v>
      </c>
      <c r="H334">
        <v>158076</v>
      </c>
      <c r="I334">
        <v>178819</v>
      </c>
      <c r="J334">
        <v>88.4</v>
      </c>
    </row>
    <row r="335" spans="1:10" x14ac:dyDescent="0.25">
      <c r="A335" t="s">
        <v>248</v>
      </c>
      <c r="B335" t="s">
        <v>145</v>
      </c>
      <c r="C335" t="s">
        <v>7</v>
      </c>
      <c r="D335" t="s">
        <v>107</v>
      </c>
      <c r="E335">
        <v>282263.67000000004</v>
      </c>
      <c r="F335">
        <v>321393.74</v>
      </c>
      <c r="G335">
        <v>87.824881094448216</v>
      </c>
      <c r="H335">
        <v>272991</v>
      </c>
      <c r="I335">
        <v>309514</v>
      </c>
      <c r="J335">
        <v>88.2</v>
      </c>
    </row>
    <row r="336" spans="1:10" x14ac:dyDescent="0.25">
      <c r="A336" t="s">
        <v>249</v>
      </c>
      <c r="B336" t="s">
        <v>145</v>
      </c>
      <c r="C336" t="s">
        <v>7</v>
      </c>
      <c r="D336" t="s">
        <v>107</v>
      </c>
      <c r="E336">
        <v>7292.34</v>
      </c>
      <c r="F336">
        <v>7586.3559999999998</v>
      </c>
      <c r="G336">
        <v>96.124410718400242</v>
      </c>
      <c r="H336">
        <v>6484</v>
      </c>
      <c r="I336">
        <v>6726</v>
      </c>
      <c r="J336">
        <v>96.4</v>
      </c>
    </row>
    <row r="337" spans="1:10" x14ac:dyDescent="0.25">
      <c r="A337" t="s">
        <v>250</v>
      </c>
      <c r="B337" t="s">
        <v>145</v>
      </c>
      <c r="C337" t="s">
        <v>7</v>
      </c>
      <c r="D337" t="s">
        <v>107</v>
      </c>
      <c r="E337">
        <v>19541.370000000003</v>
      </c>
      <c r="F337">
        <v>20919.482000000004</v>
      </c>
      <c r="G337">
        <v>93.412303421279745</v>
      </c>
      <c r="H337">
        <v>7795</v>
      </c>
      <c r="I337">
        <v>8310</v>
      </c>
      <c r="J337">
        <v>93.8</v>
      </c>
    </row>
    <row r="338" spans="1:10" x14ac:dyDescent="0.25">
      <c r="A338" t="s">
        <v>251</v>
      </c>
      <c r="B338" t="s">
        <v>145</v>
      </c>
      <c r="C338" t="s">
        <v>7</v>
      </c>
      <c r="D338" t="s">
        <v>107</v>
      </c>
      <c r="E338">
        <v>48116.020000000004</v>
      </c>
      <c r="F338">
        <v>65262.361000000004</v>
      </c>
      <c r="G338">
        <v>73.727059920495378</v>
      </c>
      <c r="H338">
        <v>32534</v>
      </c>
      <c r="I338">
        <v>46477</v>
      </c>
      <c r="J338">
        <v>70</v>
      </c>
    </row>
    <row r="339" spans="1:10" x14ac:dyDescent="0.25">
      <c r="A339" t="s">
        <v>252</v>
      </c>
      <c r="B339" t="s">
        <v>146</v>
      </c>
      <c r="C339" t="s">
        <v>7</v>
      </c>
      <c r="D339" t="s">
        <v>107</v>
      </c>
      <c r="E339">
        <v>383878.71900000004</v>
      </c>
      <c r="F339">
        <v>655895.99400000006</v>
      </c>
      <c r="G339">
        <v>58.527376674296313</v>
      </c>
      <c r="H339">
        <v>423241</v>
      </c>
      <c r="I339">
        <v>729726</v>
      </c>
      <c r="J339">
        <v>58</v>
      </c>
    </row>
    <row r="340" spans="1:10" x14ac:dyDescent="0.25">
      <c r="A340" t="s">
        <v>253</v>
      </c>
      <c r="B340" t="s">
        <v>146</v>
      </c>
      <c r="C340" t="s">
        <v>7</v>
      </c>
      <c r="D340" t="s">
        <v>107</v>
      </c>
      <c r="E340">
        <v>13406.61</v>
      </c>
      <c r="F340">
        <v>14658.356</v>
      </c>
      <c r="G340">
        <v>91.460529407254128</v>
      </c>
      <c r="H340">
        <v>0</v>
      </c>
      <c r="I340">
        <v>0</v>
      </c>
      <c r="J340">
        <v>0</v>
      </c>
    </row>
    <row r="341" spans="1:10" x14ac:dyDescent="0.25">
      <c r="A341" t="s">
        <v>254</v>
      </c>
      <c r="B341" t="s">
        <v>146</v>
      </c>
      <c r="C341" t="s">
        <v>7</v>
      </c>
      <c r="D341" t="s">
        <v>107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277</v>
      </c>
      <c r="B342" t="s">
        <v>147</v>
      </c>
      <c r="C342" t="s">
        <v>7</v>
      </c>
      <c r="D342" t="s">
        <v>107</v>
      </c>
      <c r="E342">
        <v>311384.16800000001</v>
      </c>
      <c r="F342">
        <v>529321.50600000005</v>
      </c>
      <c r="G342">
        <v>58.82703885452937</v>
      </c>
      <c r="H342">
        <v>328659</v>
      </c>
      <c r="I342">
        <v>566653</v>
      </c>
      <c r="J342">
        <v>58</v>
      </c>
    </row>
    <row r="343" spans="1:10" x14ac:dyDescent="0.25">
      <c r="A343" t="s">
        <v>255</v>
      </c>
      <c r="B343" t="s">
        <v>148</v>
      </c>
      <c r="C343" t="s">
        <v>7</v>
      </c>
      <c r="D343" t="s">
        <v>107</v>
      </c>
      <c r="E343">
        <v>62035.502</v>
      </c>
      <c r="F343">
        <v>69691.913</v>
      </c>
      <c r="G343">
        <v>89.013917583235241</v>
      </c>
      <c r="H343">
        <v>19721</v>
      </c>
      <c r="I343">
        <v>20864</v>
      </c>
      <c r="J343">
        <v>94.52</v>
      </c>
    </row>
    <row r="344" spans="1:10" x14ac:dyDescent="0.25">
      <c r="A344" t="s">
        <v>256</v>
      </c>
      <c r="B344" t="s">
        <v>148</v>
      </c>
      <c r="C344" t="s">
        <v>7</v>
      </c>
      <c r="D344" t="s">
        <v>107</v>
      </c>
      <c r="E344">
        <v>112539.60400000001</v>
      </c>
      <c r="F344">
        <v>124105.43599999999</v>
      </c>
      <c r="G344">
        <v>90.680640290405989</v>
      </c>
      <c r="H344">
        <v>0</v>
      </c>
      <c r="I344">
        <v>0</v>
      </c>
      <c r="J344">
        <v>0</v>
      </c>
    </row>
    <row r="345" spans="1:10" x14ac:dyDescent="0.25">
      <c r="A345" t="s">
        <v>257</v>
      </c>
      <c r="B345" t="s">
        <v>148</v>
      </c>
      <c r="C345" t="s">
        <v>7</v>
      </c>
      <c r="D345" t="s">
        <v>107</v>
      </c>
      <c r="E345">
        <v>153983.016</v>
      </c>
      <c r="F345">
        <v>178012.927</v>
      </c>
      <c r="G345">
        <v>86.50103034371206</v>
      </c>
      <c r="H345">
        <v>41514</v>
      </c>
      <c r="I345">
        <v>47740</v>
      </c>
      <c r="J345">
        <v>86.96</v>
      </c>
    </row>
    <row r="346" spans="1:10" x14ac:dyDescent="0.25">
      <c r="A346" t="s">
        <v>258</v>
      </c>
      <c r="B346" t="s">
        <v>148</v>
      </c>
      <c r="C346" t="s">
        <v>7</v>
      </c>
      <c r="D346" t="s">
        <v>107</v>
      </c>
      <c r="E346">
        <v>9978.3330000000005</v>
      </c>
      <c r="F346">
        <v>10502.162</v>
      </c>
      <c r="G346">
        <v>95.012179396966076</v>
      </c>
      <c r="H346">
        <v>117636</v>
      </c>
      <c r="I346">
        <v>123179</v>
      </c>
      <c r="J346">
        <v>95.5</v>
      </c>
    </row>
    <row r="347" spans="1:10" x14ac:dyDescent="0.25">
      <c r="A347" t="s">
        <v>259</v>
      </c>
      <c r="B347" t="s">
        <v>149</v>
      </c>
      <c r="C347" t="s">
        <v>7</v>
      </c>
      <c r="D347" t="s">
        <v>107</v>
      </c>
      <c r="E347">
        <v>127970</v>
      </c>
      <c r="F347">
        <v>221803</v>
      </c>
      <c r="G347">
        <v>57.695342263179484</v>
      </c>
      <c r="H347">
        <v>160479</v>
      </c>
      <c r="I347">
        <v>266101</v>
      </c>
      <c r="J347">
        <v>60.31</v>
      </c>
    </row>
    <row r="348" spans="1:10" x14ac:dyDescent="0.25">
      <c r="A348" t="s">
        <v>260</v>
      </c>
      <c r="B348" t="s">
        <v>149</v>
      </c>
      <c r="C348" t="s">
        <v>7</v>
      </c>
      <c r="D348" t="s">
        <v>107</v>
      </c>
      <c r="E348">
        <v>8383.8240000000005</v>
      </c>
      <c r="F348">
        <v>8839.6539999999986</v>
      </c>
      <c r="G348">
        <v>94.843350203526086</v>
      </c>
      <c r="H348">
        <v>0</v>
      </c>
      <c r="I348">
        <v>0</v>
      </c>
      <c r="J348">
        <v>0</v>
      </c>
    </row>
    <row r="349" spans="1:10" x14ac:dyDescent="0.25">
      <c r="A349" t="s">
        <v>261</v>
      </c>
      <c r="B349" t="s">
        <v>149</v>
      </c>
      <c r="C349" t="s">
        <v>7</v>
      </c>
      <c r="D349" t="s">
        <v>107</v>
      </c>
      <c r="E349">
        <v>9654.1739999999991</v>
      </c>
      <c r="F349">
        <v>10914.592000000001</v>
      </c>
      <c r="G349">
        <v>88.451991609031282</v>
      </c>
      <c r="H349">
        <v>41514</v>
      </c>
      <c r="I349">
        <v>47740</v>
      </c>
      <c r="J349">
        <v>86.96</v>
      </c>
    </row>
    <row r="350" spans="1:10" x14ac:dyDescent="0.25">
      <c r="A350" t="s">
        <v>262</v>
      </c>
      <c r="B350" t="s">
        <v>149</v>
      </c>
      <c r="C350" t="s">
        <v>7</v>
      </c>
      <c r="D350" t="s">
        <v>107</v>
      </c>
      <c r="E350">
        <v>5059.46</v>
      </c>
      <c r="F350">
        <v>5550.2219999999998</v>
      </c>
      <c r="G350">
        <v>91.15779512963627</v>
      </c>
      <c r="H350">
        <v>50757</v>
      </c>
      <c r="I350">
        <v>56197</v>
      </c>
      <c r="J350">
        <v>90.32</v>
      </c>
    </row>
    <row r="351" spans="1:10" x14ac:dyDescent="0.25">
      <c r="A351" t="s">
        <v>263</v>
      </c>
      <c r="B351" t="s">
        <v>149</v>
      </c>
      <c r="C351" t="s">
        <v>7</v>
      </c>
      <c r="D351" t="s">
        <v>107</v>
      </c>
      <c r="E351">
        <v>34689</v>
      </c>
      <c r="F351">
        <v>53404</v>
      </c>
      <c r="G351">
        <v>64.955808553666401</v>
      </c>
      <c r="H351">
        <v>0</v>
      </c>
      <c r="I351">
        <v>0</v>
      </c>
      <c r="J351">
        <v>0</v>
      </c>
    </row>
    <row r="352" spans="1:10" x14ac:dyDescent="0.25">
      <c r="A352" t="s">
        <v>264</v>
      </c>
      <c r="B352" t="s">
        <v>150</v>
      </c>
      <c r="C352" t="s">
        <v>7</v>
      </c>
      <c r="D352" t="s">
        <v>107</v>
      </c>
      <c r="E352">
        <v>180944.15</v>
      </c>
      <c r="F352">
        <v>312952.06299999997</v>
      </c>
      <c r="G352">
        <v>57.818487683207898</v>
      </c>
      <c r="H352">
        <v>172290</v>
      </c>
      <c r="I352">
        <v>294513</v>
      </c>
      <c r="J352">
        <v>58.5</v>
      </c>
    </row>
    <row r="353" spans="1:10" x14ac:dyDescent="0.25">
      <c r="A353" t="s">
        <v>265</v>
      </c>
      <c r="B353" t="s">
        <v>150</v>
      </c>
      <c r="C353" t="s">
        <v>7</v>
      </c>
      <c r="D353" t="s">
        <v>107</v>
      </c>
      <c r="E353">
        <v>44584.821000000004</v>
      </c>
      <c r="F353">
        <v>52117.220999999998</v>
      </c>
      <c r="G353">
        <v>85.547195618891507</v>
      </c>
      <c r="H353">
        <v>47343</v>
      </c>
      <c r="I353">
        <v>55371</v>
      </c>
      <c r="J353">
        <v>85.5</v>
      </c>
    </row>
    <row r="354" spans="1:10" x14ac:dyDescent="0.25">
      <c r="A354" t="s">
        <v>245</v>
      </c>
      <c r="B354" t="s">
        <v>145</v>
      </c>
      <c r="C354" t="s">
        <v>8</v>
      </c>
      <c r="D354" t="s">
        <v>107</v>
      </c>
      <c r="E354">
        <v>39363.619999999995</v>
      </c>
      <c r="F354">
        <v>42473.648999999998</v>
      </c>
      <c r="G354">
        <v>92.677744735329895</v>
      </c>
      <c r="H354">
        <v>27912</v>
      </c>
      <c r="I354">
        <v>32838</v>
      </c>
      <c r="J354">
        <v>85</v>
      </c>
    </row>
    <row r="355" spans="1:10" x14ac:dyDescent="0.25">
      <c r="A355" t="s">
        <v>246</v>
      </c>
      <c r="B355" t="s">
        <v>145</v>
      </c>
      <c r="C355" t="s">
        <v>8</v>
      </c>
      <c r="D355" t="s">
        <v>107</v>
      </c>
      <c r="E355">
        <v>64447.86</v>
      </c>
      <c r="F355">
        <v>68211.600000000006</v>
      </c>
      <c r="G355">
        <v>94.482258149640231</v>
      </c>
      <c r="H355">
        <v>72122</v>
      </c>
      <c r="I355">
        <v>75521</v>
      </c>
      <c r="J355">
        <v>95.5</v>
      </c>
    </row>
    <row r="356" spans="1:10" x14ac:dyDescent="0.25">
      <c r="A356" t="s">
        <v>247</v>
      </c>
      <c r="B356" t="s">
        <v>145</v>
      </c>
      <c r="C356" t="s">
        <v>8</v>
      </c>
      <c r="D356" t="s">
        <v>107</v>
      </c>
      <c r="E356">
        <v>112462.29</v>
      </c>
      <c r="F356">
        <v>128804.213</v>
      </c>
      <c r="G356">
        <v>87.312586584415513</v>
      </c>
      <c r="H356">
        <v>207877</v>
      </c>
      <c r="I356">
        <v>235155</v>
      </c>
      <c r="J356">
        <v>88.4</v>
      </c>
    </row>
    <row r="357" spans="1:10" x14ac:dyDescent="0.25">
      <c r="A357" t="s">
        <v>248</v>
      </c>
      <c r="B357" t="s">
        <v>145</v>
      </c>
      <c r="C357" t="s">
        <v>8</v>
      </c>
      <c r="D357" t="s">
        <v>107</v>
      </c>
      <c r="E357">
        <v>383155.34</v>
      </c>
      <c r="F357">
        <v>438790.701</v>
      </c>
      <c r="G357">
        <v>87.320752041187859</v>
      </c>
      <c r="H357">
        <v>377038</v>
      </c>
      <c r="I357">
        <v>427481</v>
      </c>
      <c r="J357">
        <v>88.2</v>
      </c>
    </row>
    <row r="358" spans="1:10" x14ac:dyDescent="0.25">
      <c r="A358" t="s">
        <v>249</v>
      </c>
      <c r="B358" t="s">
        <v>145</v>
      </c>
      <c r="C358" t="s">
        <v>8</v>
      </c>
      <c r="D358" t="s">
        <v>107</v>
      </c>
      <c r="E358">
        <v>9664.6</v>
      </c>
      <c r="F358">
        <v>10068.423999999999</v>
      </c>
      <c r="G358">
        <v>95.989203474148496</v>
      </c>
      <c r="H358">
        <v>9109</v>
      </c>
      <c r="I358">
        <v>9449</v>
      </c>
      <c r="J358">
        <v>96.4</v>
      </c>
    </row>
    <row r="359" spans="1:10" x14ac:dyDescent="0.25">
      <c r="A359" t="s">
        <v>250</v>
      </c>
      <c r="B359" t="s">
        <v>145</v>
      </c>
      <c r="C359" t="s">
        <v>8</v>
      </c>
      <c r="D359" t="s">
        <v>107</v>
      </c>
      <c r="E359">
        <v>22345.180000000004</v>
      </c>
      <c r="F359">
        <v>23939.859000000004</v>
      </c>
      <c r="G359">
        <v>93.338812062343393</v>
      </c>
      <c r="H359">
        <v>10292</v>
      </c>
      <c r="I359">
        <v>10972</v>
      </c>
      <c r="J359">
        <v>93.8</v>
      </c>
    </row>
    <row r="360" spans="1:10" x14ac:dyDescent="0.25">
      <c r="A360" t="s">
        <v>251</v>
      </c>
      <c r="B360" t="s">
        <v>145</v>
      </c>
      <c r="C360" t="s">
        <v>8</v>
      </c>
      <c r="D360" t="s">
        <v>107</v>
      </c>
      <c r="E360">
        <v>55869.920000000006</v>
      </c>
      <c r="F360">
        <v>75981.991999999998</v>
      </c>
      <c r="G360">
        <v>73.530475484243695</v>
      </c>
      <c r="H360">
        <v>43655</v>
      </c>
      <c r="I360">
        <v>62364</v>
      </c>
      <c r="J360">
        <v>70</v>
      </c>
    </row>
    <row r="361" spans="1:10" x14ac:dyDescent="0.25">
      <c r="A361" t="s">
        <v>252</v>
      </c>
      <c r="B361" t="s">
        <v>146</v>
      </c>
      <c r="C361" t="s">
        <v>8</v>
      </c>
      <c r="D361" t="s">
        <v>107</v>
      </c>
      <c r="E361">
        <v>502770.14700000006</v>
      </c>
      <c r="F361">
        <v>852205.70400000003</v>
      </c>
      <c r="G361">
        <v>58.996336757680282</v>
      </c>
      <c r="H361">
        <v>553578</v>
      </c>
      <c r="I361">
        <v>954444</v>
      </c>
      <c r="J361">
        <v>58</v>
      </c>
    </row>
    <row r="362" spans="1:10" x14ac:dyDescent="0.25">
      <c r="A362" t="s">
        <v>253</v>
      </c>
      <c r="B362" t="s">
        <v>146</v>
      </c>
      <c r="C362" t="s">
        <v>8</v>
      </c>
      <c r="D362" t="s">
        <v>107</v>
      </c>
      <c r="E362">
        <v>42577.67</v>
      </c>
      <c r="F362">
        <v>47662.451999999997</v>
      </c>
      <c r="G362">
        <v>89.331681886613808</v>
      </c>
      <c r="H362">
        <v>0</v>
      </c>
      <c r="I362">
        <v>0</v>
      </c>
      <c r="J362">
        <v>0</v>
      </c>
    </row>
    <row r="363" spans="1:10" x14ac:dyDescent="0.25">
      <c r="A363" t="s">
        <v>254</v>
      </c>
      <c r="B363" t="s">
        <v>146</v>
      </c>
      <c r="C363" t="s">
        <v>8</v>
      </c>
      <c r="D363" t="s">
        <v>107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277</v>
      </c>
      <c r="B364" t="s">
        <v>147</v>
      </c>
      <c r="C364" t="s">
        <v>8</v>
      </c>
      <c r="D364" t="s">
        <v>107</v>
      </c>
      <c r="E364">
        <v>405998.587</v>
      </c>
      <c r="F364">
        <v>687734.49300000002</v>
      </c>
      <c r="G364">
        <v>59.034204497868629</v>
      </c>
      <c r="H364">
        <v>459449</v>
      </c>
      <c r="I364">
        <v>792153</v>
      </c>
      <c r="J364">
        <v>58</v>
      </c>
    </row>
    <row r="365" spans="1:10" x14ac:dyDescent="0.25">
      <c r="A365" t="s">
        <v>255</v>
      </c>
      <c r="B365" t="s">
        <v>148</v>
      </c>
      <c r="C365" t="s">
        <v>8</v>
      </c>
      <c r="D365" t="s">
        <v>107</v>
      </c>
      <c r="E365">
        <v>82739.771999999997</v>
      </c>
      <c r="F365">
        <v>93224.573999999993</v>
      </c>
      <c r="G365">
        <v>88.753177890627853</v>
      </c>
      <c r="H365">
        <v>20935</v>
      </c>
      <c r="I365">
        <v>22230</v>
      </c>
      <c r="J365">
        <v>94.17</v>
      </c>
    </row>
    <row r="366" spans="1:10" x14ac:dyDescent="0.25">
      <c r="A366" t="s">
        <v>256</v>
      </c>
      <c r="B366" t="s">
        <v>148</v>
      </c>
      <c r="C366" t="s">
        <v>8</v>
      </c>
      <c r="D366" t="s">
        <v>107</v>
      </c>
      <c r="E366">
        <v>143131.69500000001</v>
      </c>
      <c r="F366">
        <v>158061.005</v>
      </c>
      <c r="G366">
        <v>90.554716515942687</v>
      </c>
      <c r="H366">
        <v>0</v>
      </c>
      <c r="I366">
        <v>0</v>
      </c>
      <c r="J366">
        <v>0</v>
      </c>
    </row>
    <row r="367" spans="1:10" x14ac:dyDescent="0.25">
      <c r="A367" t="s">
        <v>257</v>
      </c>
      <c r="B367" t="s">
        <v>148</v>
      </c>
      <c r="C367" t="s">
        <v>8</v>
      </c>
      <c r="D367" t="s">
        <v>107</v>
      </c>
      <c r="E367">
        <v>200566.35700000002</v>
      </c>
      <c r="F367">
        <v>231734.266</v>
      </c>
      <c r="G367">
        <v>86.550150938834406</v>
      </c>
      <c r="H367">
        <v>60087</v>
      </c>
      <c r="I367">
        <v>69098</v>
      </c>
      <c r="J367">
        <v>86.96</v>
      </c>
    </row>
    <row r="368" spans="1:10" x14ac:dyDescent="0.25">
      <c r="A368" t="s">
        <v>258</v>
      </c>
      <c r="B368" t="s">
        <v>148</v>
      </c>
      <c r="C368" t="s">
        <v>8</v>
      </c>
      <c r="D368" t="s">
        <v>107</v>
      </c>
      <c r="E368">
        <v>9978.3330000000005</v>
      </c>
      <c r="F368">
        <v>10502.162</v>
      </c>
      <c r="G368">
        <v>95.012179396966076</v>
      </c>
      <c r="H368">
        <v>119536</v>
      </c>
      <c r="I368">
        <v>125168</v>
      </c>
      <c r="J368">
        <v>95.5</v>
      </c>
    </row>
    <row r="369" spans="1:10" x14ac:dyDescent="0.25">
      <c r="A369" t="s">
        <v>259</v>
      </c>
      <c r="B369" t="s">
        <v>149</v>
      </c>
      <c r="C369" t="s">
        <v>8</v>
      </c>
      <c r="D369" t="s">
        <v>107</v>
      </c>
      <c r="E369">
        <v>178656</v>
      </c>
      <c r="F369">
        <v>309863</v>
      </c>
      <c r="G369">
        <v>57.656448172256766</v>
      </c>
      <c r="H369">
        <v>220353</v>
      </c>
      <c r="I369">
        <v>364995</v>
      </c>
      <c r="J369">
        <v>60.37</v>
      </c>
    </row>
    <row r="370" spans="1:10" x14ac:dyDescent="0.25">
      <c r="A370" t="s">
        <v>260</v>
      </c>
      <c r="B370" t="s">
        <v>149</v>
      </c>
      <c r="C370" t="s">
        <v>8</v>
      </c>
      <c r="D370" t="s">
        <v>107</v>
      </c>
      <c r="E370">
        <v>10258.902</v>
      </c>
      <c r="F370">
        <v>10817.506999999998</v>
      </c>
      <c r="G370">
        <v>94.83610225535331</v>
      </c>
      <c r="H370">
        <v>0</v>
      </c>
      <c r="I370">
        <v>0</v>
      </c>
      <c r="J370">
        <v>0</v>
      </c>
    </row>
    <row r="371" spans="1:10" x14ac:dyDescent="0.25">
      <c r="A371" t="s">
        <v>261</v>
      </c>
      <c r="B371" t="s">
        <v>149</v>
      </c>
      <c r="C371" t="s">
        <v>8</v>
      </c>
      <c r="D371" t="s">
        <v>107</v>
      </c>
      <c r="E371">
        <v>14659.272999999999</v>
      </c>
      <c r="F371">
        <v>16575.34</v>
      </c>
      <c r="G371">
        <v>88.440255222517308</v>
      </c>
      <c r="H371">
        <v>60087</v>
      </c>
      <c r="I371">
        <v>69098</v>
      </c>
      <c r="J371">
        <v>86.96</v>
      </c>
    </row>
    <row r="372" spans="1:10" x14ac:dyDescent="0.25">
      <c r="A372" t="s">
        <v>262</v>
      </c>
      <c r="B372" t="s">
        <v>149</v>
      </c>
      <c r="C372" t="s">
        <v>8</v>
      </c>
      <c r="D372" t="s">
        <v>107</v>
      </c>
      <c r="E372">
        <v>7838.9859999999999</v>
      </c>
      <c r="F372">
        <v>8600.7780000000002</v>
      </c>
      <c r="G372">
        <v>91.142754760092629</v>
      </c>
      <c r="H372">
        <v>71308</v>
      </c>
      <c r="I372">
        <v>78951</v>
      </c>
      <c r="J372">
        <v>90.32</v>
      </c>
    </row>
    <row r="373" spans="1:10" x14ac:dyDescent="0.25">
      <c r="A373" t="s">
        <v>263</v>
      </c>
      <c r="B373" t="s">
        <v>149</v>
      </c>
      <c r="C373" t="s">
        <v>8</v>
      </c>
      <c r="D373" t="s">
        <v>107</v>
      </c>
      <c r="E373">
        <v>51513</v>
      </c>
      <c r="F373">
        <v>80153</v>
      </c>
      <c r="G373">
        <v>64.268336805858794</v>
      </c>
      <c r="H373">
        <v>0</v>
      </c>
      <c r="I373">
        <v>0</v>
      </c>
      <c r="J373">
        <v>0</v>
      </c>
    </row>
    <row r="374" spans="1:10" x14ac:dyDescent="0.25">
      <c r="A374" t="s">
        <v>264</v>
      </c>
      <c r="B374" t="s">
        <v>150</v>
      </c>
      <c r="C374" t="s">
        <v>8</v>
      </c>
      <c r="D374" t="s">
        <v>107</v>
      </c>
      <c r="E374">
        <v>208401.609</v>
      </c>
      <c r="F374">
        <v>360673.74699999997</v>
      </c>
      <c r="G374">
        <v>57.781197199251658</v>
      </c>
      <c r="H374">
        <v>228071</v>
      </c>
      <c r="I374">
        <v>389865</v>
      </c>
      <c r="J374">
        <v>58.5</v>
      </c>
    </row>
    <row r="375" spans="1:10" ht="13" thickBot="1" x14ac:dyDescent="0.3">
      <c r="A375" t="s">
        <v>265</v>
      </c>
      <c r="B375" t="s">
        <v>150</v>
      </c>
      <c r="C375" t="s">
        <v>8</v>
      </c>
      <c r="D375" t="s">
        <v>107</v>
      </c>
      <c r="E375">
        <v>48020.143000000004</v>
      </c>
      <c r="F375">
        <v>56129.835999999996</v>
      </c>
      <c r="G375">
        <v>85.551903269412733</v>
      </c>
      <c r="H375">
        <v>66104</v>
      </c>
      <c r="I375">
        <v>77315</v>
      </c>
      <c r="J375">
        <v>85.5</v>
      </c>
    </row>
    <row r="376" spans="1:10" ht="13" thickBot="1" x14ac:dyDescent="0.3">
      <c r="A376" t="s">
        <v>245</v>
      </c>
      <c r="B376" t="s">
        <v>145</v>
      </c>
      <c r="C376" t="s">
        <v>9</v>
      </c>
      <c r="D376" t="s">
        <v>107</v>
      </c>
      <c r="E376" s="202">
        <v>43367</v>
      </c>
      <c r="F376" s="202">
        <v>46783</v>
      </c>
      <c r="G376" s="203">
        <v>92.7</v>
      </c>
      <c r="H376">
        <v>35078</v>
      </c>
      <c r="I376">
        <v>41268</v>
      </c>
      <c r="J376">
        <v>85</v>
      </c>
    </row>
    <row r="377" spans="1:10" ht="13" thickBot="1" x14ac:dyDescent="0.3">
      <c r="A377" t="s">
        <v>246</v>
      </c>
      <c r="B377" t="s">
        <v>145</v>
      </c>
      <c r="C377" t="s">
        <v>9</v>
      </c>
      <c r="D377" t="s">
        <v>107</v>
      </c>
      <c r="E377" s="202">
        <v>82635</v>
      </c>
      <c r="F377" s="202">
        <v>87554</v>
      </c>
      <c r="G377" s="203">
        <v>94.38</v>
      </c>
      <c r="H377">
        <v>91999</v>
      </c>
      <c r="I377">
        <v>96334</v>
      </c>
      <c r="J377">
        <v>95.5</v>
      </c>
    </row>
    <row r="378" spans="1:10" ht="13" thickBot="1" x14ac:dyDescent="0.3">
      <c r="A378" t="s">
        <v>247</v>
      </c>
      <c r="B378" t="s">
        <v>145</v>
      </c>
      <c r="C378" t="s">
        <v>9</v>
      </c>
      <c r="D378" t="s">
        <v>107</v>
      </c>
      <c r="E378" s="202">
        <v>136875</v>
      </c>
      <c r="F378" s="202">
        <v>156567</v>
      </c>
      <c r="G378" s="203">
        <v>87.42</v>
      </c>
      <c r="H378">
        <v>255508</v>
      </c>
      <c r="I378">
        <v>289037</v>
      </c>
      <c r="J378">
        <v>88.4</v>
      </c>
    </row>
    <row r="379" spans="1:10" ht="13" thickBot="1" x14ac:dyDescent="0.3">
      <c r="A379" t="s">
        <v>248</v>
      </c>
      <c r="B379" t="s">
        <v>145</v>
      </c>
      <c r="C379" t="s">
        <v>9</v>
      </c>
      <c r="D379" t="s">
        <v>107</v>
      </c>
      <c r="E379" s="202">
        <v>466781</v>
      </c>
      <c r="F379" s="202">
        <v>534613</v>
      </c>
      <c r="G379" s="203">
        <v>87.31</v>
      </c>
      <c r="H379">
        <v>479121</v>
      </c>
      <c r="I379">
        <v>543221</v>
      </c>
      <c r="J379">
        <v>88.2</v>
      </c>
    </row>
    <row r="380" spans="1:10" ht="13" thickBot="1" x14ac:dyDescent="0.3">
      <c r="A380" t="s">
        <v>249</v>
      </c>
      <c r="B380" t="s">
        <v>145</v>
      </c>
      <c r="C380" t="s">
        <v>9</v>
      </c>
      <c r="D380" t="s">
        <v>107</v>
      </c>
      <c r="E380" s="202">
        <v>13712</v>
      </c>
      <c r="F380" s="202">
        <v>14278</v>
      </c>
      <c r="G380" s="203">
        <v>96.04</v>
      </c>
      <c r="H380">
        <v>11620</v>
      </c>
      <c r="I380">
        <v>12053</v>
      </c>
      <c r="J380">
        <v>96.4</v>
      </c>
    </row>
    <row r="381" spans="1:10" ht="13" thickBot="1" x14ac:dyDescent="0.3">
      <c r="A381" t="s">
        <v>250</v>
      </c>
      <c r="B381" t="s">
        <v>145</v>
      </c>
      <c r="C381" t="s">
        <v>9</v>
      </c>
      <c r="D381" t="s">
        <v>107</v>
      </c>
      <c r="E381" s="202">
        <v>25216</v>
      </c>
      <c r="F381" s="202">
        <v>27110</v>
      </c>
      <c r="G381" s="203">
        <v>93.01</v>
      </c>
      <c r="H381">
        <v>12679</v>
      </c>
      <c r="I381">
        <v>13518</v>
      </c>
      <c r="J381">
        <v>93.8</v>
      </c>
    </row>
    <row r="382" spans="1:10" ht="13" thickBot="1" x14ac:dyDescent="0.3">
      <c r="A382" t="s">
        <v>251</v>
      </c>
      <c r="B382" t="s">
        <v>145</v>
      </c>
      <c r="C382" t="s">
        <v>9</v>
      </c>
      <c r="D382" t="s">
        <v>107</v>
      </c>
      <c r="E382" s="202">
        <v>74712</v>
      </c>
      <c r="F382" s="202">
        <v>102040</v>
      </c>
      <c r="G382" s="203">
        <v>73.22</v>
      </c>
      <c r="H382">
        <v>54285</v>
      </c>
      <c r="I382">
        <v>77550</v>
      </c>
      <c r="J382">
        <v>70</v>
      </c>
    </row>
    <row r="383" spans="1:10" ht="13" thickBot="1" x14ac:dyDescent="0.3">
      <c r="A383" t="s">
        <v>252</v>
      </c>
      <c r="B383" t="s">
        <v>146</v>
      </c>
      <c r="C383" t="s">
        <v>9</v>
      </c>
      <c r="D383" t="s">
        <v>107</v>
      </c>
      <c r="E383" s="202">
        <v>613387</v>
      </c>
      <c r="F383" s="202">
        <v>1041398</v>
      </c>
      <c r="G383" s="203">
        <v>58.9</v>
      </c>
      <c r="H383">
        <v>696692</v>
      </c>
      <c r="I383">
        <v>1201193</v>
      </c>
      <c r="J383">
        <v>58</v>
      </c>
    </row>
    <row r="384" spans="1:10" ht="13" thickBot="1" x14ac:dyDescent="0.3">
      <c r="A384" t="s">
        <v>253</v>
      </c>
      <c r="B384" t="s">
        <v>146</v>
      </c>
      <c r="C384" t="s">
        <v>9</v>
      </c>
      <c r="D384" t="s">
        <v>107</v>
      </c>
      <c r="E384" s="202">
        <v>63056</v>
      </c>
      <c r="F384" s="202">
        <v>69942</v>
      </c>
      <c r="G384" s="203">
        <v>90.16</v>
      </c>
      <c r="H384">
        <v>0</v>
      </c>
      <c r="I384">
        <v>0</v>
      </c>
      <c r="J384">
        <v>0</v>
      </c>
    </row>
    <row r="385" spans="1:10" ht="13" thickBot="1" x14ac:dyDescent="0.3">
      <c r="A385" t="s">
        <v>254</v>
      </c>
      <c r="B385" t="s">
        <v>146</v>
      </c>
      <c r="C385" t="s">
        <v>9</v>
      </c>
      <c r="D385" t="s">
        <v>107</v>
      </c>
      <c r="E385" s="203">
        <v>0</v>
      </c>
      <c r="F385" s="203">
        <v>0</v>
      </c>
      <c r="G385" s="203">
        <v>0</v>
      </c>
      <c r="H385">
        <v>0</v>
      </c>
      <c r="I385">
        <v>0</v>
      </c>
      <c r="J385">
        <v>0</v>
      </c>
    </row>
    <row r="386" spans="1:10" ht="13" thickBot="1" x14ac:dyDescent="0.3">
      <c r="A386" t="s">
        <v>277</v>
      </c>
      <c r="B386" t="s">
        <v>147</v>
      </c>
      <c r="C386" t="s">
        <v>9</v>
      </c>
      <c r="D386" t="s">
        <v>107</v>
      </c>
      <c r="E386" s="202">
        <v>521530</v>
      </c>
      <c r="F386" s="202">
        <v>878866</v>
      </c>
      <c r="G386" s="203">
        <v>59.34</v>
      </c>
      <c r="H386">
        <v>579547</v>
      </c>
      <c r="I386">
        <v>999219</v>
      </c>
      <c r="J386">
        <v>58</v>
      </c>
    </row>
    <row r="387" spans="1:10" ht="13" thickBot="1" x14ac:dyDescent="0.3">
      <c r="A387" t="s">
        <v>255</v>
      </c>
      <c r="B387" t="s">
        <v>148</v>
      </c>
      <c r="C387" t="s">
        <v>9</v>
      </c>
      <c r="D387" t="s">
        <v>107</v>
      </c>
      <c r="E387" s="202">
        <v>103378</v>
      </c>
      <c r="F387" s="202">
        <v>116403</v>
      </c>
      <c r="G387" s="203">
        <v>88.81</v>
      </c>
      <c r="H387">
        <v>22264</v>
      </c>
      <c r="I387">
        <v>23731</v>
      </c>
      <c r="J387">
        <v>93.82</v>
      </c>
    </row>
    <row r="388" spans="1:10" ht="13" thickBot="1" x14ac:dyDescent="0.3">
      <c r="A388" t="s">
        <v>256</v>
      </c>
      <c r="B388" t="s">
        <v>148</v>
      </c>
      <c r="C388" t="s">
        <v>9</v>
      </c>
      <c r="D388" t="s">
        <v>107</v>
      </c>
      <c r="E388" s="202">
        <v>175954</v>
      </c>
      <c r="F388" s="202">
        <v>194296</v>
      </c>
      <c r="G388" s="203">
        <v>90.56</v>
      </c>
      <c r="H388">
        <v>0</v>
      </c>
      <c r="I388">
        <v>0</v>
      </c>
      <c r="J388">
        <v>0</v>
      </c>
    </row>
    <row r="389" spans="1:10" ht="13" thickBot="1" x14ac:dyDescent="0.3">
      <c r="A389" t="s">
        <v>257</v>
      </c>
      <c r="B389" t="s">
        <v>148</v>
      </c>
      <c r="C389" t="s">
        <v>9</v>
      </c>
      <c r="D389" t="s">
        <v>107</v>
      </c>
      <c r="E389" s="202">
        <v>243822</v>
      </c>
      <c r="F389" s="202">
        <v>281464</v>
      </c>
      <c r="G389" s="203">
        <v>86.63</v>
      </c>
      <c r="H389">
        <v>81228</v>
      </c>
      <c r="I389">
        <v>93409</v>
      </c>
      <c r="J389">
        <v>86.96</v>
      </c>
    </row>
    <row r="390" spans="1:10" ht="13" thickBot="1" x14ac:dyDescent="0.3">
      <c r="A390" t="s">
        <v>258</v>
      </c>
      <c r="B390" t="s">
        <v>148</v>
      </c>
      <c r="C390" t="s">
        <v>9</v>
      </c>
      <c r="D390" t="s">
        <v>107</v>
      </c>
      <c r="E390" s="202">
        <v>9978</v>
      </c>
      <c r="F390" s="202">
        <v>10502</v>
      </c>
      <c r="G390" s="203">
        <v>95.01</v>
      </c>
      <c r="H390">
        <v>121353</v>
      </c>
      <c r="I390">
        <v>127071</v>
      </c>
      <c r="J390">
        <v>95.5</v>
      </c>
    </row>
    <row r="391" spans="1:10" ht="13" thickBot="1" x14ac:dyDescent="0.3">
      <c r="A391" t="s">
        <v>259</v>
      </c>
      <c r="B391" t="s">
        <v>149</v>
      </c>
      <c r="C391" t="s">
        <v>9</v>
      </c>
      <c r="D391" t="s">
        <v>107</v>
      </c>
      <c r="E391" s="202">
        <v>229679</v>
      </c>
      <c r="F391" s="202">
        <v>398879</v>
      </c>
      <c r="G391" s="203">
        <v>57.58</v>
      </c>
      <c r="H391">
        <v>274308</v>
      </c>
      <c r="I391">
        <v>453089</v>
      </c>
      <c r="J391">
        <v>60.54</v>
      </c>
    </row>
    <row r="392" spans="1:10" ht="13" thickBot="1" x14ac:dyDescent="0.3">
      <c r="A392" t="s">
        <v>260</v>
      </c>
      <c r="B392" t="s">
        <v>149</v>
      </c>
      <c r="C392" t="s">
        <v>9</v>
      </c>
      <c r="D392" t="s">
        <v>107</v>
      </c>
      <c r="E392" s="202">
        <v>13313</v>
      </c>
      <c r="F392" s="202">
        <v>14048</v>
      </c>
      <c r="G392" s="203">
        <v>94.77</v>
      </c>
      <c r="H392">
        <v>0</v>
      </c>
      <c r="I392">
        <v>0</v>
      </c>
      <c r="J392">
        <v>0</v>
      </c>
    </row>
    <row r="393" spans="1:10" ht="13" thickBot="1" x14ac:dyDescent="0.3">
      <c r="A393" t="s">
        <v>261</v>
      </c>
      <c r="B393" t="s">
        <v>149</v>
      </c>
      <c r="C393" t="s">
        <v>9</v>
      </c>
      <c r="D393" t="s">
        <v>107</v>
      </c>
      <c r="E393" s="202">
        <v>15316</v>
      </c>
      <c r="F393" s="202">
        <v>17312</v>
      </c>
      <c r="G393" s="203">
        <v>88.47</v>
      </c>
      <c r="H393">
        <v>81228</v>
      </c>
      <c r="I393">
        <v>93409</v>
      </c>
      <c r="J393">
        <v>86.96</v>
      </c>
    </row>
    <row r="394" spans="1:10" ht="13" thickBot="1" x14ac:dyDescent="0.3">
      <c r="A394" t="s">
        <v>262</v>
      </c>
      <c r="B394" t="s">
        <v>149</v>
      </c>
      <c r="C394" t="s">
        <v>9</v>
      </c>
      <c r="D394" t="s">
        <v>107</v>
      </c>
      <c r="E394" s="202">
        <v>7839</v>
      </c>
      <c r="F394" s="202">
        <v>8601</v>
      </c>
      <c r="G394" s="203">
        <v>91.14</v>
      </c>
      <c r="H394">
        <v>94683</v>
      </c>
      <c r="I394">
        <v>104830</v>
      </c>
      <c r="J394">
        <v>90.32</v>
      </c>
    </row>
    <row r="395" spans="1:10" ht="13" thickBot="1" x14ac:dyDescent="0.3">
      <c r="A395" t="s">
        <v>263</v>
      </c>
      <c r="B395" t="s">
        <v>149</v>
      </c>
      <c r="C395" t="s">
        <v>9</v>
      </c>
      <c r="D395" t="s">
        <v>107</v>
      </c>
      <c r="E395" s="202">
        <v>64275</v>
      </c>
      <c r="F395" s="202">
        <v>101289</v>
      </c>
      <c r="G395" s="203">
        <v>63.46</v>
      </c>
      <c r="H395">
        <v>0</v>
      </c>
      <c r="I395">
        <v>0</v>
      </c>
      <c r="J395">
        <v>0</v>
      </c>
    </row>
    <row r="396" spans="1:10" ht="13" thickBot="1" x14ac:dyDescent="0.3">
      <c r="A396" t="s">
        <v>264</v>
      </c>
      <c r="B396" t="s">
        <v>150</v>
      </c>
      <c r="C396" t="s">
        <v>9</v>
      </c>
      <c r="D396" t="s">
        <v>107</v>
      </c>
      <c r="E396" s="202">
        <v>261119</v>
      </c>
      <c r="F396" s="202">
        <v>451344</v>
      </c>
      <c r="G396" s="203">
        <v>57.85</v>
      </c>
      <c r="H396">
        <v>281090</v>
      </c>
      <c r="I396">
        <v>480495</v>
      </c>
      <c r="J396">
        <v>58.5</v>
      </c>
    </row>
    <row r="397" spans="1:10" ht="13" thickBot="1" x14ac:dyDescent="0.3">
      <c r="A397" t="s">
        <v>265</v>
      </c>
      <c r="B397" t="s">
        <v>150</v>
      </c>
      <c r="C397" t="s">
        <v>9</v>
      </c>
      <c r="D397" t="s">
        <v>107</v>
      </c>
      <c r="E397" s="202">
        <v>56690</v>
      </c>
      <c r="F397" s="202">
        <v>66312</v>
      </c>
      <c r="G397" s="203">
        <v>85.49</v>
      </c>
      <c r="H397">
        <v>84037</v>
      </c>
      <c r="I397">
        <v>98289</v>
      </c>
      <c r="J397">
        <v>85.5</v>
      </c>
    </row>
    <row r="398" spans="1:10" ht="13" thickBot="1" x14ac:dyDescent="0.3">
      <c r="A398" t="s">
        <v>245</v>
      </c>
      <c r="B398" t="s">
        <v>145</v>
      </c>
      <c r="C398" t="s">
        <v>10</v>
      </c>
      <c r="D398" t="s">
        <v>107</v>
      </c>
      <c r="E398" s="202">
        <v>44065</v>
      </c>
      <c r="F398" s="202">
        <v>47576</v>
      </c>
      <c r="G398" s="203">
        <v>92.62</v>
      </c>
      <c r="H398">
        <v>42454</v>
      </c>
      <c r="I398">
        <v>49946</v>
      </c>
      <c r="J398">
        <v>85</v>
      </c>
    </row>
    <row r="399" spans="1:10" ht="13" thickBot="1" x14ac:dyDescent="0.3">
      <c r="A399" t="s">
        <v>246</v>
      </c>
      <c r="B399" t="s">
        <v>145</v>
      </c>
      <c r="C399" t="s">
        <v>10</v>
      </c>
      <c r="D399" t="s">
        <v>107</v>
      </c>
      <c r="E399" s="202">
        <v>106067</v>
      </c>
      <c r="F399" s="202">
        <v>112178</v>
      </c>
      <c r="G399" s="203">
        <v>94.55</v>
      </c>
      <c r="H399">
        <v>113477</v>
      </c>
      <c r="I399">
        <v>118824</v>
      </c>
      <c r="J399">
        <v>95.5</v>
      </c>
    </row>
    <row r="400" spans="1:10" ht="13" thickBot="1" x14ac:dyDescent="0.3">
      <c r="A400" t="s">
        <v>247</v>
      </c>
      <c r="B400" t="s">
        <v>145</v>
      </c>
      <c r="C400" t="s">
        <v>10</v>
      </c>
      <c r="D400" t="s">
        <v>107</v>
      </c>
      <c r="E400" s="202">
        <v>157201</v>
      </c>
      <c r="F400" s="202">
        <v>179914</v>
      </c>
      <c r="G400" s="203">
        <v>87.38</v>
      </c>
      <c r="H400">
        <v>306976</v>
      </c>
      <c r="I400">
        <v>347258</v>
      </c>
      <c r="J400">
        <v>88.4</v>
      </c>
    </row>
    <row r="401" spans="1:10" ht="13" thickBot="1" x14ac:dyDescent="0.3">
      <c r="A401" t="s">
        <v>248</v>
      </c>
      <c r="B401" t="s">
        <v>145</v>
      </c>
      <c r="C401" t="s">
        <v>10</v>
      </c>
      <c r="D401" t="s">
        <v>107</v>
      </c>
      <c r="E401" s="202">
        <v>555947</v>
      </c>
      <c r="F401" s="202">
        <v>636049</v>
      </c>
      <c r="G401" s="203">
        <v>87.41</v>
      </c>
      <c r="H401">
        <v>581098</v>
      </c>
      <c r="I401">
        <v>658842</v>
      </c>
      <c r="J401">
        <v>88.2</v>
      </c>
    </row>
    <row r="402" spans="1:10" ht="13" thickBot="1" x14ac:dyDescent="0.3">
      <c r="A402" t="s">
        <v>249</v>
      </c>
      <c r="B402" t="s">
        <v>145</v>
      </c>
      <c r="C402" t="s">
        <v>10</v>
      </c>
      <c r="D402" t="s">
        <v>107</v>
      </c>
      <c r="E402" s="202">
        <v>13712</v>
      </c>
      <c r="F402" s="202">
        <v>14278</v>
      </c>
      <c r="G402" s="203">
        <v>96.04</v>
      </c>
      <c r="H402">
        <v>14332</v>
      </c>
      <c r="I402">
        <v>14867</v>
      </c>
      <c r="J402">
        <v>96.4</v>
      </c>
    </row>
    <row r="403" spans="1:10" ht="13" thickBot="1" x14ac:dyDescent="0.3">
      <c r="A403" t="s">
        <v>250</v>
      </c>
      <c r="B403" t="s">
        <v>145</v>
      </c>
      <c r="C403" t="s">
        <v>10</v>
      </c>
      <c r="D403" t="s">
        <v>107</v>
      </c>
      <c r="E403" s="202">
        <v>27926</v>
      </c>
      <c r="F403" s="202">
        <v>30056</v>
      </c>
      <c r="G403" s="203">
        <v>92.91</v>
      </c>
      <c r="H403">
        <v>14023</v>
      </c>
      <c r="I403">
        <v>14950</v>
      </c>
      <c r="J403">
        <v>93.8</v>
      </c>
    </row>
    <row r="404" spans="1:10" ht="13" thickBot="1" x14ac:dyDescent="0.3">
      <c r="A404" t="s">
        <v>251</v>
      </c>
      <c r="B404" t="s">
        <v>145</v>
      </c>
      <c r="C404" t="s">
        <v>10</v>
      </c>
      <c r="D404" t="s">
        <v>107</v>
      </c>
      <c r="E404" s="202">
        <v>88956</v>
      </c>
      <c r="F404" s="202">
        <v>121250</v>
      </c>
      <c r="G404" s="203">
        <v>73.37</v>
      </c>
      <c r="H404">
        <v>65739</v>
      </c>
      <c r="I404">
        <v>93912</v>
      </c>
      <c r="J404">
        <v>70</v>
      </c>
    </row>
    <row r="405" spans="1:10" ht="13" thickBot="1" x14ac:dyDescent="0.3">
      <c r="A405" t="s">
        <v>252</v>
      </c>
      <c r="B405" t="s">
        <v>146</v>
      </c>
      <c r="C405" t="s">
        <v>10</v>
      </c>
      <c r="D405" t="s">
        <v>107</v>
      </c>
      <c r="E405" s="202">
        <v>729218</v>
      </c>
      <c r="F405" s="202">
        <v>1241521</v>
      </c>
      <c r="G405" s="203">
        <v>58.74</v>
      </c>
      <c r="H405">
        <v>846025</v>
      </c>
      <c r="I405">
        <v>1458664</v>
      </c>
      <c r="J405">
        <v>58</v>
      </c>
    </row>
    <row r="406" spans="1:10" ht="13" thickBot="1" x14ac:dyDescent="0.3">
      <c r="A406" t="s">
        <v>253</v>
      </c>
      <c r="B406" t="s">
        <v>146</v>
      </c>
      <c r="C406" t="s">
        <v>10</v>
      </c>
      <c r="D406" t="s">
        <v>107</v>
      </c>
      <c r="E406" s="202">
        <v>98064</v>
      </c>
      <c r="F406" s="202">
        <v>108066</v>
      </c>
      <c r="G406" s="203">
        <v>90.74</v>
      </c>
      <c r="H406">
        <v>0</v>
      </c>
      <c r="I406">
        <v>0</v>
      </c>
      <c r="J406">
        <v>0</v>
      </c>
    </row>
    <row r="407" spans="1:10" ht="13" thickBot="1" x14ac:dyDescent="0.3">
      <c r="A407" t="s">
        <v>254</v>
      </c>
      <c r="B407" t="s">
        <v>146</v>
      </c>
      <c r="C407" t="s">
        <v>10</v>
      </c>
      <c r="D407" t="s">
        <v>107</v>
      </c>
      <c r="E407" s="203">
        <v>0</v>
      </c>
      <c r="F407" s="203">
        <v>0</v>
      </c>
      <c r="G407" s="203">
        <v>0</v>
      </c>
      <c r="H407">
        <v>0</v>
      </c>
      <c r="I407">
        <v>0</v>
      </c>
      <c r="J407">
        <v>0</v>
      </c>
    </row>
    <row r="408" spans="1:10" ht="13" thickBot="1" x14ac:dyDescent="0.3">
      <c r="A408" t="s">
        <v>277</v>
      </c>
      <c r="B408" t="s">
        <v>147</v>
      </c>
      <c r="C408" t="s">
        <v>10</v>
      </c>
      <c r="D408" t="s">
        <v>107</v>
      </c>
      <c r="E408" s="202">
        <v>648050</v>
      </c>
      <c r="F408" s="202">
        <v>1084085</v>
      </c>
      <c r="G408" s="203">
        <v>59.78</v>
      </c>
      <c r="H408">
        <v>710537</v>
      </c>
      <c r="I408">
        <v>1225063</v>
      </c>
      <c r="J408">
        <v>58</v>
      </c>
    </row>
    <row r="409" spans="1:10" ht="13" thickBot="1" x14ac:dyDescent="0.3">
      <c r="A409" t="s">
        <v>255</v>
      </c>
      <c r="B409" t="s">
        <v>148</v>
      </c>
      <c r="C409" t="s">
        <v>10</v>
      </c>
      <c r="D409" t="s">
        <v>107</v>
      </c>
      <c r="E409" s="202">
        <v>118262</v>
      </c>
      <c r="F409" s="202">
        <v>133020</v>
      </c>
      <c r="G409" s="203">
        <v>88.91</v>
      </c>
      <c r="H409">
        <v>28192</v>
      </c>
      <c r="I409">
        <v>32850</v>
      </c>
      <c r="J409">
        <v>85.82</v>
      </c>
    </row>
    <row r="410" spans="1:10" ht="13" thickBot="1" x14ac:dyDescent="0.3">
      <c r="A410" t="s">
        <v>256</v>
      </c>
      <c r="B410" t="s">
        <v>148</v>
      </c>
      <c r="C410" t="s">
        <v>10</v>
      </c>
      <c r="D410" t="s">
        <v>107</v>
      </c>
      <c r="E410" s="202">
        <v>208418</v>
      </c>
      <c r="F410" s="202">
        <v>230217</v>
      </c>
      <c r="G410" s="203">
        <v>90.53</v>
      </c>
      <c r="H410">
        <v>0</v>
      </c>
      <c r="I410">
        <v>0</v>
      </c>
      <c r="J410">
        <v>0</v>
      </c>
    </row>
    <row r="411" spans="1:10" ht="13" thickBot="1" x14ac:dyDescent="0.3">
      <c r="A411" t="s">
        <v>257</v>
      </c>
      <c r="B411" t="s">
        <v>148</v>
      </c>
      <c r="C411" t="s">
        <v>10</v>
      </c>
      <c r="D411" t="s">
        <v>107</v>
      </c>
      <c r="E411" s="202">
        <v>293550</v>
      </c>
      <c r="F411" s="202">
        <v>338465</v>
      </c>
      <c r="G411" s="203">
        <v>86.73</v>
      </c>
      <c r="H411">
        <v>108176</v>
      </c>
      <c r="I411">
        <v>124398</v>
      </c>
      <c r="J411">
        <v>86.96</v>
      </c>
    </row>
    <row r="412" spans="1:10" ht="13" thickBot="1" x14ac:dyDescent="0.3">
      <c r="A412" t="s">
        <v>258</v>
      </c>
      <c r="B412" t="s">
        <v>148</v>
      </c>
      <c r="C412" t="s">
        <v>10</v>
      </c>
      <c r="D412" t="s">
        <v>107</v>
      </c>
      <c r="E412" s="202">
        <v>17925</v>
      </c>
      <c r="F412" s="202">
        <v>18913</v>
      </c>
      <c r="G412" s="203">
        <v>94.77</v>
      </c>
      <c r="H412">
        <v>124575</v>
      </c>
      <c r="I412">
        <v>130445</v>
      </c>
      <c r="J412">
        <v>95.5</v>
      </c>
    </row>
    <row r="413" spans="1:10" ht="13" thickBot="1" x14ac:dyDescent="0.3">
      <c r="A413" t="s">
        <v>259</v>
      </c>
      <c r="B413" t="s">
        <v>149</v>
      </c>
      <c r="C413" t="s">
        <v>10</v>
      </c>
      <c r="D413" t="s">
        <v>107</v>
      </c>
      <c r="E413" s="202">
        <v>259720</v>
      </c>
      <c r="F413" s="202">
        <v>451406</v>
      </c>
      <c r="G413" s="203">
        <v>57.54</v>
      </c>
      <c r="H413">
        <v>328612</v>
      </c>
      <c r="I413">
        <v>541267</v>
      </c>
      <c r="J413">
        <v>60.71</v>
      </c>
    </row>
    <row r="414" spans="1:10" ht="13" thickBot="1" x14ac:dyDescent="0.3">
      <c r="A414" t="s">
        <v>260</v>
      </c>
      <c r="B414" t="s">
        <v>149</v>
      </c>
      <c r="C414" t="s">
        <v>10</v>
      </c>
      <c r="D414" t="s">
        <v>107</v>
      </c>
      <c r="E414" s="202">
        <v>17802</v>
      </c>
      <c r="F414" s="202">
        <v>18808</v>
      </c>
      <c r="G414" s="203">
        <v>94.65</v>
      </c>
      <c r="H414">
        <v>0</v>
      </c>
      <c r="I414">
        <v>0</v>
      </c>
      <c r="J414">
        <v>0</v>
      </c>
    </row>
    <row r="415" spans="1:10" ht="13" thickBot="1" x14ac:dyDescent="0.3">
      <c r="A415" t="s">
        <v>261</v>
      </c>
      <c r="B415" t="s">
        <v>149</v>
      </c>
      <c r="C415" t="s">
        <v>10</v>
      </c>
      <c r="D415" t="s">
        <v>107</v>
      </c>
      <c r="E415" s="202">
        <v>22356</v>
      </c>
      <c r="F415" s="202">
        <v>25188</v>
      </c>
      <c r="G415" s="203">
        <v>88.76</v>
      </c>
      <c r="H415">
        <v>108176</v>
      </c>
      <c r="I415">
        <v>124398</v>
      </c>
      <c r="J415">
        <v>86.96</v>
      </c>
    </row>
    <row r="416" spans="1:10" ht="13" thickBot="1" x14ac:dyDescent="0.3">
      <c r="A416" t="s">
        <v>262</v>
      </c>
      <c r="B416" t="s">
        <v>149</v>
      </c>
      <c r="C416" t="s">
        <v>10</v>
      </c>
      <c r="D416" t="s">
        <v>107</v>
      </c>
      <c r="E416" s="202">
        <v>10035</v>
      </c>
      <c r="F416" s="202">
        <v>11009</v>
      </c>
      <c r="G416" s="203">
        <v>91.16</v>
      </c>
      <c r="H416">
        <v>119940</v>
      </c>
      <c r="I416">
        <v>132794</v>
      </c>
      <c r="J416">
        <v>90.32</v>
      </c>
    </row>
    <row r="417" spans="1:10" ht="13" thickBot="1" x14ac:dyDescent="0.3">
      <c r="A417" t="s">
        <v>263</v>
      </c>
      <c r="B417" t="s">
        <v>149</v>
      </c>
      <c r="C417" t="s">
        <v>10</v>
      </c>
      <c r="D417" t="s">
        <v>107</v>
      </c>
      <c r="E417" s="202">
        <v>74858</v>
      </c>
      <c r="F417" s="202">
        <v>115431</v>
      </c>
      <c r="G417" s="203">
        <v>64.849999999999994</v>
      </c>
      <c r="H417">
        <v>0</v>
      </c>
      <c r="I417">
        <v>0</v>
      </c>
      <c r="J417">
        <v>0</v>
      </c>
    </row>
    <row r="418" spans="1:10" ht="13" thickBot="1" x14ac:dyDescent="0.3">
      <c r="A418" t="s">
        <v>264</v>
      </c>
      <c r="B418" t="s">
        <v>150</v>
      </c>
      <c r="C418" t="s">
        <v>10</v>
      </c>
      <c r="D418" t="s">
        <v>107</v>
      </c>
      <c r="E418" s="202">
        <v>311196</v>
      </c>
      <c r="F418" s="202">
        <v>540438</v>
      </c>
      <c r="G418" s="203">
        <v>57.58</v>
      </c>
      <c r="H418">
        <v>341522</v>
      </c>
      <c r="I418">
        <v>583798</v>
      </c>
      <c r="J418">
        <v>58.5</v>
      </c>
    </row>
    <row r="419" spans="1:10" ht="13" thickBot="1" x14ac:dyDescent="0.3">
      <c r="A419" t="s">
        <v>265</v>
      </c>
      <c r="B419" t="s">
        <v>150</v>
      </c>
      <c r="C419" t="s">
        <v>10</v>
      </c>
      <c r="D419" t="s">
        <v>107</v>
      </c>
      <c r="E419" s="202">
        <v>70206</v>
      </c>
      <c r="F419" s="202">
        <v>82190</v>
      </c>
      <c r="G419" s="203">
        <v>85.42</v>
      </c>
      <c r="H419">
        <v>103676</v>
      </c>
      <c r="I419">
        <v>121258</v>
      </c>
      <c r="J419">
        <v>85.5</v>
      </c>
    </row>
    <row r="420" spans="1:10" ht="13" thickBot="1" x14ac:dyDescent="0.3">
      <c r="A420" t="s">
        <v>245</v>
      </c>
      <c r="B420" t="s">
        <v>145</v>
      </c>
      <c r="C420" t="s">
        <v>11</v>
      </c>
      <c r="D420" t="s">
        <v>107</v>
      </c>
      <c r="E420" s="202">
        <v>48079</v>
      </c>
      <c r="F420" s="202">
        <v>52202</v>
      </c>
      <c r="G420" s="203">
        <v>92.1</v>
      </c>
      <c r="H420">
        <v>49844</v>
      </c>
      <c r="I420">
        <v>58640</v>
      </c>
      <c r="J420">
        <v>85</v>
      </c>
    </row>
    <row r="421" spans="1:10" ht="13" thickBot="1" x14ac:dyDescent="0.3">
      <c r="A421" t="s">
        <v>246</v>
      </c>
      <c r="B421" t="s">
        <v>145</v>
      </c>
      <c r="C421" t="s">
        <v>11</v>
      </c>
      <c r="D421" t="s">
        <v>107</v>
      </c>
      <c r="E421" s="202">
        <v>123515</v>
      </c>
      <c r="F421" s="202">
        <v>130996</v>
      </c>
      <c r="G421" s="203">
        <v>94.29</v>
      </c>
      <c r="H421">
        <v>134256</v>
      </c>
      <c r="I421">
        <v>140582</v>
      </c>
      <c r="J421">
        <v>95.5</v>
      </c>
    </row>
    <row r="422" spans="1:10" ht="13" thickBot="1" x14ac:dyDescent="0.3">
      <c r="A422" t="s">
        <v>247</v>
      </c>
      <c r="B422" t="s">
        <v>145</v>
      </c>
      <c r="C422" t="s">
        <v>11</v>
      </c>
      <c r="D422" t="s">
        <v>107</v>
      </c>
      <c r="E422" s="202">
        <v>184564</v>
      </c>
      <c r="F422" s="202">
        <v>211477</v>
      </c>
      <c r="G422" s="203">
        <v>87.27</v>
      </c>
      <c r="H422">
        <v>356768</v>
      </c>
      <c r="I422">
        <v>403583</v>
      </c>
      <c r="J422">
        <v>88.4</v>
      </c>
    </row>
    <row r="423" spans="1:10" ht="13" thickBot="1" x14ac:dyDescent="0.3">
      <c r="A423" t="s">
        <v>248</v>
      </c>
      <c r="B423" t="s">
        <v>145</v>
      </c>
      <c r="C423" t="s">
        <v>11</v>
      </c>
      <c r="D423" t="s">
        <v>107</v>
      </c>
      <c r="E423" s="202">
        <v>619124</v>
      </c>
      <c r="F423" s="202">
        <v>707683</v>
      </c>
      <c r="G423" s="203">
        <v>87.49</v>
      </c>
      <c r="H423">
        <v>685165</v>
      </c>
      <c r="I423">
        <v>776831</v>
      </c>
      <c r="J423">
        <v>88.2</v>
      </c>
    </row>
    <row r="424" spans="1:10" ht="13" thickBot="1" x14ac:dyDescent="0.3">
      <c r="A424" t="s">
        <v>249</v>
      </c>
      <c r="B424" t="s">
        <v>145</v>
      </c>
      <c r="C424" t="s">
        <v>11</v>
      </c>
      <c r="D424" t="s">
        <v>107</v>
      </c>
      <c r="E424" s="202">
        <v>17075</v>
      </c>
      <c r="F424" s="202">
        <v>17776</v>
      </c>
      <c r="G424" s="203">
        <v>96.06</v>
      </c>
      <c r="H424">
        <v>16957</v>
      </c>
      <c r="I424">
        <v>17590</v>
      </c>
      <c r="J424">
        <v>96.4</v>
      </c>
    </row>
    <row r="425" spans="1:10" ht="13" thickBot="1" x14ac:dyDescent="0.3">
      <c r="A425" t="s">
        <v>250</v>
      </c>
      <c r="B425" t="s">
        <v>145</v>
      </c>
      <c r="C425" t="s">
        <v>11</v>
      </c>
      <c r="D425" t="s">
        <v>107</v>
      </c>
      <c r="E425" s="202">
        <v>31198</v>
      </c>
      <c r="F425" s="202">
        <v>33623</v>
      </c>
      <c r="G425" s="203">
        <v>92.79</v>
      </c>
      <c r="H425">
        <v>16519</v>
      </c>
      <c r="I425">
        <v>17611</v>
      </c>
      <c r="J425">
        <v>93.8</v>
      </c>
    </row>
    <row r="426" spans="1:10" ht="13" thickBot="1" x14ac:dyDescent="0.3">
      <c r="A426" t="s">
        <v>251</v>
      </c>
      <c r="B426" t="s">
        <v>145</v>
      </c>
      <c r="C426" t="s">
        <v>11</v>
      </c>
      <c r="D426" t="s">
        <v>107</v>
      </c>
      <c r="E426" s="202">
        <v>113315</v>
      </c>
      <c r="F426" s="202">
        <v>155584</v>
      </c>
      <c r="G426" s="203">
        <v>72.83</v>
      </c>
      <c r="H426">
        <v>76857</v>
      </c>
      <c r="I426">
        <v>109796</v>
      </c>
      <c r="J426">
        <v>70</v>
      </c>
    </row>
    <row r="427" spans="1:10" ht="13" thickBot="1" x14ac:dyDescent="0.3">
      <c r="A427" t="s">
        <v>252</v>
      </c>
      <c r="B427" t="s">
        <v>146</v>
      </c>
      <c r="C427" t="s">
        <v>11</v>
      </c>
      <c r="D427" t="s">
        <v>107</v>
      </c>
      <c r="E427" s="202">
        <v>841970</v>
      </c>
      <c r="F427" s="202">
        <v>1436571</v>
      </c>
      <c r="G427" s="203">
        <v>58.61</v>
      </c>
      <c r="H427">
        <v>995118</v>
      </c>
      <c r="I427">
        <v>1715720</v>
      </c>
      <c r="J427">
        <v>58</v>
      </c>
    </row>
    <row r="428" spans="1:10" ht="13" thickBot="1" x14ac:dyDescent="0.3">
      <c r="A428" t="s">
        <v>253</v>
      </c>
      <c r="B428" t="s">
        <v>146</v>
      </c>
      <c r="C428" t="s">
        <v>11</v>
      </c>
      <c r="D428" t="s">
        <v>107</v>
      </c>
      <c r="E428" s="202">
        <v>149506</v>
      </c>
      <c r="F428" s="202">
        <v>165535</v>
      </c>
      <c r="G428" s="203">
        <v>90.32</v>
      </c>
      <c r="H428">
        <v>0</v>
      </c>
      <c r="I428">
        <v>0</v>
      </c>
      <c r="J428">
        <v>0</v>
      </c>
    </row>
    <row r="429" spans="1:10" ht="13" thickBot="1" x14ac:dyDescent="0.3">
      <c r="A429" t="s">
        <v>254</v>
      </c>
      <c r="B429" t="s">
        <v>146</v>
      </c>
      <c r="C429" t="s">
        <v>11</v>
      </c>
      <c r="D429" t="s">
        <v>107</v>
      </c>
      <c r="E429" s="203">
        <v>0</v>
      </c>
      <c r="F429" s="203">
        <v>0</v>
      </c>
      <c r="G429" s="203">
        <v>0</v>
      </c>
      <c r="H429">
        <v>0</v>
      </c>
      <c r="I429">
        <v>0</v>
      </c>
      <c r="J429">
        <v>0</v>
      </c>
    </row>
    <row r="430" spans="1:10" ht="13" thickBot="1" x14ac:dyDescent="0.3">
      <c r="A430" t="s">
        <v>277</v>
      </c>
      <c r="B430" t="s">
        <v>147</v>
      </c>
      <c r="C430" t="s">
        <v>11</v>
      </c>
      <c r="D430" t="s">
        <v>107</v>
      </c>
      <c r="E430" s="202">
        <v>771756</v>
      </c>
      <c r="F430" s="202">
        <v>1295534</v>
      </c>
      <c r="G430" s="203">
        <v>59.57</v>
      </c>
      <c r="H430">
        <v>840735</v>
      </c>
      <c r="I430">
        <v>1449543</v>
      </c>
      <c r="J430">
        <v>58</v>
      </c>
    </row>
    <row r="431" spans="1:10" ht="13" thickBot="1" x14ac:dyDescent="0.3">
      <c r="A431" t="s">
        <v>255</v>
      </c>
      <c r="B431" t="s">
        <v>148</v>
      </c>
      <c r="C431" t="s">
        <v>11</v>
      </c>
      <c r="D431" t="s">
        <v>107</v>
      </c>
      <c r="E431" s="202">
        <v>127394</v>
      </c>
      <c r="F431" s="202">
        <v>143792</v>
      </c>
      <c r="G431" s="203">
        <v>88.6</v>
      </c>
      <c r="H431">
        <v>29404</v>
      </c>
      <c r="I431">
        <v>34215</v>
      </c>
      <c r="J431">
        <v>85.94</v>
      </c>
    </row>
    <row r="432" spans="1:10" ht="13" thickBot="1" x14ac:dyDescent="0.3">
      <c r="A432" t="s">
        <v>256</v>
      </c>
      <c r="B432" t="s">
        <v>148</v>
      </c>
      <c r="C432" t="s">
        <v>11</v>
      </c>
      <c r="D432" t="s">
        <v>107</v>
      </c>
      <c r="E432" s="202">
        <v>227526</v>
      </c>
      <c r="F432" s="202">
        <v>251360</v>
      </c>
      <c r="G432" s="203">
        <v>90.52</v>
      </c>
      <c r="H432">
        <v>0</v>
      </c>
      <c r="I432">
        <v>0</v>
      </c>
      <c r="J432">
        <v>0</v>
      </c>
    </row>
    <row r="433" spans="1:10" ht="13" thickBot="1" x14ac:dyDescent="0.3">
      <c r="A433" t="s">
        <v>257</v>
      </c>
      <c r="B433" t="s">
        <v>148</v>
      </c>
      <c r="C433" t="s">
        <v>11</v>
      </c>
      <c r="D433" t="s">
        <v>107</v>
      </c>
      <c r="E433" s="202">
        <v>347401</v>
      </c>
      <c r="F433" s="202">
        <v>399797</v>
      </c>
      <c r="G433" s="203">
        <v>86.89</v>
      </c>
      <c r="H433">
        <v>126726</v>
      </c>
      <c r="I433">
        <v>145729</v>
      </c>
      <c r="J433">
        <v>86.96</v>
      </c>
    </row>
    <row r="434" spans="1:10" ht="13" thickBot="1" x14ac:dyDescent="0.3">
      <c r="A434" t="s">
        <v>258</v>
      </c>
      <c r="B434" t="s">
        <v>148</v>
      </c>
      <c r="C434" t="s">
        <v>11</v>
      </c>
      <c r="D434" t="s">
        <v>107</v>
      </c>
      <c r="E434" s="202">
        <v>47697</v>
      </c>
      <c r="F434" s="202">
        <v>50453</v>
      </c>
      <c r="G434" s="203">
        <v>94.54</v>
      </c>
      <c r="H434">
        <v>126475</v>
      </c>
      <c r="I434">
        <v>132434</v>
      </c>
      <c r="J434">
        <v>95.5</v>
      </c>
    </row>
    <row r="435" spans="1:10" ht="13" thickBot="1" x14ac:dyDescent="0.3">
      <c r="A435" t="s">
        <v>259</v>
      </c>
      <c r="B435" t="s">
        <v>149</v>
      </c>
      <c r="C435" t="s">
        <v>11</v>
      </c>
      <c r="D435" t="s">
        <v>107</v>
      </c>
      <c r="E435" s="202">
        <v>315839</v>
      </c>
      <c r="F435" s="202">
        <v>549887</v>
      </c>
      <c r="G435" s="203">
        <v>57.44</v>
      </c>
      <c r="H435">
        <v>386157</v>
      </c>
      <c r="I435">
        <v>636148</v>
      </c>
      <c r="J435">
        <v>60.7</v>
      </c>
    </row>
    <row r="436" spans="1:10" ht="13" thickBot="1" x14ac:dyDescent="0.3">
      <c r="A436" t="s">
        <v>260</v>
      </c>
      <c r="B436" t="s">
        <v>149</v>
      </c>
      <c r="C436" t="s">
        <v>11</v>
      </c>
      <c r="D436" t="s">
        <v>107</v>
      </c>
      <c r="E436" s="202">
        <v>21084</v>
      </c>
      <c r="F436" s="202">
        <v>22282</v>
      </c>
      <c r="G436" s="203">
        <v>94.62</v>
      </c>
      <c r="H436">
        <v>0</v>
      </c>
      <c r="I436">
        <v>0</v>
      </c>
      <c r="J436">
        <v>0</v>
      </c>
    </row>
    <row r="437" spans="1:10" ht="13" thickBot="1" x14ac:dyDescent="0.3">
      <c r="A437" t="s">
        <v>261</v>
      </c>
      <c r="B437" t="s">
        <v>149</v>
      </c>
      <c r="C437" t="s">
        <v>11</v>
      </c>
      <c r="D437" t="s">
        <v>107</v>
      </c>
      <c r="E437" s="202">
        <v>26814</v>
      </c>
      <c r="F437" s="202">
        <v>30195</v>
      </c>
      <c r="G437" s="203">
        <v>88.8</v>
      </c>
      <c r="H437">
        <v>126726</v>
      </c>
      <c r="I437">
        <v>145729</v>
      </c>
      <c r="J437">
        <v>86.96</v>
      </c>
    </row>
    <row r="438" spans="1:10" ht="13" thickBot="1" x14ac:dyDescent="0.3">
      <c r="A438" t="s">
        <v>262</v>
      </c>
      <c r="B438" t="s">
        <v>149</v>
      </c>
      <c r="C438" t="s">
        <v>11</v>
      </c>
      <c r="D438" t="s">
        <v>107</v>
      </c>
      <c r="E438" s="202">
        <v>16073</v>
      </c>
      <c r="F438" s="202">
        <v>17635</v>
      </c>
      <c r="G438" s="203">
        <v>91.14</v>
      </c>
      <c r="H438">
        <v>140487</v>
      </c>
      <c r="I438">
        <v>155543</v>
      </c>
      <c r="J438">
        <v>90.32</v>
      </c>
    </row>
    <row r="439" spans="1:10" ht="13" thickBot="1" x14ac:dyDescent="0.3">
      <c r="A439" t="s">
        <v>263</v>
      </c>
      <c r="B439" t="s">
        <v>149</v>
      </c>
      <c r="C439" t="s">
        <v>11</v>
      </c>
      <c r="D439" t="s">
        <v>107</v>
      </c>
      <c r="E439" s="202">
        <v>88900</v>
      </c>
      <c r="F439" s="202">
        <v>131814</v>
      </c>
      <c r="G439" s="203">
        <v>67.44</v>
      </c>
      <c r="H439">
        <v>0</v>
      </c>
      <c r="I439">
        <v>0</v>
      </c>
      <c r="J439">
        <v>0</v>
      </c>
    </row>
    <row r="440" spans="1:10" ht="13" thickBot="1" x14ac:dyDescent="0.3">
      <c r="A440" t="s">
        <v>264</v>
      </c>
      <c r="B440" t="s">
        <v>150</v>
      </c>
      <c r="C440" t="s">
        <v>11</v>
      </c>
      <c r="D440" t="s">
        <v>107</v>
      </c>
      <c r="E440" s="202">
        <v>378118</v>
      </c>
      <c r="F440" s="202">
        <v>657677</v>
      </c>
      <c r="G440" s="203">
        <v>57.49</v>
      </c>
      <c r="H440">
        <v>400852</v>
      </c>
      <c r="I440">
        <v>685217</v>
      </c>
      <c r="J440">
        <v>58.5</v>
      </c>
    </row>
    <row r="441" spans="1:10" ht="13" thickBot="1" x14ac:dyDescent="0.3">
      <c r="A441" t="s">
        <v>265</v>
      </c>
      <c r="B441" t="s">
        <v>150</v>
      </c>
      <c r="C441" t="s">
        <v>11</v>
      </c>
      <c r="D441" t="s">
        <v>107</v>
      </c>
      <c r="E441" s="202">
        <v>86492</v>
      </c>
      <c r="F441" s="202">
        <v>101242</v>
      </c>
      <c r="G441" s="203">
        <v>85.43</v>
      </c>
      <c r="H441">
        <v>122675</v>
      </c>
      <c r="I441">
        <v>143480</v>
      </c>
      <c r="J441">
        <v>85.5</v>
      </c>
    </row>
    <row r="442" spans="1:10" ht="13" thickBot="1" x14ac:dyDescent="0.3">
      <c r="A442" t="s">
        <v>245</v>
      </c>
      <c r="B442" t="s">
        <v>145</v>
      </c>
      <c r="C442" t="s">
        <v>12</v>
      </c>
      <c r="D442" t="s">
        <v>107</v>
      </c>
      <c r="E442" s="202">
        <v>58354</v>
      </c>
      <c r="F442" s="202">
        <v>63706</v>
      </c>
      <c r="G442" s="203">
        <v>91.6</v>
      </c>
      <c r="H442">
        <v>56996</v>
      </c>
      <c r="I442">
        <v>67054</v>
      </c>
      <c r="J442">
        <v>85</v>
      </c>
    </row>
    <row r="443" spans="1:10" ht="13" thickBot="1" x14ac:dyDescent="0.3">
      <c r="A443" t="s">
        <v>246</v>
      </c>
      <c r="B443" t="s">
        <v>145</v>
      </c>
      <c r="C443" t="s">
        <v>12</v>
      </c>
      <c r="D443" t="s">
        <v>107</v>
      </c>
      <c r="E443" s="202">
        <v>138089</v>
      </c>
      <c r="F443" s="202">
        <v>146322</v>
      </c>
      <c r="G443" s="203">
        <v>94.37</v>
      </c>
      <c r="H443">
        <v>155038</v>
      </c>
      <c r="I443">
        <v>162343</v>
      </c>
      <c r="J443">
        <v>95.5</v>
      </c>
    </row>
    <row r="444" spans="1:10" ht="13" thickBot="1" x14ac:dyDescent="0.3">
      <c r="A444" t="s">
        <v>247</v>
      </c>
      <c r="B444" t="s">
        <v>145</v>
      </c>
      <c r="C444" t="s">
        <v>12</v>
      </c>
      <c r="D444" t="s">
        <v>107</v>
      </c>
      <c r="E444" s="202">
        <v>217192</v>
      </c>
      <c r="F444" s="202">
        <v>248442</v>
      </c>
      <c r="G444" s="203">
        <v>87.42</v>
      </c>
      <c r="H444">
        <v>406567</v>
      </c>
      <c r="I444">
        <v>459918</v>
      </c>
      <c r="J444">
        <v>88.4</v>
      </c>
    </row>
    <row r="445" spans="1:10" ht="13" thickBot="1" x14ac:dyDescent="0.3">
      <c r="A445" t="s">
        <v>248</v>
      </c>
      <c r="B445" t="s">
        <v>145</v>
      </c>
      <c r="C445" t="s">
        <v>12</v>
      </c>
      <c r="D445" t="s">
        <v>107</v>
      </c>
      <c r="E445" s="202">
        <v>695547</v>
      </c>
      <c r="F445" s="202">
        <v>794519</v>
      </c>
      <c r="G445" s="203">
        <v>87.54</v>
      </c>
      <c r="H445">
        <v>784167</v>
      </c>
      <c r="I445">
        <v>889078</v>
      </c>
      <c r="J445">
        <v>88.2</v>
      </c>
    </row>
    <row r="446" spans="1:10" ht="13" thickBot="1" x14ac:dyDescent="0.3">
      <c r="A446" t="s">
        <v>249</v>
      </c>
      <c r="B446" t="s">
        <v>145</v>
      </c>
      <c r="C446" t="s">
        <v>12</v>
      </c>
      <c r="D446" t="s">
        <v>107</v>
      </c>
      <c r="E446" s="202">
        <v>19908</v>
      </c>
      <c r="F446" s="202">
        <v>20719</v>
      </c>
      <c r="G446" s="203">
        <v>96.08</v>
      </c>
      <c r="H446">
        <v>19581</v>
      </c>
      <c r="I446">
        <v>20313</v>
      </c>
      <c r="J446">
        <v>96.4</v>
      </c>
    </row>
    <row r="447" spans="1:10" ht="13" thickBot="1" x14ac:dyDescent="0.3">
      <c r="A447" t="s">
        <v>250</v>
      </c>
      <c r="B447" t="s">
        <v>145</v>
      </c>
      <c r="C447" t="s">
        <v>12</v>
      </c>
      <c r="D447" t="s">
        <v>107</v>
      </c>
      <c r="E447" s="202">
        <v>36361</v>
      </c>
      <c r="F447" s="202">
        <v>39142</v>
      </c>
      <c r="G447" s="203">
        <v>92.9</v>
      </c>
      <c r="H447">
        <v>17819</v>
      </c>
      <c r="I447">
        <v>18997</v>
      </c>
      <c r="J447">
        <v>93.8</v>
      </c>
    </row>
    <row r="448" spans="1:10" ht="13" thickBot="1" x14ac:dyDescent="0.3">
      <c r="A448" t="s">
        <v>251</v>
      </c>
      <c r="B448" t="s">
        <v>145</v>
      </c>
      <c r="C448" t="s">
        <v>12</v>
      </c>
      <c r="D448" t="s">
        <v>107</v>
      </c>
      <c r="E448" s="202">
        <v>138274</v>
      </c>
      <c r="F448" s="202">
        <v>190355</v>
      </c>
      <c r="G448" s="203">
        <v>72.64</v>
      </c>
      <c r="H448">
        <v>87988</v>
      </c>
      <c r="I448">
        <v>125697</v>
      </c>
      <c r="J448">
        <v>70</v>
      </c>
    </row>
    <row r="449" spans="1:10" ht="13" thickBot="1" x14ac:dyDescent="0.3">
      <c r="A449" t="s">
        <v>252</v>
      </c>
      <c r="B449" t="s">
        <v>146</v>
      </c>
      <c r="C449" t="s">
        <v>12</v>
      </c>
      <c r="D449" t="s">
        <v>107</v>
      </c>
      <c r="E449" s="202">
        <v>965588</v>
      </c>
      <c r="F449" s="202">
        <v>1650691</v>
      </c>
      <c r="G449" s="203">
        <v>58.5</v>
      </c>
      <c r="H449">
        <v>1138485</v>
      </c>
      <c r="I449">
        <v>1962904</v>
      </c>
      <c r="J449">
        <v>58</v>
      </c>
    </row>
    <row r="450" spans="1:10" ht="13" thickBot="1" x14ac:dyDescent="0.3">
      <c r="A450" t="s">
        <v>253</v>
      </c>
      <c r="B450" t="s">
        <v>146</v>
      </c>
      <c r="C450" t="s">
        <v>12</v>
      </c>
      <c r="D450" t="s">
        <v>107</v>
      </c>
      <c r="E450" s="202">
        <v>184086</v>
      </c>
      <c r="F450" s="202">
        <v>204228</v>
      </c>
      <c r="G450" s="203">
        <v>90.14</v>
      </c>
      <c r="H450">
        <v>0</v>
      </c>
      <c r="I450">
        <v>0</v>
      </c>
      <c r="J450">
        <v>0</v>
      </c>
    </row>
    <row r="451" spans="1:10" ht="13" thickBot="1" x14ac:dyDescent="0.3">
      <c r="A451" t="s">
        <v>254</v>
      </c>
      <c r="B451" t="s">
        <v>146</v>
      </c>
      <c r="C451" t="s">
        <v>12</v>
      </c>
      <c r="D451" t="s">
        <v>107</v>
      </c>
      <c r="E451" s="203">
        <v>0</v>
      </c>
      <c r="F451" s="203">
        <v>0</v>
      </c>
      <c r="G451" s="203">
        <v>0</v>
      </c>
      <c r="H451">
        <v>0</v>
      </c>
      <c r="I451">
        <v>0</v>
      </c>
      <c r="J451">
        <v>0</v>
      </c>
    </row>
    <row r="452" spans="1:10" ht="13" thickBot="1" x14ac:dyDescent="0.3">
      <c r="A452" t="s">
        <v>277</v>
      </c>
      <c r="B452" t="s">
        <v>147</v>
      </c>
      <c r="C452" t="s">
        <v>12</v>
      </c>
      <c r="D452" t="s">
        <v>107</v>
      </c>
      <c r="E452" s="202">
        <v>879376</v>
      </c>
      <c r="F452" s="202">
        <v>1481898</v>
      </c>
      <c r="G452" s="203">
        <v>59.34</v>
      </c>
      <c r="H452">
        <v>974150</v>
      </c>
      <c r="I452">
        <v>1679569</v>
      </c>
      <c r="J452">
        <v>58</v>
      </c>
    </row>
    <row r="453" spans="1:10" ht="13" thickBot="1" x14ac:dyDescent="0.3">
      <c r="A453" t="s">
        <v>255</v>
      </c>
      <c r="B453" t="s">
        <v>148</v>
      </c>
      <c r="C453" t="s">
        <v>12</v>
      </c>
      <c r="D453" t="s">
        <v>107</v>
      </c>
      <c r="E453" s="202">
        <v>136258</v>
      </c>
      <c r="F453" s="202">
        <v>153498</v>
      </c>
      <c r="G453" s="203">
        <v>88.77</v>
      </c>
      <c r="H453">
        <v>35217</v>
      </c>
      <c r="I453">
        <v>40409</v>
      </c>
      <c r="J453">
        <v>87.15</v>
      </c>
    </row>
    <row r="454" spans="1:10" ht="13" thickBot="1" x14ac:dyDescent="0.3">
      <c r="A454" t="s">
        <v>256</v>
      </c>
      <c r="B454" t="s">
        <v>148</v>
      </c>
      <c r="C454" t="s">
        <v>12</v>
      </c>
      <c r="D454" t="s">
        <v>107</v>
      </c>
      <c r="E454" s="202">
        <v>244829</v>
      </c>
      <c r="F454" s="202">
        <v>270535</v>
      </c>
      <c r="G454" s="203">
        <v>90.5</v>
      </c>
      <c r="H454">
        <v>0</v>
      </c>
      <c r="I454">
        <v>0</v>
      </c>
      <c r="J454">
        <v>0</v>
      </c>
    </row>
    <row r="455" spans="1:10" ht="13" thickBot="1" x14ac:dyDescent="0.3">
      <c r="A455" t="s">
        <v>257</v>
      </c>
      <c r="B455" t="s">
        <v>148</v>
      </c>
      <c r="C455" t="s">
        <v>12</v>
      </c>
      <c r="D455" t="s">
        <v>107</v>
      </c>
      <c r="E455" s="202">
        <v>393022</v>
      </c>
      <c r="F455" s="202">
        <v>452562</v>
      </c>
      <c r="G455" s="203">
        <v>86.84</v>
      </c>
      <c r="H455">
        <v>147676</v>
      </c>
      <c r="I455">
        <v>169820</v>
      </c>
      <c r="J455">
        <v>86.96</v>
      </c>
    </row>
    <row r="456" spans="1:10" ht="13" thickBot="1" x14ac:dyDescent="0.3">
      <c r="A456" t="s">
        <v>258</v>
      </c>
      <c r="B456" t="s">
        <v>148</v>
      </c>
      <c r="C456" t="s">
        <v>12</v>
      </c>
      <c r="D456" t="s">
        <v>107</v>
      </c>
      <c r="E456" s="202">
        <v>70747</v>
      </c>
      <c r="F456" s="202">
        <v>74798</v>
      </c>
      <c r="G456" s="203">
        <v>94.58</v>
      </c>
      <c r="H456">
        <v>158243</v>
      </c>
      <c r="I456">
        <v>165699</v>
      </c>
      <c r="J456">
        <v>95.5</v>
      </c>
    </row>
    <row r="457" spans="1:10" ht="13" thickBot="1" x14ac:dyDescent="0.3">
      <c r="A457" t="s">
        <v>259</v>
      </c>
      <c r="B457" t="s">
        <v>149</v>
      </c>
      <c r="C457" t="s">
        <v>12</v>
      </c>
      <c r="D457" t="s">
        <v>107</v>
      </c>
      <c r="E457" s="202">
        <v>357815</v>
      </c>
      <c r="F457" s="202">
        <v>623723</v>
      </c>
      <c r="G457" s="203">
        <v>57.37</v>
      </c>
      <c r="H457">
        <v>442368</v>
      </c>
      <c r="I457">
        <v>728658</v>
      </c>
      <c r="J457">
        <v>60.71</v>
      </c>
    </row>
    <row r="458" spans="1:10" ht="13" thickBot="1" x14ac:dyDescent="0.3">
      <c r="A458" t="s">
        <v>260</v>
      </c>
      <c r="B458" t="s">
        <v>149</v>
      </c>
      <c r="C458" t="s">
        <v>12</v>
      </c>
      <c r="D458" t="s">
        <v>107</v>
      </c>
      <c r="E458" s="202">
        <v>23482</v>
      </c>
      <c r="F458" s="202">
        <v>24804</v>
      </c>
      <c r="G458" s="203">
        <v>94.67</v>
      </c>
      <c r="H458">
        <v>0</v>
      </c>
      <c r="I458">
        <v>0</v>
      </c>
      <c r="J458">
        <v>0</v>
      </c>
    </row>
    <row r="459" spans="1:10" ht="13" thickBot="1" x14ac:dyDescent="0.3">
      <c r="A459" t="s">
        <v>261</v>
      </c>
      <c r="B459" t="s">
        <v>149</v>
      </c>
      <c r="C459" t="s">
        <v>12</v>
      </c>
      <c r="D459" t="s">
        <v>107</v>
      </c>
      <c r="E459" s="202">
        <v>34328</v>
      </c>
      <c r="F459" s="202">
        <v>38586</v>
      </c>
      <c r="G459" s="203">
        <v>88.96</v>
      </c>
      <c r="H459">
        <v>147676</v>
      </c>
      <c r="I459">
        <v>169820</v>
      </c>
      <c r="J459">
        <v>86.96</v>
      </c>
    </row>
    <row r="460" spans="1:10" ht="13" thickBot="1" x14ac:dyDescent="0.3">
      <c r="A460" t="s">
        <v>262</v>
      </c>
      <c r="B460" t="s">
        <v>149</v>
      </c>
      <c r="C460" t="s">
        <v>12</v>
      </c>
      <c r="D460" t="s">
        <v>107</v>
      </c>
      <c r="E460" s="202">
        <v>28231</v>
      </c>
      <c r="F460" s="202">
        <v>30885</v>
      </c>
      <c r="G460" s="203">
        <v>91.41</v>
      </c>
      <c r="H460">
        <v>161037</v>
      </c>
      <c r="I460">
        <v>178296</v>
      </c>
      <c r="J460">
        <v>90.32</v>
      </c>
    </row>
    <row r="461" spans="1:10" ht="13" thickBot="1" x14ac:dyDescent="0.3">
      <c r="A461" t="s">
        <v>263</v>
      </c>
      <c r="B461" t="s">
        <v>149</v>
      </c>
      <c r="C461" t="s">
        <v>12</v>
      </c>
      <c r="D461" t="s">
        <v>107</v>
      </c>
      <c r="E461" s="202">
        <v>93281</v>
      </c>
      <c r="F461" s="202">
        <v>136698</v>
      </c>
      <c r="G461" s="203">
        <v>68.239999999999995</v>
      </c>
      <c r="H461">
        <v>0</v>
      </c>
      <c r="I461">
        <v>0</v>
      </c>
      <c r="J461">
        <v>0</v>
      </c>
    </row>
    <row r="462" spans="1:10" ht="13" thickBot="1" x14ac:dyDescent="0.3">
      <c r="A462" t="s">
        <v>264</v>
      </c>
      <c r="B462" t="s">
        <v>150</v>
      </c>
      <c r="C462" t="s">
        <v>12</v>
      </c>
      <c r="D462" t="s">
        <v>107</v>
      </c>
      <c r="E462" s="202">
        <v>417457</v>
      </c>
      <c r="F462" s="202">
        <v>726271</v>
      </c>
      <c r="G462" s="203">
        <v>57.48</v>
      </c>
      <c r="H462">
        <v>461407</v>
      </c>
      <c r="I462">
        <v>788729</v>
      </c>
      <c r="J462">
        <v>58.5</v>
      </c>
    </row>
    <row r="463" spans="1:10" ht="13" thickBot="1" x14ac:dyDescent="0.3">
      <c r="A463" t="s">
        <v>265</v>
      </c>
      <c r="B463" t="s">
        <v>150</v>
      </c>
      <c r="C463" t="s">
        <v>12</v>
      </c>
      <c r="D463" t="s">
        <v>107</v>
      </c>
      <c r="E463" s="202">
        <v>96496</v>
      </c>
      <c r="F463" s="202">
        <v>112957</v>
      </c>
      <c r="G463" s="203">
        <v>85.43</v>
      </c>
      <c r="H463">
        <v>141678</v>
      </c>
      <c r="I463">
        <v>165705</v>
      </c>
      <c r="J463">
        <v>85.5</v>
      </c>
    </row>
    <row r="464" spans="1:10" ht="13" thickBot="1" x14ac:dyDescent="0.3">
      <c r="A464" t="s">
        <v>245</v>
      </c>
      <c r="B464" t="s">
        <v>145</v>
      </c>
      <c r="C464" t="s">
        <v>13</v>
      </c>
      <c r="D464" t="s">
        <v>107</v>
      </c>
      <c r="E464" s="202">
        <v>58354</v>
      </c>
      <c r="F464" s="202">
        <v>63706</v>
      </c>
      <c r="G464" s="203">
        <v>91.6</v>
      </c>
      <c r="H464">
        <v>64874</v>
      </c>
      <c r="I464">
        <v>76323</v>
      </c>
      <c r="J464">
        <v>85</v>
      </c>
    </row>
    <row r="465" spans="1:10" ht="13" thickBot="1" x14ac:dyDescent="0.3">
      <c r="A465" t="s">
        <v>246</v>
      </c>
      <c r="B465" t="s">
        <v>145</v>
      </c>
      <c r="C465" t="s">
        <v>13</v>
      </c>
      <c r="D465" t="s">
        <v>107</v>
      </c>
      <c r="E465" s="202">
        <v>159581</v>
      </c>
      <c r="F465" s="202">
        <v>168826</v>
      </c>
      <c r="G465" s="203">
        <v>94.52</v>
      </c>
      <c r="H465">
        <v>177932</v>
      </c>
      <c r="I465">
        <v>186317</v>
      </c>
      <c r="J465">
        <v>95.5</v>
      </c>
    </row>
    <row r="466" spans="1:10" ht="13" thickBot="1" x14ac:dyDescent="0.3">
      <c r="A466" t="s">
        <v>247</v>
      </c>
      <c r="B466" t="s">
        <v>145</v>
      </c>
      <c r="C466" t="s">
        <v>13</v>
      </c>
      <c r="D466" t="s">
        <v>107</v>
      </c>
      <c r="E466" s="202">
        <v>262427</v>
      </c>
      <c r="F466" s="202">
        <v>299612</v>
      </c>
      <c r="G466" s="203">
        <v>87.59</v>
      </c>
      <c r="H466">
        <v>461429</v>
      </c>
      <c r="I466">
        <v>521978</v>
      </c>
      <c r="J466">
        <v>88.4</v>
      </c>
    </row>
    <row r="467" spans="1:10" ht="13" thickBot="1" x14ac:dyDescent="0.3">
      <c r="A467" t="s">
        <v>248</v>
      </c>
      <c r="B467" t="s">
        <v>145</v>
      </c>
      <c r="C467" t="s">
        <v>13</v>
      </c>
      <c r="D467" t="s">
        <v>107</v>
      </c>
      <c r="E467" s="202">
        <v>760121</v>
      </c>
      <c r="F467" s="202">
        <v>867732</v>
      </c>
      <c r="G467" s="203">
        <v>87.6</v>
      </c>
      <c r="H467">
        <v>873246</v>
      </c>
      <c r="I467">
        <v>990075</v>
      </c>
      <c r="J467">
        <v>88.2</v>
      </c>
    </row>
    <row r="468" spans="1:10" ht="13" thickBot="1" x14ac:dyDescent="0.3">
      <c r="A468" t="s">
        <v>249</v>
      </c>
      <c r="B468" t="s">
        <v>145</v>
      </c>
      <c r="C468" t="s">
        <v>13</v>
      </c>
      <c r="D468" t="s">
        <v>107</v>
      </c>
      <c r="E468" s="202">
        <v>28584</v>
      </c>
      <c r="F468" s="202">
        <v>29719</v>
      </c>
      <c r="G468" s="203">
        <v>96.18</v>
      </c>
      <c r="H468">
        <v>22473</v>
      </c>
      <c r="I468">
        <v>23312</v>
      </c>
      <c r="J468">
        <v>96.4</v>
      </c>
    </row>
    <row r="469" spans="1:10" ht="13" thickBot="1" x14ac:dyDescent="0.3">
      <c r="A469" t="s">
        <v>250</v>
      </c>
      <c r="B469" t="s">
        <v>145</v>
      </c>
      <c r="C469" t="s">
        <v>13</v>
      </c>
      <c r="D469" t="s">
        <v>107</v>
      </c>
      <c r="E469" s="202">
        <v>40113</v>
      </c>
      <c r="F469" s="202">
        <v>43142</v>
      </c>
      <c r="G469" s="203">
        <v>92.98</v>
      </c>
      <c r="H469">
        <v>19068</v>
      </c>
      <c r="I469">
        <v>20328</v>
      </c>
      <c r="J469">
        <v>93.8</v>
      </c>
    </row>
    <row r="470" spans="1:10" ht="13" thickBot="1" x14ac:dyDescent="0.3">
      <c r="A470" t="s">
        <v>251</v>
      </c>
      <c r="B470" t="s">
        <v>145</v>
      </c>
      <c r="C470" t="s">
        <v>13</v>
      </c>
      <c r="D470" t="s">
        <v>107</v>
      </c>
      <c r="E470" s="202">
        <v>173274</v>
      </c>
      <c r="F470" s="202">
        <v>240355</v>
      </c>
      <c r="G470" s="203">
        <v>72.09</v>
      </c>
      <c r="H470">
        <v>101913</v>
      </c>
      <c r="I470">
        <v>145589</v>
      </c>
      <c r="J470">
        <v>70</v>
      </c>
    </row>
    <row r="471" spans="1:10" ht="13" thickBot="1" x14ac:dyDescent="0.3">
      <c r="A471" t="s">
        <v>252</v>
      </c>
      <c r="B471" t="s">
        <v>146</v>
      </c>
      <c r="C471" t="s">
        <v>13</v>
      </c>
      <c r="D471" t="s">
        <v>107</v>
      </c>
      <c r="E471" s="202">
        <v>1109836</v>
      </c>
      <c r="F471" s="202">
        <v>1899395</v>
      </c>
      <c r="G471" s="203">
        <v>58.43</v>
      </c>
      <c r="H471">
        <v>1280683</v>
      </c>
      <c r="I471">
        <v>2208074</v>
      </c>
      <c r="J471">
        <v>58</v>
      </c>
    </row>
    <row r="472" spans="1:10" ht="13" thickBot="1" x14ac:dyDescent="0.3">
      <c r="A472" t="s">
        <v>253</v>
      </c>
      <c r="B472" t="s">
        <v>146</v>
      </c>
      <c r="C472" t="s">
        <v>13</v>
      </c>
      <c r="D472" t="s">
        <v>107</v>
      </c>
      <c r="E472" s="202">
        <v>184086</v>
      </c>
      <c r="F472" s="202">
        <v>204228</v>
      </c>
      <c r="G472" s="203">
        <v>90.14</v>
      </c>
      <c r="H472">
        <v>15852</v>
      </c>
      <c r="I472">
        <v>17397</v>
      </c>
      <c r="J472">
        <v>91.12</v>
      </c>
    </row>
    <row r="473" spans="1:10" ht="13" thickBot="1" x14ac:dyDescent="0.3">
      <c r="A473" t="s">
        <v>254</v>
      </c>
      <c r="B473" t="s">
        <v>146</v>
      </c>
      <c r="C473" t="s">
        <v>13</v>
      </c>
      <c r="D473" t="s">
        <v>107</v>
      </c>
      <c r="E473" s="203">
        <v>0</v>
      </c>
      <c r="F473" s="203">
        <v>0</v>
      </c>
      <c r="G473" s="203">
        <v>0</v>
      </c>
      <c r="H473">
        <v>0</v>
      </c>
      <c r="I473">
        <v>0</v>
      </c>
      <c r="J473">
        <v>0</v>
      </c>
    </row>
    <row r="474" spans="1:10" ht="13" thickBot="1" x14ac:dyDescent="0.3">
      <c r="A474" t="s">
        <v>277</v>
      </c>
      <c r="B474" t="s">
        <v>147</v>
      </c>
      <c r="C474" t="s">
        <v>13</v>
      </c>
      <c r="D474" t="s">
        <v>107</v>
      </c>
      <c r="E474" s="202">
        <v>1026877</v>
      </c>
      <c r="F474" s="202">
        <v>1736210</v>
      </c>
      <c r="G474" s="203">
        <v>59.14</v>
      </c>
      <c r="H474">
        <v>1114817</v>
      </c>
      <c r="I474">
        <v>1922098</v>
      </c>
      <c r="J474">
        <v>58</v>
      </c>
    </row>
    <row r="475" spans="1:10" ht="13" thickBot="1" x14ac:dyDescent="0.3">
      <c r="A475" t="s">
        <v>255</v>
      </c>
      <c r="B475" t="s">
        <v>148</v>
      </c>
      <c r="C475" t="s">
        <v>13</v>
      </c>
      <c r="D475" t="s">
        <v>107</v>
      </c>
      <c r="E475" s="202">
        <v>151668</v>
      </c>
      <c r="F475" s="202">
        <v>176031</v>
      </c>
      <c r="G475" s="203">
        <v>86.16</v>
      </c>
      <c r="H475">
        <v>51364</v>
      </c>
      <c r="I475">
        <v>64086</v>
      </c>
      <c r="J475">
        <v>80.150000000000006</v>
      </c>
    </row>
    <row r="476" spans="1:10" ht="13" thickBot="1" x14ac:dyDescent="0.3">
      <c r="A476" t="s">
        <v>256</v>
      </c>
      <c r="B476" t="s">
        <v>148</v>
      </c>
      <c r="C476" t="s">
        <v>13</v>
      </c>
      <c r="D476" t="s">
        <v>107</v>
      </c>
      <c r="E476" s="202">
        <v>244829</v>
      </c>
      <c r="F476" s="202">
        <v>270535</v>
      </c>
      <c r="G476" s="203">
        <v>90.5</v>
      </c>
      <c r="H476">
        <v>0</v>
      </c>
      <c r="I476">
        <v>0</v>
      </c>
      <c r="J476">
        <v>0</v>
      </c>
    </row>
    <row r="477" spans="1:10" ht="13" thickBot="1" x14ac:dyDescent="0.3">
      <c r="A477" t="s">
        <v>257</v>
      </c>
      <c r="B477" t="s">
        <v>148</v>
      </c>
      <c r="C477" t="s">
        <v>13</v>
      </c>
      <c r="D477" t="s">
        <v>107</v>
      </c>
      <c r="E477" s="202">
        <v>423857</v>
      </c>
      <c r="F477" s="202">
        <v>488021</v>
      </c>
      <c r="G477" s="203">
        <v>86.85</v>
      </c>
      <c r="H477">
        <v>178511</v>
      </c>
      <c r="I477">
        <v>205279</v>
      </c>
      <c r="J477">
        <v>86.96</v>
      </c>
    </row>
    <row r="478" spans="1:10" ht="13" thickBot="1" x14ac:dyDescent="0.3">
      <c r="A478" t="s">
        <v>258</v>
      </c>
      <c r="B478" t="s">
        <v>148</v>
      </c>
      <c r="C478" t="s">
        <v>13</v>
      </c>
      <c r="D478" t="s">
        <v>107</v>
      </c>
      <c r="E478" s="202">
        <v>103018</v>
      </c>
      <c r="F478" s="202">
        <v>108590</v>
      </c>
      <c r="G478" s="203">
        <v>94.87</v>
      </c>
      <c r="H478">
        <v>190514</v>
      </c>
      <c r="I478">
        <v>199491</v>
      </c>
      <c r="J478">
        <v>95.5</v>
      </c>
    </row>
    <row r="479" spans="1:10" ht="13" thickBot="1" x14ac:dyDescent="0.3">
      <c r="A479" t="s">
        <v>259</v>
      </c>
      <c r="B479" t="s">
        <v>149</v>
      </c>
      <c r="C479" t="s">
        <v>13</v>
      </c>
      <c r="D479" t="s">
        <v>107</v>
      </c>
      <c r="E479" s="202">
        <v>414746</v>
      </c>
      <c r="F479" s="202">
        <v>716137</v>
      </c>
      <c r="G479" s="203">
        <v>57.91</v>
      </c>
      <c r="H479">
        <v>492869</v>
      </c>
      <c r="I479">
        <v>809861</v>
      </c>
      <c r="J479">
        <v>60.86</v>
      </c>
    </row>
    <row r="480" spans="1:10" ht="13" thickBot="1" x14ac:dyDescent="0.3">
      <c r="A480" t="s">
        <v>260</v>
      </c>
      <c r="B480" t="s">
        <v>149</v>
      </c>
      <c r="C480" t="s">
        <v>13</v>
      </c>
      <c r="D480" t="s">
        <v>107</v>
      </c>
      <c r="E480" s="202">
        <v>23482</v>
      </c>
      <c r="F480" s="202">
        <v>24804</v>
      </c>
      <c r="G480" s="203">
        <v>94.67</v>
      </c>
      <c r="H480">
        <v>0</v>
      </c>
      <c r="I480">
        <v>0</v>
      </c>
      <c r="J480">
        <v>0</v>
      </c>
    </row>
    <row r="481" spans="1:10" ht="13" thickBot="1" x14ac:dyDescent="0.3">
      <c r="A481" t="s">
        <v>261</v>
      </c>
      <c r="B481" t="s">
        <v>149</v>
      </c>
      <c r="C481" t="s">
        <v>13</v>
      </c>
      <c r="D481" t="s">
        <v>107</v>
      </c>
      <c r="E481" s="202">
        <v>56408</v>
      </c>
      <c r="F481" s="202">
        <v>63977</v>
      </c>
      <c r="G481" s="203">
        <v>88.17</v>
      </c>
      <c r="H481">
        <v>178511</v>
      </c>
      <c r="I481">
        <v>205279</v>
      </c>
      <c r="J481">
        <v>86.96</v>
      </c>
    </row>
    <row r="482" spans="1:10" ht="13" thickBot="1" x14ac:dyDescent="0.3">
      <c r="A482" t="s">
        <v>262</v>
      </c>
      <c r="B482" t="s">
        <v>149</v>
      </c>
      <c r="C482" t="s">
        <v>13</v>
      </c>
      <c r="D482" t="s">
        <v>107</v>
      </c>
      <c r="E482" s="202">
        <v>55154</v>
      </c>
      <c r="F482" s="202">
        <v>60693</v>
      </c>
      <c r="G482" s="203">
        <v>90.87</v>
      </c>
      <c r="H482">
        <v>187959</v>
      </c>
      <c r="I482">
        <v>208104</v>
      </c>
      <c r="J482">
        <v>90.32</v>
      </c>
    </row>
    <row r="483" spans="1:10" ht="13" thickBot="1" x14ac:dyDescent="0.3">
      <c r="A483" t="s">
        <v>263</v>
      </c>
      <c r="B483" t="s">
        <v>149</v>
      </c>
      <c r="C483" t="s">
        <v>13</v>
      </c>
      <c r="D483" t="s">
        <v>107</v>
      </c>
      <c r="E483" s="202">
        <v>93281</v>
      </c>
      <c r="F483" s="202">
        <v>136698</v>
      </c>
      <c r="G483" s="203">
        <v>68.239999999999995</v>
      </c>
      <c r="H483">
        <v>0</v>
      </c>
      <c r="I483">
        <v>0</v>
      </c>
      <c r="J483">
        <v>0</v>
      </c>
    </row>
    <row r="484" spans="1:10" ht="13" thickBot="1" x14ac:dyDescent="0.3">
      <c r="A484" t="s">
        <v>264</v>
      </c>
      <c r="B484" t="s">
        <v>150</v>
      </c>
      <c r="C484" t="s">
        <v>13</v>
      </c>
      <c r="D484" t="s">
        <v>107</v>
      </c>
      <c r="E484" s="202">
        <v>480383</v>
      </c>
      <c r="F484" s="202">
        <v>833836</v>
      </c>
      <c r="G484" s="203">
        <v>57.61</v>
      </c>
      <c r="H484">
        <v>526486</v>
      </c>
      <c r="I484">
        <v>899976</v>
      </c>
      <c r="J484">
        <v>58.5</v>
      </c>
    </row>
    <row r="485" spans="1:10" ht="13" thickBot="1" x14ac:dyDescent="0.3">
      <c r="A485" t="s">
        <v>265</v>
      </c>
      <c r="B485" t="s">
        <v>150</v>
      </c>
      <c r="C485" t="s">
        <v>13</v>
      </c>
      <c r="D485" t="s">
        <v>107</v>
      </c>
      <c r="E485" s="202">
        <v>122239</v>
      </c>
      <c r="F485" s="202">
        <v>143066</v>
      </c>
      <c r="G485" s="203">
        <v>85.44</v>
      </c>
      <c r="H485">
        <v>162547</v>
      </c>
      <c r="I485">
        <v>190113</v>
      </c>
      <c r="J485">
        <v>85.5</v>
      </c>
    </row>
    <row r="486" spans="1:10" ht="13" thickBot="1" x14ac:dyDescent="0.3">
      <c r="A486" t="s">
        <v>245</v>
      </c>
      <c r="B486" t="s">
        <v>145</v>
      </c>
      <c r="C486" t="s">
        <v>14</v>
      </c>
      <c r="D486" t="s">
        <v>107</v>
      </c>
      <c r="E486" s="202">
        <v>58354</v>
      </c>
      <c r="F486" s="202">
        <v>63706</v>
      </c>
      <c r="G486" s="203">
        <v>91.6</v>
      </c>
      <c r="H486">
        <v>72411</v>
      </c>
      <c r="I486">
        <v>85190</v>
      </c>
      <c r="J486">
        <v>85</v>
      </c>
    </row>
    <row r="487" spans="1:10" ht="13" thickBot="1" x14ac:dyDescent="0.3">
      <c r="A487" t="s">
        <v>246</v>
      </c>
      <c r="B487" t="s">
        <v>145</v>
      </c>
      <c r="C487" t="s">
        <v>14</v>
      </c>
      <c r="D487" t="s">
        <v>107</v>
      </c>
      <c r="E487" s="202">
        <v>178681</v>
      </c>
      <c r="F487" s="202">
        <v>188826</v>
      </c>
      <c r="G487" s="203">
        <v>94.63</v>
      </c>
      <c r="H487">
        <v>200630</v>
      </c>
      <c r="I487">
        <v>210084</v>
      </c>
      <c r="J487">
        <v>95.5</v>
      </c>
    </row>
    <row r="488" spans="1:10" ht="13" thickBot="1" x14ac:dyDescent="0.3">
      <c r="A488" t="s">
        <v>247</v>
      </c>
      <c r="B488" t="s">
        <v>145</v>
      </c>
      <c r="C488" t="s">
        <v>14</v>
      </c>
      <c r="D488" t="s">
        <v>107</v>
      </c>
      <c r="E488" s="202">
        <v>300527</v>
      </c>
      <c r="F488" s="202">
        <v>342712</v>
      </c>
      <c r="G488" s="203">
        <v>87.69</v>
      </c>
      <c r="H488">
        <v>511648</v>
      </c>
      <c r="I488">
        <v>578787</v>
      </c>
      <c r="J488">
        <v>88.4</v>
      </c>
    </row>
    <row r="489" spans="1:10" ht="13" thickBot="1" x14ac:dyDescent="0.3">
      <c r="A489" t="s">
        <v>248</v>
      </c>
      <c r="B489" t="s">
        <v>145</v>
      </c>
      <c r="C489" t="s">
        <v>14</v>
      </c>
      <c r="D489" t="s">
        <v>107</v>
      </c>
      <c r="E489" s="202">
        <v>827153</v>
      </c>
      <c r="F489" s="202">
        <v>943732</v>
      </c>
      <c r="G489" s="203">
        <v>87.65</v>
      </c>
      <c r="H489">
        <v>961545</v>
      </c>
      <c r="I489">
        <v>1090187</v>
      </c>
      <c r="J489">
        <v>88.2</v>
      </c>
    </row>
    <row r="490" spans="1:10" ht="13" thickBot="1" x14ac:dyDescent="0.3">
      <c r="A490" t="s">
        <v>249</v>
      </c>
      <c r="B490" t="s">
        <v>145</v>
      </c>
      <c r="C490" t="s">
        <v>14</v>
      </c>
      <c r="D490" t="s">
        <v>107</v>
      </c>
      <c r="E490" s="202">
        <v>34368</v>
      </c>
      <c r="F490" s="202">
        <v>35719</v>
      </c>
      <c r="G490" s="203">
        <v>96.22</v>
      </c>
      <c r="H490">
        <v>25340</v>
      </c>
      <c r="I490">
        <v>26286</v>
      </c>
      <c r="J490">
        <v>96.4</v>
      </c>
    </row>
    <row r="491" spans="1:10" ht="13" thickBot="1" x14ac:dyDescent="0.3">
      <c r="A491" t="s">
        <v>250</v>
      </c>
      <c r="B491" t="s">
        <v>145</v>
      </c>
      <c r="C491" t="s">
        <v>14</v>
      </c>
      <c r="D491" t="s">
        <v>107</v>
      </c>
      <c r="E491" s="202">
        <v>47617</v>
      </c>
      <c r="F491" s="202">
        <v>51142</v>
      </c>
      <c r="G491" s="203">
        <v>93.11</v>
      </c>
      <c r="H491">
        <v>20306</v>
      </c>
      <c r="I491">
        <v>21648</v>
      </c>
      <c r="J491">
        <v>93.8</v>
      </c>
    </row>
    <row r="492" spans="1:10" ht="13" thickBot="1" x14ac:dyDescent="0.3">
      <c r="A492" t="s">
        <v>251</v>
      </c>
      <c r="B492" t="s">
        <v>145</v>
      </c>
      <c r="C492" t="s">
        <v>14</v>
      </c>
      <c r="D492" t="s">
        <v>107</v>
      </c>
      <c r="E492" s="202">
        <v>212474</v>
      </c>
      <c r="F492" s="202">
        <v>296355</v>
      </c>
      <c r="G492" s="203">
        <v>71.7</v>
      </c>
      <c r="H492">
        <v>115696</v>
      </c>
      <c r="I492">
        <v>165280</v>
      </c>
      <c r="J492">
        <v>70</v>
      </c>
    </row>
    <row r="493" spans="1:10" ht="13" thickBot="1" x14ac:dyDescent="0.3">
      <c r="A493" t="s">
        <v>252</v>
      </c>
      <c r="B493" t="s">
        <v>146</v>
      </c>
      <c r="C493" t="s">
        <v>14</v>
      </c>
      <c r="D493" t="s">
        <v>107</v>
      </c>
      <c r="E493" s="202">
        <v>1247035</v>
      </c>
      <c r="F493" s="202">
        <v>2135945</v>
      </c>
      <c r="G493" s="203">
        <v>58.38</v>
      </c>
      <c r="H493">
        <v>1417222</v>
      </c>
      <c r="I493">
        <v>2443486</v>
      </c>
      <c r="J493">
        <v>58</v>
      </c>
    </row>
    <row r="494" spans="1:10" ht="13" thickBot="1" x14ac:dyDescent="0.3">
      <c r="A494" t="s">
        <v>253</v>
      </c>
      <c r="B494" t="s">
        <v>146</v>
      </c>
      <c r="C494" t="s">
        <v>14</v>
      </c>
      <c r="D494" t="s">
        <v>107</v>
      </c>
      <c r="E494" s="202">
        <v>184086</v>
      </c>
      <c r="F494" s="202">
        <v>204228</v>
      </c>
      <c r="G494" s="203">
        <v>90.14</v>
      </c>
      <c r="H494">
        <v>31340</v>
      </c>
      <c r="I494">
        <v>34395</v>
      </c>
      <c r="J494">
        <v>91.12</v>
      </c>
    </row>
    <row r="495" spans="1:10" ht="13" thickBot="1" x14ac:dyDescent="0.3">
      <c r="A495" t="s">
        <v>254</v>
      </c>
      <c r="B495" t="s">
        <v>146</v>
      </c>
      <c r="C495" t="s">
        <v>14</v>
      </c>
      <c r="D495" t="s">
        <v>107</v>
      </c>
      <c r="E495" s="203">
        <v>0</v>
      </c>
      <c r="F495" s="203">
        <v>0</v>
      </c>
      <c r="G495" s="203">
        <v>0</v>
      </c>
      <c r="H495">
        <v>0</v>
      </c>
      <c r="I495">
        <v>0</v>
      </c>
      <c r="J495">
        <v>0</v>
      </c>
    </row>
    <row r="496" spans="1:10" ht="13" thickBot="1" x14ac:dyDescent="0.3">
      <c r="A496" t="s">
        <v>277</v>
      </c>
      <c r="B496" t="s">
        <v>147</v>
      </c>
      <c r="C496" t="s">
        <v>14</v>
      </c>
      <c r="D496" t="s">
        <v>107</v>
      </c>
      <c r="E496" s="202">
        <v>1159894</v>
      </c>
      <c r="F496" s="202">
        <v>1965551</v>
      </c>
      <c r="G496" s="203">
        <v>59.01</v>
      </c>
      <c r="H496">
        <v>1245341</v>
      </c>
      <c r="I496">
        <v>2147139</v>
      </c>
      <c r="J496">
        <v>58</v>
      </c>
    </row>
    <row r="497" spans="1:10" ht="13" thickBot="1" x14ac:dyDescent="0.3">
      <c r="A497" t="s">
        <v>255</v>
      </c>
      <c r="B497" t="s">
        <v>148</v>
      </c>
      <c r="C497" t="s">
        <v>14</v>
      </c>
      <c r="D497" t="s">
        <v>107</v>
      </c>
      <c r="E497" s="202">
        <v>183520</v>
      </c>
      <c r="F497" s="202">
        <v>228773</v>
      </c>
      <c r="G497" s="203">
        <v>80.22</v>
      </c>
      <c r="H497">
        <v>57463</v>
      </c>
      <c r="I497">
        <v>70603</v>
      </c>
      <c r="J497">
        <v>81.39</v>
      </c>
    </row>
    <row r="498" spans="1:10" ht="13" thickBot="1" x14ac:dyDescent="0.3">
      <c r="A498" t="s">
        <v>256</v>
      </c>
      <c r="B498" t="s">
        <v>148</v>
      </c>
      <c r="C498" t="s">
        <v>14</v>
      </c>
      <c r="D498" t="s">
        <v>107</v>
      </c>
      <c r="E498" s="202">
        <v>244829</v>
      </c>
      <c r="F498" s="202">
        <v>270535</v>
      </c>
      <c r="G498" s="203">
        <v>90.5</v>
      </c>
      <c r="H498">
        <v>0</v>
      </c>
      <c r="I498">
        <v>0</v>
      </c>
      <c r="J498">
        <v>0</v>
      </c>
    </row>
    <row r="499" spans="1:10" ht="13" thickBot="1" x14ac:dyDescent="0.3">
      <c r="A499" t="s">
        <v>257</v>
      </c>
      <c r="B499" t="s">
        <v>148</v>
      </c>
      <c r="C499" t="s">
        <v>14</v>
      </c>
      <c r="D499" t="s">
        <v>107</v>
      </c>
      <c r="E499" s="202">
        <v>449123</v>
      </c>
      <c r="F499" s="202">
        <v>517075</v>
      </c>
      <c r="G499" s="203">
        <v>86.86</v>
      </c>
      <c r="H499">
        <v>203776</v>
      </c>
      <c r="I499">
        <v>234334</v>
      </c>
      <c r="J499">
        <v>86.96</v>
      </c>
    </row>
    <row r="500" spans="1:10" ht="13" thickBot="1" x14ac:dyDescent="0.3">
      <c r="A500" t="s">
        <v>258</v>
      </c>
      <c r="B500" t="s">
        <v>148</v>
      </c>
      <c r="C500" t="s">
        <v>14</v>
      </c>
      <c r="D500" t="s">
        <v>107</v>
      </c>
      <c r="E500" s="202">
        <v>135258</v>
      </c>
      <c r="F500" s="202">
        <v>142349</v>
      </c>
      <c r="G500" s="203">
        <v>95.02</v>
      </c>
      <c r="H500">
        <v>222754</v>
      </c>
      <c r="I500">
        <v>233250</v>
      </c>
      <c r="J500">
        <v>95.5</v>
      </c>
    </row>
    <row r="501" spans="1:10" ht="13" thickBot="1" x14ac:dyDescent="0.3">
      <c r="A501" t="s">
        <v>259</v>
      </c>
      <c r="B501" t="s">
        <v>149</v>
      </c>
      <c r="C501" t="s">
        <v>14</v>
      </c>
      <c r="D501" t="s">
        <v>107</v>
      </c>
      <c r="E501" s="202">
        <v>449100</v>
      </c>
      <c r="F501" s="202">
        <v>770516</v>
      </c>
      <c r="G501" s="203">
        <v>58.29</v>
      </c>
      <c r="H501">
        <v>548306</v>
      </c>
      <c r="I501">
        <v>900464</v>
      </c>
      <c r="J501">
        <v>60.89</v>
      </c>
    </row>
    <row r="502" spans="1:10" ht="13" thickBot="1" x14ac:dyDescent="0.3">
      <c r="A502" t="s">
        <v>260</v>
      </c>
      <c r="B502" t="s">
        <v>149</v>
      </c>
      <c r="C502" t="s">
        <v>14</v>
      </c>
      <c r="D502" t="s">
        <v>107</v>
      </c>
      <c r="E502" s="202">
        <v>23482</v>
      </c>
      <c r="F502" s="202">
        <v>24804</v>
      </c>
      <c r="G502" s="203">
        <v>94.67</v>
      </c>
      <c r="H502">
        <v>0</v>
      </c>
      <c r="I502">
        <v>0</v>
      </c>
      <c r="J502">
        <v>0</v>
      </c>
    </row>
    <row r="503" spans="1:10" ht="13" thickBot="1" x14ac:dyDescent="0.3">
      <c r="A503" t="s">
        <v>261</v>
      </c>
      <c r="B503" t="s">
        <v>149</v>
      </c>
      <c r="C503" t="s">
        <v>14</v>
      </c>
      <c r="D503" t="s">
        <v>107</v>
      </c>
      <c r="E503" s="202">
        <v>72977</v>
      </c>
      <c r="F503" s="202">
        <v>83031</v>
      </c>
      <c r="G503" s="203">
        <v>87.89</v>
      </c>
      <c r="H503">
        <v>203776</v>
      </c>
      <c r="I503">
        <v>234334</v>
      </c>
      <c r="J503">
        <v>86.96</v>
      </c>
    </row>
    <row r="504" spans="1:10" ht="13" thickBot="1" x14ac:dyDescent="0.3">
      <c r="A504" t="s">
        <v>262</v>
      </c>
      <c r="B504" t="s">
        <v>149</v>
      </c>
      <c r="C504" t="s">
        <v>14</v>
      </c>
      <c r="D504" t="s">
        <v>107</v>
      </c>
      <c r="E504" s="202">
        <v>78119</v>
      </c>
      <c r="F504" s="202">
        <v>86120</v>
      </c>
      <c r="G504" s="203">
        <v>90.71</v>
      </c>
      <c r="H504">
        <v>210925</v>
      </c>
      <c r="I504">
        <v>233530</v>
      </c>
      <c r="J504">
        <v>90.32</v>
      </c>
    </row>
    <row r="505" spans="1:10" ht="13" thickBot="1" x14ac:dyDescent="0.3">
      <c r="A505" t="s">
        <v>263</v>
      </c>
      <c r="B505" t="s">
        <v>149</v>
      </c>
      <c r="C505" t="s">
        <v>14</v>
      </c>
      <c r="D505" t="s">
        <v>107</v>
      </c>
      <c r="E505" s="202">
        <v>93281</v>
      </c>
      <c r="F505" s="202">
        <v>136698</v>
      </c>
      <c r="G505" s="203">
        <v>68.239999999999995</v>
      </c>
      <c r="H505">
        <v>0</v>
      </c>
      <c r="I505">
        <v>0</v>
      </c>
      <c r="J505">
        <v>0</v>
      </c>
    </row>
    <row r="506" spans="1:10" ht="13" thickBot="1" x14ac:dyDescent="0.3">
      <c r="A506" t="s">
        <v>264</v>
      </c>
      <c r="B506" t="s">
        <v>150</v>
      </c>
      <c r="C506" t="s">
        <v>14</v>
      </c>
      <c r="D506" t="s">
        <v>107</v>
      </c>
      <c r="E506" s="202">
        <v>534209</v>
      </c>
      <c r="F506" s="202">
        <v>925846</v>
      </c>
      <c r="G506" s="203">
        <v>57.7</v>
      </c>
      <c r="H506">
        <v>585441</v>
      </c>
      <c r="I506">
        <v>1000754</v>
      </c>
      <c r="J506">
        <v>58.5</v>
      </c>
    </row>
    <row r="507" spans="1:10" ht="13" thickBot="1" x14ac:dyDescent="0.3">
      <c r="A507" t="s">
        <v>265</v>
      </c>
      <c r="B507" t="s">
        <v>150</v>
      </c>
      <c r="C507" t="s">
        <v>14</v>
      </c>
      <c r="D507" t="s">
        <v>107</v>
      </c>
      <c r="E507" s="202">
        <v>150647</v>
      </c>
      <c r="F507" s="202">
        <v>176292</v>
      </c>
      <c r="G507" s="203">
        <v>85.45</v>
      </c>
      <c r="H507">
        <v>183301</v>
      </c>
      <c r="I507">
        <v>214387</v>
      </c>
      <c r="J507">
        <v>85.5</v>
      </c>
    </row>
    <row r="508" spans="1:10" ht="13" thickBot="1" x14ac:dyDescent="0.3">
      <c r="A508" t="s">
        <v>245</v>
      </c>
      <c r="B508" t="s">
        <v>145</v>
      </c>
      <c r="C508" t="s">
        <v>15</v>
      </c>
      <c r="D508" t="s">
        <v>107</v>
      </c>
      <c r="E508" s="202">
        <v>58354</v>
      </c>
      <c r="F508" s="202">
        <v>63706</v>
      </c>
      <c r="G508" s="203">
        <v>91.6</v>
      </c>
      <c r="H508">
        <v>80387</v>
      </c>
      <c r="I508">
        <v>94573</v>
      </c>
      <c r="J508">
        <v>85</v>
      </c>
    </row>
    <row r="509" spans="1:10" ht="13" thickBot="1" x14ac:dyDescent="0.3">
      <c r="A509" t="s">
        <v>246</v>
      </c>
      <c r="B509" t="s">
        <v>145</v>
      </c>
      <c r="C509" t="s">
        <v>15</v>
      </c>
      <c r="D509" t="s">
        <v>107</v>
      </c>
      <c r="E509" s="202">
        <v>196826</v>
      </c>
      <c r="F509" s="202">
        <v>207826</v>
      </c>
      <c r="G509" s="203">
        <v>94.71</v>
      </c>
      <c r="H509">
        <v>222158</v>
      </c>
      <c r="I509">
        <v>232626</v>
      </c>
      <c r="J509">
        <v>95.5</v>
      </c>
    </row>
    <row r="510" spans="1:10" ht="13" thickBot="1" x14ac:dyDescent="0.3">
      <c r="A510" t="s">
        <v>247</v>
      </c>
      <c r="B510" t="s">
        <v>145</v>
      </c>
      <c r="C510" t="s">
        <v>15</v>
      </c>
      <c r="D510" t="s">
        <v>107</v>
      </c>
      <c r="E510" s="202">
        <v>345611</v>
      </c>
      <c r="F510" s="202">
        <v>393712</v>
      </c>
      <c r="G510" s="203">
        <v>87.78</v>
      </c>
      <c r="H510">
        <v>565752</v>
      </c>
      <c r="I510">
        <v>639991</v>
      </c>
      <c r="J510">
        <v>88.4</v>
      </c>
    </row>
    <row r="511" spans="1:10" ht="13" thickBot="1" x14ac:dyDescent="0.3">
      <c r="A511" t="s">
        <v>248</v>
      </c>
      <c r="B511" t="s">
        <v>145</v>
      </c>
      <c r="C511" t="s">
        <v>15</v>
      </c>
      <c r="D511" t="s">
        <v>107</v>
      </c>
      <c r="E511" s="202">
        <v>905210</v>
      </c>
      <c r="F511" s="202">
        <v>1032232</v>
      </c>
      <c r="G511" s="203">
        <v>87.69</v>
      </c>
      <c r="H511">
        <v>1059037</v>
      </c>
      <c r="I511">
        <v>1200722</v>
      </c>
      <c r="J511">
        <v>88.2</v>
      </c>
    </row>
    <row r="512" spans="1:10" ht="13" thickBot="1" x14ac:dyDescent="0.3">
      <c r="A512" t="s">
        <v>249</v>
      </c>
      <c r="B512" t="s">
        <v>145</v>
      </c>
      <c r="C512" t="s">
        <v>15</v>
      </c>
      <c r="D512" t="s">
        <v>107</v>
      </c>
      <c r="E512" s="202">
        <v>40152</v>
      </c>
      <c r="F512" s="202">
        <v>41719</v>
      </c>
      <c r="G512" s="203">
        <v>96.24</v>
      </c>
      <c r="H512">
        <v>28059</v>
      </c>
      <c r="I512">
        <v>29106</v>
      </c>
      <c r="J512">
        <v>96.4</v>
      </c>
    </row>
    <row r="513" spans="1:10" ht="13" thickBot="1" x14ac:dyDescent="0.3">
      <c r="A513" t="s">
        <v>250</v>
      </c>
      <c r="B513" t="s">
        <v>145</v>
      </c>
      <c r="C513" t="s">
        <v>15</v>
      </c>
      <c r="D513" t="s">
        <v>107</v>
      </c>
      <c r="E513" s="202">
        <v>64501</v>
      </c>
      <c r="F513" s="202">
        <v>69142</v>
      </c>
      <c r="G513" s="203">
        <v>93.29</v>
      </c>
      <c r="H513">
        <v>22892</v>
      </c>
      <c r="I513">
        <v>24406</v>
      </c>
      <c r="J513">
        <v>93.8</v>
      </c>
    </row>
    <row r="514" spans="1:10" ht="13" thickBot="1" x14ac:dyDescent="0.3">
      <c r="A514" t="s">
        <v>251</v>
      </c>
      <c r="B514" t="s">
        <v>145</v>
      </c>
      <c r="C514" t="s">
        <v>15</v>
      </c>
      <c r="D514" t="s">
        <v>107</v>
      </c>
      <c r="E514" s="202">
        <v>251674</v>
      </c>
      <c r="F514" s="202">
        <v>352355</v>
      </c>
      <c r="G514" s="203">
        <v>71.430000000000007</v>
      </c>
      <c r="H514">
        <v>128784</v>
      </c>
      <c r="I514">
        <v>183977</v>
      </c>
      <c r="J514">
        <v>70</v>
      </c>
    </row>
    <row r="515" spans="1:10" ht="13" thickBot="1" x14ac:dyDescent="0.3">
      <c r="A515" t="s">
        <v>252</v>
      </c>
      <c r="B515" t="s">
        <v>146</v>
      </c>
      <c r="C515" t="s">
        <v>15</v>
      </c>
      <c r="D515" t="s">
        <v>107</v>
      </c>
      <c r="E515" s="202">
        <v>1389722</v>
      </c>
      <c r="F515" s="202">
        <v>2381957</v>
      </c>
      <c r="G515" s="203">
        <v>58.34</v>
      </c>
      <c r="H515">
        <v>1555910</v>
      </c>
      <c r="I515">
        <v>2682603</v>
      </c>
      <c r="J515">
        <v>58</v>
      </c>
    </row>
    <row r="516" spans="1:10" ht="13" thickBot="1" x14ac:dyDescent="0.3">
      <c r="A516" t="s">
        <v>253</v>
      </c>
      <c r="B516" t="s">
        <v>146</v>
      </c>
      <c r="C516" t="s">
        <v>15</v>
      </c>
      <c r="D516" t="s">
        <v>107</v>
      </c>
      <c r="E516" s="202">
        <v>184086</v>
      </c>
      <c r="F516" s="202">
        <v>204228</v>
      </c>
      <c r="G516" s="203">
        <v>90.14</v>
      </c>
      <c r="H516">
        <v>45949</v>
      </c>
      <c r="I516">
        <v>50428</v>
      </c>
      <c r="J516">
        <v>91.12</v>
      </c>
    </row>
    <row r="517" spans="1:10" ht="13" thickBot="1" x14ac:dyDescent="0.3">
      <c r="A517" t="s">
        <v>254</v>
      </c>
      <c r="B517" t="s">
        <v>146</v>
      </c>
      <c r="C517" t="s">
        <v>15</v>
      </c>
      <c r="D517" t="s">
        <v>107</v>
      </c>
      <c r="E517" s="203">
        <v>0</v>
      </c>
      <c r="F517" s="203">
        <v>0</v>
      </c>
      <c r="G517" s="203">
        <v>0</v>
      </c>
      <c r="H517">
        <v>0</v>
      </c>
      <c r="I517">
        <v>0</v>
      </c>
      <c r="J517">
        <v>0</v>
      </c>
    </row>
    <row r="518" spans="1:10" ht="13" thickBot="1" x14ac:dyDescent="0.3">
      <c r="A518" t="s">
        <v>277</v>
      </c>
      <c r="B518" t="s">
        <v>147</v>
      </c>
      <c r="C518" t="s">
        <v>15</v>
      </c>
      <c r="D518" t="s">
        <v>107</v>
      </c>
      <c r="E518" s="202">
        <v>1278638</v>
      </c>
      <c r="F518" s="202">
        <v>2170282</v>
      </c>
      <c r="G518" s="203">
        <v>58.92</v>
      </c>
      <c r="H518">
        <v>1368831</v>
      </c>
      <c r="I518">
        <v>2360053</v>
      </c>
      <c r="J518">
        <v>58</v>
      </c>
    </row>
    <row r="519" spans="1:10" ht="13" thickBot="1" x14ac:dyDescent="0.3">
      <c r="A519" t="s">
        <v>255</v>
      </c>
      <c r="B519" t="s">
        <v>148</v>
      </c>
      <c r="C519" t="s">
        <v>15</v>
      </c>
      <c r="D519" t="s">
        <v>107</v>
      </c>
      <c r="E519" s="202">
        <v>192686</v>
      </c>
      <c r="F519" s="202">
        <v>241368</v>
      </c>
      <c r="G519" s="203">
        <v>79.83</v>
      </c>
      <c r="H519">
        <v>66862</v>
      </c>
      <c r="I519">
        <v>83198</v>
      </c>
      <c r="J519">
        <v>80.36</v>
      </c>
    </row>
    <row r="520" spans="1:10" ht="13" thickBot="1" x14ac:dyDescent="0.3">
      <c r="A520" t="s">
        <v>256</v>
      </c>
      <c r="B520" t="s">
        <v>148</v>
      </c>
      <c r="C520" t="s">
        <v>15</v>
      </c>
      <c r="D520" t="s">
        <v>107</v>
      </c>
      <c r="E520" s="202">
        <v>244829</v>
      </c>
      <c r="F520" s="202">
        <v>270535</v>
      </c>
      <c r="G520" s="203">
        <v>90.5</v>
      </c>
      <c r="H520">
        <v>0</v>
      </c>
      <c r="I520">
        <v>0</v>
      </c>
      <c r="J520">
        <v>0</v>
      </c>
    </row>
    <row r="521" spans="1:10" ht="13" thickBot="1" x14ac:dyDescent="0.3">
      <c r="A521" t="s">
        <v>257</v>
      </c>
      <c r="B521" t="s">
        <v>148</v>
      </c>
      <c r="C521" t="s">
        <v>15</v>
      </c>
      <c r="D521" t="s">
        <v>107</v>
      </c>
      <c r="E521" s="202">
        <v>466547</v>
      </c>
      <c r="F521" s="202">
        <v>537112</v>
      </c>
      <c r="G521" s="203">
        <v>86.86</v>
      </c>
      <c r="H521">
        <v>221201</v>
      </c>
      <c r="I521">
        <v>254371</v>
      </c>
      <c r="J521">
        <v>86.96</v>
      </c>
    </row>
    <row r="522" spans="1:10" ht="13" thickBot="1" x14ac:dyDescent="0.3">
      <c r="A522" t="s">
        <v>258</v>
      </c>
      <c r="B522" t="s">
        <v>148</v>
      </c>
      <c r="C522" t="s">
        <v>15</v>
      </c>
      <c r="D522" t="s">
        <v>107</v>
      </c>
      <c r="E522" s="202">
        <v>165876</v>
      </c>
      <c r="F522" s="202">
        <v>174409</v>
      </c>
      <c r="G522" s="203">
        <v>95.11</v>
      </c>
      <c r="H522">
        <v>253372</v>
      </c>
      <c r="I522">
        <v>265311</v>
      </c>
      <c r="J522">
        <v>95.5</v>
      </c>
    </row>
    <row r="523" spans="1:10" ht="13" thickBot="1" x14ac:dyDescent="0.3">
      <c r="A523" t="s">
        <v>259</v>
      </c>
      <c r="B523" t="s">
        <v>149</v>
      </c>
      <c r="C523" t="s">
        <v>15</v>
      </c>
      <c r="D523" t="s">
        <v>107</v>
      </c>
      <c r="E523" s="202">
        <v>494110</v>
      </c>
      <c r="F523" s="202">
        <v>843591</v>
      </c>
      <c r="G523" s="203">
        <v>58.57</v>
      </c>
      <c r="H523">
        <v>598576</v>
      </c>
      <c r="I523">
        <v>982698</v>
      </c>
      <c r="J523">
        <v>60.91</v>
      </c>
    </row>
    <row r="524" spans="1:10" ht="13" thickBot="1" x14ac:dyDescent="0.3">
      <c r="A524" t="s">
        <v>260</v>
      </c>
      <c r="B524" t="s">
        <v>149</v>
      </c>
      <c r="C524" t="s">
        <v>15</v>
      </c>
      <c r="D524" t="s">
        <v>107</v>
      </c>
      <c r="E524" s="202">
        <v>23482</v>
      </c>
      <c r="F524" s="202">
        <v>24804</v>
      </c>
      <c r="G524" s="203">
        <v>94.67</v>
      </c>
      <c r="H524">
        <v>0</v>
      </c>
      <c r="I524">
        <v>0</v>
      </c>
      <c r="J524">
        <v>0</v>
      </c>
    </row>
    <row r="525" spans="1:10" ht="13" thickBot="1" x14ac:dyDescent="0.3">
      <c r="A525" t="s">
        <v>261</v>
      </c>
      <c r="B525" t="s">
        <v>149</v>
      </c>
      <c r="C525" t="s">
        <v>15</v>
      </c>
      <c r="D525" t="s">
        <v>107</v>
      </c>
      <c r="E525" s="202">
        <v>96555</v>
      </c>
      <c r="F525" s="202">
        <v>110145</v>
      </c>
      <c r="G525" s="203">
        <v>87.66</v>
      </c>
      <c r="H525">
        <v>221201</v>
      </c>
      <c r="I525">
        <v>254371</v>
      </c>
      <c r="J525">
        <v>86.96</v>
      </c>
    </row>
    <row r="526" spans="1:10" ht="13" thickBot="1" x14ac:dyDescent="0.3">
      <c r="A526" t="s">
        <v>262</v>
      </c>
      <c r="B526" t="s">
        <v>149</v>
      </c>
      <c r="C526" t="s">
        <v>15</v>
      </c>
      <c r="D526" t="s">
        <v>107</v>
      </c>
      <c r="E526" s="202">
        <v>99406</v>
      </c>
      <c r="F526" s="202">
        <v>109689</v>
      </c>
      <c r="G526" s="203">
        <v>90.6</v>
      </c>
      <c r="H526">
        <v>232212</v>
      </c>
      <c r="I526">
        <v>257099</v>
      </c>
      <c r="J526">
        <v>90.32</v>
      </c>
    </row>
    <row r="527" spans="1:10" ht="13" thickBot="1" x14ac:dyDescent="0.3">
      <c r="A527" t="s">
        <v>263</v>
      </c>
      <c r="B527" t="s">
        <v>149</v>
      </c>
      <c r="C527" t="s">
        <v>15</v>
      </c>
      <c r="D527" t="s">
        <v>107</v>
      </c>
      <c r="E527" s="202">
        <v>93281</v>
      </c>
      <c r="F527" s="202">
        <v>136698</v>
      </c>
      <c r="G527" s="203">
        <v>68.239999999999995</v>
      </c>
      <c r="H527">
        <v>0</v>
      </c>
      <c r="I527">
        <v>0</v>
      </c>
      <c r="J527">
        <v>0</v>
      </c>
    </row>
    <row r="528" spans="1:10" ht="13" thickBot="1" x14ac:dyDescent="0.3">
      <c r="A528" t="s">
        <v>264</v>
      </c>
      <c r="B528" t="s">
        <v>150</v>
      </c>
      <c r="C528" t="s">
        <v>15</v>
      </c>
      <c r="D528" t="s">
        <v>107</v>
      </c>
      <c r="E528" s="202">
        <v>587354</v>
      </c>
      <c r="F528" s="202">
        <v>1016692</v>
      </c>
      <c r="G528" s="203">
        <v>57.77</v>
      </c>
      <c r="H528">
        <v>642578</v>
      </c>
      <c r="I528">
        <v>1098425</v>
      </c>
      <c r="J528">
        <v>58.5</v>
      </c>
    </row>
    <row r="529" spans="1:10" ht="13" thickBot="1" x14ac:dyDescent="0.3">
      <c r="A529" t="s">
        <v>265</v>
      </c>
      <c r="B529" t="s">
        <v>150</v>
      </c>
      <c r="C529" t="s">
        <v>15</v>
      </c>
      <c r="D529" t="s">
        <v>107</v>
      </c>
      <c r="E529" s="202">
        <v>178575</v>
      </c>
      <c r="F529" s="202">
        <v>208956</v>
      </c>
      <c r="G529" s="203">
        <v>85.46</v>
      </c>
      <c r="H529">
        <v>202985</v>
      </c>
      <c r="I529">
        <v>237409</v>
      </c>
      <c r="J529">
        <v>85.5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workbookViewId="0"/>
  </sheetViews>
  <sheetFormatPr defaultColWidth="12.6328125" defaultRowHeight="15.75" customHeight="1" x14ac:dyDescent="0.25"/>
  <cols>
    <col min="1" max="1" width="35.453125" customWidth="1"/>
    <col min="2" max="3" width="34.26953125" customWidth="1"/>
  </cols>
  <sheetData>
    <row r="1" spans="1:3" ht="15.75" customHeight="1" x14ac:dyDescent="0.25">
      <c r="A1" s="1" t="s">
        <v>266</v>
      </c>
      <c r="B1" s="1" t="s">
        <v>267</v>
      </c>
      <c r="C1" s="1" t="s">
        <v>268</v>
      </c>
    </row>
    <row r="2" spans="1:3" ht="15.75" customHeight="1" x14ac:dyDescent="0.25">
      <c r="A2" s="138" t="e">
        <f>ROUNDUP(MAX(#REF!),2)</f>
        <v>#REF!</v>
      </c>
      <c r="B2" s="138" t="e">
        <f>MAX(#REF!)</f>
        <v>#REF!</v>
      </c>
      <c r="C2" s="138" t="e">
        <f>MAX(#REF!)</f>
        <v>#REF!</v>
      </c>
    </row>
    <row r="3" spans="1:3" ht="15.75" customHeight="1" x14ac:dyDescent="0.25">
      <c r="A3" s="138" t="e">
        <f t="shared" ref="A3:C3" si="0">IF(A2=0,"", MAX(0, A2 - 1))</f>
        <v>#REF!</v>
      </c>
      <c r="B3" s="138" t="e">
        <f t="shared" si="0"/>
        <v>#REF!</v>
      </c>
      <c r="C3" s="138" t="e">
        <f t="shared" si="0"/>
        <v>#REF!</v>
      </c>
    </row>
    <row r="4" spans="1:3" ht="15.75" customHeight="1" x14ac:dyDescent="0.25">
      <c r="A4" s="138" t="e">
        <f t="shared" ref="A4:C4" si="1">IF(A3=0,"", MAX(0, A3 - 1))</f>
        <v>#REF!</v>
      </c>
      <c r="B4" s="138" t="e">
        <f t="shared" si="1"/>
        <v>#REF!</v>
      </c>
      <c r="C4" s="138" t="e">
        <f t="shared" si="1"/>
        <v>#REF!</v>
      </c>
    </row>
    <row r="5" spans="1:3" ht="15.75" customHeight="1" x14ac:dyDescent="0.25">
      <c r="A5" s="138" t="e">
        <f t="shared" ref="A5:C5" si="2">IF(A4=0,"", MAX(0, A4 - 1))</f>
        <v>#REF!</v>
      </c>
      <c r="B5" s="138" t="e">
        <f t="shared" si="2"/>
        <v>#REF!</v>
      </c>
      <c r="C5" s="138" t="e">
        <f t="shared" si="2"/>
        <v>#REF!</v>
      </c>
    </row>
    <row r="6" spans="1:3" ht="15.75" customHeight="1" x14ac:dyDescent="0.25">
      <c r="A6" s="138" t="e">
        <f t="shared" ref="A6:C6" si="3">IF(A5=0,"", MAX(0, A5 - 1))</f>
        <v>#REF!</v>
      </c>
      <c r="B6" s="138" t="e">
        <f t="shared" si="3"/>
        <v>#REF!</v>
      </c>
      <c r="C6" s="138" t="e">
        <f t="shared" si="3"/>
        <v>#REF!</v>
      </c>
    </row>
    <row r="7" spans="1:3" ht="15.75" customHeight="1" x14ac:dyDescent="0.25">
      <c r="A7" s="138" t="e">
        <f t="shared" ref="A7:C7" si="4">IF(A6=0,"", MAX(0, A6 - 1))</f>
        <v>#REF!</v>
      </c>
      <c r="B7" s="138" t="e">
        <f t="shared" si="4"/>
        <v>#REF!</v>
      </c>
      <c r="C7" s="138" t="e">
        <f t="shared" si="4"/>
        <v>#REF!</v>
      </c>
    </row>
    <row r="8" spans="1:3" ht="15.75" customHeight="1" x14ac:dyDescent="0.25">
      <c r="A8" s="138" t="e">
        <f t="shared" ref="A8:C8" si="5">IF(A7=0,"", MAX(0, A7 - 1))</f>
        <v>#REF!</v>
      </c>
      <c r="B8" s="138" t="e">
        <f t="shared" si="5"/>
        <v>#REF!</v>
      </c>
      <c r="C8" s="138" t="e">
        <f t="shared" si="5"/>
        <v>#REF!</v>
      </c>
    </row>
    <row r="9" spans="1:3" ht="15.75" customHeight="1" x14ac:dyDescent="0.25">
      <c r="A9" s="138" t="e">
        <f t="shared" ref="A9:C9" si="6">IF(A8=0,"", MAX(0, A8 - 1))</f>
        <v>#REF!</v>
      </c>
      <c r="B9" s="138" t="e">
        <f t="shared" si="6"/>
        <v>#REF!</v>
      </c>
      <c r="C9" s="138" t="e">
        <f t="shared" si="6"/>
        <v>#REF!</v>
      </c>
    </row>
    <row r="10" spans="1:3" ht="15.75" customHeight="1" x14ac:dyDescent="0.25">
      <c r="A10" s="138" t="e">
        <f t="shared" ref="A10:C10" si="7">IF(A9=0,"", MAX(0, A9 - 1))</f>
        <v>#REF!</v>
      </c>
      <c r="B10" s="138" t="e">
        <f t="shared" si="7"/>
        <v>#REF!</v>
      </c>
      <c r="C10" s="138" t="e">
        <f t="shared" si="7"/>
        <v>#REF!</v>
      </c>
    </row>
    <row r="11" spans="1:3" ht="15.75" customHeight="1" x14ac:dyDescent="0.25">
      <c r="A11" s="138" t="e">
        <f t="shared" ref="A11:C11" si="8">IF(A10=0,"", MAX(0, A10 - 1))</f>
        <v>#REF!</v>
      </c>
      <c r="B11" s="138" t="e">
        <f t="shared" si="8"/>
        <v>#REF!</v>
      </c>
      <c r="C11" s="138" t="e">
        <f t="shared" si="8"/>
        <v>#REF!</v>
      </c>
    </row>
    <row r="12" spans="1:3" ht="15.75" customHeight="1" x14ac:dyDescent="0.25">
      <c r="A12" s="138" t="e">
        <f t="shared" ref="A12:C12" si="9">IF(A11=0,"", MAX(0, A11 - 1))</f>
        <v>#REF!</v>
      </c>
      <c r="B12" s="138" t="e">
        <f t="shared" si="9"/>
        <v>#REF!</v>
      </c>
      <c r="C12" s="138" t="e">
        <f t="shared" si="9"/>
        <v>#REF!</v>
      </c>
    </row>
    <row r="13" spans="1:3" ht="15.75" customHeight="1" x14ac:dyDescent="0.25">
      <c r="A13" s="138" t="e">
        <f t="shared" ref="A13:C13" si="10">IF(A12=0,"", MAX(0, A12 - 1))</f>
        <v>#REF!</v>
      </c>
      <c r="B13" s="138" t="e">
        <f t="shared" si="10"/>
        <v>#REF!</v>
      </c>
      <c r="C13" s="138" t="e">
        <f t="shared" si="10"/>
        <v>#REF!</v>
      </c>
    </row>
    <row r="14" spans="1:3" ht="15.75" customHeight="1" x14ac:dyDescent="0.25">
      <c r="A14" s="138" t="e">
        <f t="shared" ref="A14:C14" si="11">IF(A13=0,"", MAX(0, A13 - 1))</f>
        <v>#REF!</v>
      </c>
      <c r="B14" s="138" t="e">
        <f t="shared" si="11"/>
        <v>#REF!</v>
      </c>
      <c r="C14" s="138" t="e">
        <f t="shared" si="11"/>
        <v>#REF!</v>
      </c>
    </row>
    <row r="15" spans="1:3" ht="15.75" customHeight="1" x14ac:dyDescent="0.25">
      <c r="A15" s="138" t="e">
        <f t="shared" ref="A15:C15" si="12">IF(A14=0,"", MAX(0, A14 - 1))</f>
        <v>#REF!</v>
      </c>
      <c r="B15" s="138" t="e">
        <f t="shared" si="12"/>
        <v>#REF!</v>
      </c>
      <c r="C15" s="138" t="e">
        <f t="shared" si="12"/>
        <v>#REF!</v>
      </c>
    </row>
    <row r="16" spans="1:3" ht="15.75" customHeight="1" x14ac:dyDescent="0.25">
      <c r="A16" s="138" t="e">
        <f t="shared" ref="A16:C16" si="13">IF(A15=0,"", MAX(0, A15 - 1))</f>
        <v>#REF!</v>
      </c>
      <c r="B16" s="138" t="e">
        <f t="shared" si="13"/>
        <v>#REF!</v>
      </c>
      <c r="C16" s="138" t="e">
        <f t="shared" si="13"/>
        <v>#REF!</v>
      </c>
    </row>
    <row r="17" spans="1:3" ht="15.75" customHeight="1" x14ac:dyDescent="0.25">
      <c r="A17" s="138" t="e">
        <f t="shared" ref="A17:C17" si="14">IF(A16=0,"", MAX(0, A16 - 1))</f>
        <v>#REF!</v>
      </c>
      <c r="B17" s="138" t="e">
        <f t="shared" si="14"/>
        <v>#REF!</v>
      </c>
      <c r="C17" s="138" t="e">
        <f t="shared" si="14"/>
        <v>#REF!</v>
      </c>
    </row>
    <row r="18" spans="1:3" ht="15.75" customHeight="1" x14ac:dyDescent="0.25">
      <c r="A18" s="138" t="e">
        <f t="shared" ref="A18:C18" si="15">IF(A17=0,"", MAX(0, A17 - 1))</f>
        <v>#REF!</v>
      </c>
      <c r="B18" s="138" t="e">
        <f t="shared" si="15"/>
        <v>#REF!</v>
      </c>
      <c r="C18" s="138" t="e">
        <f t="shared" si="15"/>
        <v>#REF!</v>
      </c>
    </row>
    <row r="19" spans="1:3" ht="15.75" customHeight="1" x14ac:dyDescent="0.25">
      <c r="A19" s="138" t="e">
        <f t="shared" ref="A19:C19" si="16">IF(A18=0,"", MAX(0, A18 - 1))</f>
        <v>#REF!</v>
      </c>
      <c r="B19" s="138" t="e">
        <f t="shared" si="16"/>
        <v>#REF!</v>
      </c>
      <c r="C19" s="138" t="e">
        <f t="shared" si="16"/>
        <v>#REF!</v>
      </c>
    </row>
    <row r="20" spans="1:3" ht="15.75" customHeight="1" x14ac:dyDescent="0.25">
      <c r="A20" s="138" t="e">
        <f t="shared" ref="A20:C20" si="17">IF(A19=0,"", MAX(0, A19 - 1))</f>
        <v>#REF!</v>
      </c>
      <c r="B20" s="138" t="e">
        <f t="shared" si="17"/>
        <v>#REF!</v>
      </c>
      <c r="C20" s="138" t="e">
        <f t="shared" si="17"/>
        <v>#REF!</v>
      </c>
    </row>
    <row r="21" spans="1:3" ht="15.75" customHeight="1" x14ac:dyDescent="0.25">
      <c r="A21" s="138" t="e">
        <f t="shared" ref="A21:C21" si="18">IF(A20=0,"", MAX(0, A20 - 1))</f>
        <v>#REF!</v>
      </c>
      <c r="B21" s="138" t="e">
        <f t="shared" si="18"/>
        <v>#REF!</v>
      </c>
      <c r="C21" s="138" t="e">
        <f t="shared" si="18"/>
        <v>#REF!</v>
      </c>
    </row>
    <row r="22" spans="1:3" ht="12.5" x14ac:dyDescent="0.25">
      <c r="A22" s="138" t="e">
        <f t="shared" ref="A22:C22" si="19">IF(A21=0,"", MAX(0, A21 - 1))</f>
        <v>#REF!</v>
      </c>
      <c r="B22" s="138" t="e">
        <f t="shared" si="19"/>
        <v>#REF!</v>
      </c>
      <c r="C22" s="138" t="e">
        <f t="shared" si="19"/>
        <v>#REF!</v>
      </c>
    </row>
    <row r="23" spans="1:3" ht="12.5" x14ac:dyDescent="0.25">
      <c r="A23" s="138" t="e">
        <f t="shared" ref="A23:C23" si="20">IF(A22=0,"", MAX(0, A22 - 1))</f>
        <v>#REF!</v>
      </c>
      <c r="B23" s="138" t="e">
        <f t="shared" si="20"/>
        <v>#REF!</v>
      </c>
      <c r="C23" s="138" t="e">
        <f t="shared" si="20"/>
        <v>#REF!</v>
      </c>
    </row>
    <row r="24" spans="1:3" ht="12.5" x14ac:dyDescent="0.25">
      <c r="A24" s="138" t="e">
        <f t="shared" ref="A24:C24" si="21">IF(A23=0,"", MAX(0, A23 - 1))</f>
        <v>#REF!</v>
      </c>
      <c r="B24" s="138" t="e">
        <f t="shared" si="21"/>
        <v>#REF!</v>
      </c>
      <c r="C24" s="138" t="e">
        <f t="shared" si="21"/>
        <v>#REF!</v>
      </c>
    </row>
    <row r="25" spans="1:3" ht="12.5" x14ac:dyDescent="0.25">
      <c r="A25" s="138" t="e">
        <f t="shared" ref="A25:C25" si="22">IF(A24=0,"", MAX(0, A24 - 1))</f>
        <v>#REF!</v>
      </c>
      <c r="B25" s="138" t="e">
        <f t="shared" si="22"/>
        <v>#REF!</v>
      </c>
      <c r="C25" s="138" t="e">
        <f t="shared" si="22"/>
        <v>#REF!</v>
      </c>
    </row>
    <row r="26" spans="1:3" ht="12.5" x14ac:dyDescent="0.25">
      <c r="A26" s="138" t="e">
        <f t="shared" ref="A26:C26" si="23">IF(A25=0,"", MAX(0, A25 - 1))</f>
        <v>#REF!</v>
      </c>
      <c r="B26" s="138" t="e">
        <f t="shared" si="23"/>
        <v>#REF!</v>
      </c>
      <c r="C26" s="138" t="e">
        <f t="shared" si="23"/>
        <v>#REF!</v>
      </c>
    </row>
    <row r="27" spans="1:3" ht="12.5" x14ac:dyDescent="0.25">
      <c r="A27" s="138" t="e">
        <f t="shared" ref="A27:C27" si="24">IF(A26=0,"", MAX(0, A26 - 1))</f>
        <v>#REF!</v>
      </c>
      <c r="B27" s="138" t="e">
        <f t="shared" si="24"/>
        <v>#REF!</v>
      </c>
      <c r="C27" s="138" t="e">
        <f t="shared" si="24"/>
        <v>#REF!</v>
      </c>
    </row>
    <row r="28" spans="1:3" ht="12.5" x14ac:dyDescent="0.25">
      <c r="A28" s="138" t="e">
        <f t="shared" ref="A28:C28" si="25">IF(A27=0,"", MAX(0, A27 - 1))</f>
        <v>#REF!</v>
      </c>
      <c r="B28" s="138" t="e">
        <f t="shared" si="25"/>
        <v>#REF!</v>
      </c>
      <c r="C28" s="138" t="e">
        <f t="shared" si="25"/>
        <v>#REF!</v>
      </c>
    </row>
    <row r="29" spans="1:3" ht="12.5" x14ac:dyDescent="0.25">
      <c r="A29" s="138" t="e">
        <f t="shared" ref="A29:C29" si="26">IF(A28=0,"", MAX(0, A28 - 1))</f>
        <v>#REF!</v>
      </c>
      <c r="B29" s="138" t="e">
        <f t="shared" si="26"/>
        <v>#REF!</v>
      </c>
      <c r="C29" s="138" t="e">
        <f t="shared" si="26"/>
        <v>#REF!</v>
      </c>
    </row>
    <row r="30" spans="1:3" ht="12.5" x14ac:dyDescent="0.25">
      <c r="A30" s="138" t="e">
        <f t="shared" ref="A30:C30" si="27">IF(A29=0,"", MAX(0, A29 - 1))</f>
        <v>#REF!</v>
      </c>
      <c r="B30" s="138" t="e">
        <f t="shared" si="27"/>
        <v>#REF!</v>
      </c>
      <c r="C30" s="138" t="e">
        <f t="shared" si="27"/>
        <v>#REF!</v>
      </c>
    </row>
    <row r="31" spans="1:3" ht="12.5" x14ac:dyDescent="0.25">
      <c r="A31" s="138" t="e">
        <f t="shared" ref="A31:C31" si="28">IF(A30=0,"", MAX(0, A30 - 1))</f>
        <v>#REF!</v>
      </c>
      <c r="B31" s="138" t="e">
        <f t="shared" si="28"/>
        <v>#REF!</v>
      </c>
      <c r="C31" s="138" t="e">
        <f t="shared" si="28"/>
        <v>#REF!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21"/>
  <sheetViews>
    <sheetView workbookViewId="0"/>
  </sheetViews>
  <sheetFormatPr defaultColWidth="12.6328125" defaultRowHeight="15.75" customHeight="1" x14ac:dyDescent="0.25"/>
  <cols>
    <col min="2" max="5" width="13.6328125" customWidth="1"/>
    <col min="6" max="7" width="13.6328125" hidden="1" customWidth="1"/>
    <col min="8" max="12" width="12.6328125" hidden="1"/>
  </cols>
  <sheetData>
    <row r="1" spans="1:26" ht="15.75" customHeight="1" x14ac:dyDescent="0.25">
      <c r="A1" s="1" t="s">
        <v>102</v>
      </c>
      <c r="B1" s="1" t="s">
        <v>8</v>
      </c>
    </row>
    <row r="3" spans="1:26" ht="15.75" customHeight="1" x14ac:dyDescent="0.25">
      <c r="A3" s="195" t="s">
        <v>106</v>
      </c>
      <c r="B3" s="224" t="s">
        <v>269</v>
      </c>
      <c r="C3" s="219"/>
      <c r="D3" s="219"/>
      <c r="E3" s="197" t="s">
        <v>270</v>
      </c>
      <c r="F3" s="224" t="s">
        <v>271</v>
      </c>
      <c r="G3" s="219"/>
      <c r="H3" s="219"/>
      <c r="I3" s="219"/>
    </row>
    <row r="4" spans="1:26" ht="15.75" customHeight="1" x14ac:dyDescent="0.25">
      <c r="A4" s="198" t="s">
        <v>144</v>
      </c>
      <c r="B4" s="196" t="s">
        <v>0</v>
      </c>
      <c r="C4" s="196" t="s">
        <v>272</v>
      </c>
      <c r="D4" s="196" t="s">
        <v>273</v>
      </c>
      <c r="E4" s="196" t="s">
        <v>274</v>
      </c>
      <c r="F4" s="196" t="s">
        <v>0</v>
      </c>
      <c r="G4" s="196" t="s">
        <v>272</v>
      </c>
      <c r="H4" s="196" t="s">
        <v>273</v>
      </c>
      <c r="I4" s="197" t="s">
        <v>275</v>
      </c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</row>
    <row r="5" spans="1:26" ht="15.75" customHeight="1" x14ac:dyDescent="0.25">
      <c r="A5" s="1" t="s">
        <v>145</v>
      </c>
      <c r="B5" s="128" t="e">
        <f>HLOOKUP($B$1,'CF Monitor Dashboard'!$B$2:$M$61,2,)</f>
        <v>#REF!</v>
      </c>
      <c r="C5" s="138">
        <f>HLOOKUP($B$1,'STEC TSR'!$B$32:$M$39,2,)</f>
        <v>3370</v>
      </c>
      <c r="D5" s="109">
        <f>HLOOKUP($B$1,'STEC TSR'!$B$42:$M$49,2,)</f>
        <v>17.940000000000001</v>
      </c>
      <c r="E5" s="131" t="e">
        <f>HLOOKUP($B$1,'CO2 Estimate'!$B$32:$M$39,2,)</f>
        <v>#REF!</v>
      </c>
      <c r="F5" s="128" t="str">
        <f>'CF Monitor Dashboard'!Y3</f>
        <v/>
      </c>
      <c r="G5" s="138">
        <f>HLOOKUP($B$1,'STEC TSR'!$B$32:$M$39,2,)</f>
        <v>3370</v>
      </c>
      <c r="H5" s="109">
        <f>HLOOKUP($B$1,'STEC TSR'!$B$42:$M$49,2,)</f>
        <v>17.940000000000001</v>
      </c>
      <c r="I5" s="138" t="e">
        <f>(F5/100*'CO2 Estimate'!$B$1*1000)+(G5*'CO2 Estimate'!$B$11*(1-H5/100)*F5/100)</f>
        <v>#VALUE!</v>
      </c>
      <c r="J5" s="138"/>
    </row>
    <row r="6" spans="1:26" ht="15.75" customHeight="1" x14ac:dyDescent="0.25">
      <c r="A6" s="1" t="s">
        <v>146</v>
      </c>
      <c r="B6" s="128" t="e">
        <f>HLOOKUP($B$1,'CF Monitor Dashboard'!$B$2:$M$61,10,)</f>
        <v>#REF!</v>
      </c>
      <c r="C6" s="138">
        <f>HLOOKUP($B$1,'STEC TSR'!$B$32:$M$39,3,)</f>
        <v>3403</v>
      </c>
      <c r="D6" s="109">
        <f>HLOOKUP($B$1,'STEC TSR'!$B$42:$M$49,3,)</f>
        <v>20.39</v>
      </c>
      <c r="E6" s="131" t="e">
        <f>HLOOKUP($B$1,'CO2 Estimate'!$B$32:$M$39,3,)</f>
        <v>#REF!</v>
      </c>
      <c r="F6" s="128" t="str">
        <f>'CF Monitor Dashboard'!Y11</f>
        <v/>
      </c>
      <c r="G6" s="138">
        <f>HLOOKUP($B$1,'STEC TSR'!$B$32:$M$39,3,)</f>
        <v>3403</v>
      </c>
      <c r="H6" s="109">
        <f>HLOOKUP($B$1,'STEC TSR'!$B$42:$M$49,3,)</f>
        <v>20.39</v>
      </c>
      <c r="I6" s="138" t="e">
        <f>(F6/100*'CO2 Estimate'!$B$1*1000)+(G6*'CO2 Estimate'!$B$11*(1-H6/100)*F6/100)</f>
        <v>#VALUE!</v>
      </c>
    </row>
    <row r="7" spans="1:26" ht="15.75" customHeight="1" x14ac:dyDescent="0.25">
      <c r="A7" s="1" t="s">
        <v>147</v>
      </c>
      <c r="B7" s="128" t="e">
        <f>HLOOKUP($B$1,'CF Monitor Dashboard'!$B$2:$M$61,14,)</f>
        <v>#REF!</v>
      </c>
      <c r="C7" s="138">
        <f>HLOOKUP($B$1,'STEC TSR'!$B$32:$M$39,4,)</f>
        <v>3517</v>
      </c>
      <c r="D7" s="109">
        <f>HLOOKUP($B$1,'STEC TSR'!$B$42:$M$49,4,)</f>
        <v>17.010000000000002</v>
      </c>
      <c r="E7" s="131" t="e">
        <f>HLOOKUP($B$1,'CO2 Estimate'!$B$32:$M$39,4,)</f>
        <v>#REF!</v>
      </c>
      <c r="F7" s="128" t="str">
        <f>'CF Monitor Dashboard'!Y15</f>
        <v/>
      </c>
      <c r="G7" s="138">
        <f>HLOOKUP($B$1,'STEC TSR'!$B$32:$M$39,4,)</f>
        <v>3517</v>
      </c>
      <c r="H7" s="109">
        <f>HLOOKUP($B$1,'STEC TSR'!$B$42:$M$49,4,)</f>
        <v>17.010000000000002</v>
      </c>
      <c r="I7" s="138" t="e">
        <f>(F7/100*'CO2 Estimate'!$B$1*1000)+(G7*'CO2 Estimate'!$B$11*(1-H7/100)*F7/100)</f>
        <v>#VALUE!</v>
      </c>
    </row>
    <row r="8" spans="1:26" ht="15.75" customHeight="1" x14ac:dyDescent="0.25">
      <c r="A8" s="1" t="s">
        <v>148</v>
      </c>
      <c r="B8" s="128" t="e">
        <f>HLOOKUP($B$1,'CF Monitor Dashboard'!$B$2:$M$61,15,)</f>
        <v>#REF!</v>
      </c>
      <c r="C8" s="138">
        <f>HLOOKUP($B$1,'STEC TSR'!$B$32:$M$39,5,)</f>
        <v>3269</v>
      </c>
      <c r="D8" s="109">
        <f>HLOOKUP($B$1,'STEC TSR'!$B$42:$M$49,5,)</f>
        <v>7.57</v>
      </c>
      <c r="E8" s="131" t="e">
        <f>HLOOKUP($B$1,'CO2 Estimate'!$B$32:$M$39,5,)</f>
        <v>#REF!</v>
      </c>
      <c r="F8" s="128" t="str">
        <f>'CF Monitor Dashboard'!Y16</f>
        <v/>
      </c>
      <c r="G8" s="138">
        <f>HLOOKUP($B$1,'STEC TSR'!$B$32:$M$39,5,)</f>
        <v>3269</v>
      </c>
      <c r="H8" s="109">
        <f>HLOOKUP($B$1,'STEC TSR'!$B$42:$M$49,5,)</f>
        <v>7.57</v>
      </c>
      <c r="I8" s="138" t="e">
        <f>(F8/100*'CO2 Estimate'!$B$1*1000)+(G8*'CO2 Estimate'!$B$11*(1-H8/100)*F8/100)</f>
        <v>#VALUE!</v>
      </c>
    </row>
    <row r="9" spans="1:26" ht="15.75" customHeight="1" x14ac:dyDescent="0.25">
      <c r="A9" s="1" t="s">
        <v>149</v>
      </c>
      <c r="B9" s="128" t="e">
        <f>HLOOKUP($B$1,'CF Monitor Dashboard'!$B$2:$M$61,20,)</f>
        <v>#REF!</v>
      </c>
      <c r="C9" s="138">
        <f>HLOOKUP($B$1,'STEC TSR'!$B$32:$M$39,6,)</f>
        <v>3302</v>
      </c>
      <c r="D9" s="109">
        <f>HLOOKUP($B$1,'STEC TSR'!$B$42:$M$49,6,)</f>
        <v>8.2899999999999991</v>
      </c>
      <c r="E9" s="131" t="e">
        <f>HLOOKUP($B$1,'CO2 Estimate'!$B$32:$M$39,6,)</f>
        <v>#REF!</v>
      </c>
      <c r="F9" s="128" t="str">
        <f>'CF Monitor Dashboard'!Y21</f>
        <v/>
      </c>
      <c r="G9" s="138">
        <f>HLOOKUP($B$1,'STEC TSR'!$B$32:$M$39,6,)</f>
        <v>3302</v>
      </c>
      <c r="H9" s="109">
        <f>HLOOKUP($B$1,'STEC TSR'!$B$42:$M$49,6,)</f>
        <v>8.2899999999999991</v>
      </c>
      <c r="I9" s="138" t="e">
        <f>(F9/100*'CO2 Estimate'!$B$1*1000)+(G9*'CO2 Estimate'!$B$11*(1-H9/100)*F9/100)</f>
        <v>#VALUE!</v>
      </c>
    </row>
    <row r="10" spans="1:26" ht="15.75" customHeight="1" x14ac:dyDescent="0.25">
      <c r="A10" s="1" t="s">
        <v>150</v>
      </c>
      <c r="B10" s="128" t="e">
        <f>HLOOKUP($B$1,'CF Monitor Dashboard'!$B$2:$M$61,26,)</f>
        <v>#REF!</v>
      </c>
      <c r="C10" s="138">
        <f>HLOOKUP($B$1,'STEC TSR'!$B$32:$M$39,7,)</f>
        <v>3809</v>
      </c>
      <c r="D10" s="109">
        <f>HLOOKUP($B$1,'STEC TSR'!$B$42:$M$49,7,)</f>
        <v>8.6300000000000008</v>
      </c>
      <c r="E10" s="131" t="e">
        <f>HLOOKUP($B$1,'CO2 Estimate'!$B$32:$M$39,7,)</f>
        <v>#REF!</v>
      </c>
      <c r="F10" s="128" t="str">
        <f>'CF Monitor Dashboard'!Y27</f>
        <v/>
      </c>
      <c r="G10" s="138">
        <f>HLOOKUP($B$1,'STEC TSR'!$B$32:$M$39,7,)</f>
        <v>3809</v>
      </c>
      <c r="H10" s="109">
        <f>HLOOKUP($B$1,'STEC TSR'!$B$42:$M$49,7,)</f>
        <v>8.6300000000000008</v>
      </c>
      <c r="I10" s="138" t="e">
        <f>(F10/100*'CO2 Estimate'!$B$1*1000)+(G10*'CO2 Estimate'!$B$11*(1-H10/100)*F10/100)</f>
        <v>#VALUE!</v>
      </c>
    </row>
    <row r="11" spans="1:26" ht="15.75" customHeight="1" x14ac:dyDescent="0.25">
      <c r="A11" s="1" t="s">
        <v>151</v>
      </c>
      <c r="B11" s="128" t="e">
        <f>HLOOKUP($B$1,'CF Monitor Dashboard'!$B$2:$M$61,29,)</f>
        <v>#REF!</v>
      </c>
      <c r="C11" s="138">
        <f>HLOOKUP($B$1,'STEC TSR'!$B$32:$M$39,8,)</f>
        <v>3408</v>
      </c>
      <c r="D11" s="109">
        <f>HLOOKUP($B$1,'STEC TSR'!$B$42:$M$49,8,)</f>
        <v>15.33</v>
      </c>
      <c r="E11" s="131" t="e">
        <f>HLOOKUP($B$1,'CO2 Estimate'!$B$32:$M$39,8,)</f>
        <v>#REF!</v>
      </c>
      <c r="F11" s="128" t="str">
        <f>'CF Monitor Dashboard'!Y31</f>
        <v/>
      </c>
      <c r="G11" s="138">
        <f>HLOOKUP($B$1,'STEC TSR'!$B$32:$M$39,8,)</f>
        <v>3408</v>
      </c>
      <c r="H11" s="109">
        <f>HLOOKUP($B$1,'STEC TSR'!$B$42:$M$49,8,)</f>
        <v>15.33</v>
      </c>
      <c r="I11" s="138" t="e">
        <f>(F11/100*'CO2 Estimate'!$B$1*1000)+(G11*'CO2 Estimate'!$B$11*(1-H11/100)*F11/100)</f>
        <v>#VALUE!</v>
      </c>
      <c r="J11" s="128" t="e">
        <f>F11-B11</f>
        <v>#VALUE!</v>
      </c>
      <c r="K11" s="138" t="e">
        <f>I11-E11</f>
        <v>#VALUE!</v>
      </c>
      <c r="L11" s="131" t="e">
        <f>K11/J11</f>
        <v>#VALUE!</v>
      </c>
    </row>
    <row r="13" spans="1:26" ht="15.75" customHeight="1" x14ac:dyDescent="0.25">
      <c r="A13" s="195" t="s">
        <v>107</v>
      </c>
      <c r="B13" s="224" t="s">
        <v>269</v>
      </c>
      <c r="C13" s="219"/>
      <c r="D13" s="219"/>
      <c r="E13" s="197" t="s">
        <v>270</v>
      </c>
      <c r="F13" s="224" t="s">
        <v>276</v>
      </c>
      <c r="G13" s="219"/>
      <c r="H13" s="219"/>
      <c r="I13" s="219"/>
    </row>
    <row r="14" spans="1:26" ht="15.75" customHeight="1" x14ac:dyDescent="0.25">
      <c r="A14" s="198" t="s">
        <v>144</v>
      </c>
      <c r="B14" s="196" t="s">
        <v>0</v>
      </c>
      <c r="C14" s="196" t="s">
        <v>272</v>
      </c>
      <c r="D14" s="196" t="s">
        <v>273</v>
      </c>
      <c r="E14" s="196" t="s">
        <v>274</v>
      </c>
      <c r="F14" s="196" t="s">
        <v>0</v>
      </c>
      <c r="G14" s="196" t="s">
        <v>272</v>
      </c>
      <c r="H14" s="196" t="s">
        <v>273</v>
      </c>
      <c r="I14" s="197" t="s">
        <v>275</v>
      </c>
    </row>
    <row r="15" spans="1:26" ht="15.75" customHeight="1" x14ac:dyDescent="0.25">
      <c r="A15" s="1" t="s">
        <v>145</v>
      </c>
      <c r="B15" s="128" t="e">
        <f>HLOOKUP($B$1,'CF Monitor Dashboard'!$B$2:$M$61,33,)</f>
        <v>#REF!</v>
      </c>
      <c r="C15" s="138">
        <f>HLOOKUP($B$1,'STEC TSR'!$O$32:$Z$39,2,)</f>
        <v>3380</v>
      </c>
      <c r="D15" s="109">
        <f>HLOOKUP($B$1,'STEC TSR'!$O$42:$Z$49,2,)</f>
        <v>15.79</v>
      </c>
      <c r="E15" s="131" t="e">
        <f>HLOOKUP($B$1,'CO2 Estimate'!$Q$32:$AB$39,2,)</f>
        <v>#REF!</v>
      </c>
      <c r="F15" s="128" t="str">
        <f>'CF Monitor Dashboard'!Y34</f>
        <v/>
      </c>
      <c r="G15" s="138">
        <f>HLOOKUP($B$1,'STEC TSR'!$O$32:$Z$39,2,)</f>
        <v>3380</v>
      </c>
      <c r="H15" s="109">
        <f>HLOOKUP($B$1,'STEC TSR'!$O$42:$Z$49,2,)</f>
        <v>15.79</v>
      </c>
      <c r="I15" s="138" t="e">
        <f>(F15/100*'CO2 Estimate'!$B$1*1000)+(G15*'CO2 Estimate'!$B$11*(1-H15/100)*F15/100)</f>
        <v>#VALUE!</v>
      </c>
    </row>
    <row r="16" spans="1:26" ht="15.75" customHeight="1" x14ac:dyDescent="0.25">
      <c r="A16" s="1" t="s">
        <v>146</v>
      </c>
      <c r="B16" s="128" t="e">
        <f>HLOOKUP($B$1,'CF Monitor Dashboard'!$B$2:$M$61,41,)</f>
        <v>#REF!</v>
      </c>
      <c r="C16" s="138">
        <f>HLOOKUP($B$1,'STEC TSR'!$O$32:$Z$39,3,)</f>
        <v>3383</v>
      </c>
      <c r="D16" s="109">
        <f>HLOOKUP($B$1,'STEC TSR'!$O$42:$Z$49,3,)</f>
        <v>20.350000000000001</v>
      </c>
      <c r="E16" s="131" t="e">
        <f>HLOOKUP($B$1,'CO2 Estimate'!$Q$32:$AB$39,3,)</f>
        <v>#REF!</v>
      </c>
      <c r="F16" s="128" t="str">
        <f>'CF Monitor Dashboard'!Y42</f>
        <v/>
      </c>
      <c r="G16" s="138">
        <f>HLOOKUP($B$1,'STEC TSR'!$O$32:$Z$39,3,)</f>
        <v>3383</v>
      </c>
      <c r="H16" s="109">
        <f>HLOOKUP($B$1,'STEC TSR'!$O$42:$Z$49,3,)</f>
        <v>20.350000000000001</v>
      </c>
      <c r="I16" s="138" t="e">
        <f>(F16/100*'CO2 Estimate'!$B$1*1000)+(G16*'CO2 Estimate'!$B$11*(1-H16/100)*F16/100)</f>
        <v>#VALUE!</v>
      </c>
    </row>
    <row r="17" spans="1:12" ht="15.75" customHeight="1" x14ac:dyDescent="0.25">
      <c r="A17" s="1" t="s">
        <v>147</v>
      </c>
      <c r="B17" s="128" t="e">
        <f>HLOOKUP($B$1,'CF Monitor Dashboard'!$B$2:$M$61,45,)</f>
        <v>#REF!</v>
      </c>
      <c r="C17" s="138">
        <f>HLOOKUP($B$1,'STEC TSR'!$O$32:$Z$39,4,)</f>
        <v>3434</v>
      </c>
      <c r="D17" s="109">
        <f>HLOOKUP($B$1,'STEC TSR'!$O$42:$Z$49,4,)</f>
        <v>15.53</v>
      </c>
      <c r="E17" s="131" t="e">
        <f>HLOOKUP($B$1,'CO2 Estimate'!$Q$32:$AB$39,4,)</f>
        <v>#REF!</v>
      </c>
      <c r="F17" s="128" t="str">
        <f>'CF Monitor Dashboard'!Y46</f>
        <v/>
      </c>
      <c r="G17" s="138">
        <f>HLOOKUP($B$1,'STEC TSR'!$O$32:$Z$39,4,)</f>
        <v>3434</v>
      </c>
      <c r="H17" s="109">
        <f>HLOOKUP($B$1,'STEC TSR'!$O$42:$Z$49,4,)</f>
        <v>15.53</v>
      </c>
      <c r="I17" s="138" t="e">
        <f>(F17/100*'CO2 Estimate'!$B$1*1000)+(G17*'CO2 Estimate'!$B$11*(1-H17/100)*F17/100)</f>
        <v>#VALUE!</v>
      </c>
    </row>
    <row r="18" spans="1:12" ht="15.75" customHeight="1" x14ac:dyDescent="0.25">
      <c r="A18" s="1" t="s">
        <v>148</v>
      </c>
      <c r="B18" s="128" t="e">
        <f>HLOOKUP($B$1,'CF Monitor Dashboard'!$B$2:$M$61,46,)</f>
        <v>#REF!</v>
      </c>
      <c r="C18" s="138">
        <f>HLOOKUP($B$1,'STEC TSR'!$O$32:$Z$39,5,)</f>
        <v>3263</v>
      </c>
      <c r="D18" s="109">
        <f>HLOOKUP($B$1,'STEC TSR'!$O$42:$Z$49,5,)</f>
        <v>8.1999999999999993</v>
      </c>
      <c r="E18" s="131" t="e">
        <f>HLOOKUP($B$1,'CO2 Estimate'!$Q$32:$AB$39,5,)</f>
        <v>#REF!</v>
      </c>
      <c r="F18" s="128" t="str">
        <f>'CF Monitor Dashboard'!Y47</f>
        <v/>
      </c>
      <c r="G18" s="138">
        <f>HLOOKUP($B$1,'STEC TSR'!$O$32:$Z$39,5,)</f>
        <v>3263</v>
      </c>
      <c r="H18" s="109">
        <f>HLOOKUP($B$1,'STEC TSR'!$O$42:$Z$49,5,)</f>
        <v>8.1999999999999993</v>
      </c>
      <c r="I18" s="138" t="e">
        <f>(F18/100*'CO2 Estimate'!$B$1*1000)+(G18*'CO2 Estimate'!$B$11*(1-H18/100)*F18/100)</f>
        <v>#VALUE!</v>
      </c>
    </row>
    <row r="19" spans="1:12" ht="15.75" customHeight="1" x14ac:dyDescent="0.25">
      <c r="A19" s="1" t="s">
        <v>149</v>
      </c>
      <c r="B19" s="128" t="e">
        <f>HLOOKUP($B$1,'CF Monitor Dashboard'!$B$2:$M$61,51,)</f>
        <v>#REF!</v>
      </c>
      <c r="C19" s="138">
        <f>HLOOKUP($B$1,'STEC TSR'!$O$32:$Z$39,6,)</f>
        <v>3267</v>
      </c>
      <c r="D19" s="109">
        <f>HLOOKUP($B$1,'STEC TSR'!$O$42:$Z$49,6,)</f>
        <v>8.0299999999999994</v>
      </c>
      <c r="E19" s="131" t="e">
        <f>HLOOKUP($B$1,'CO2 Estimate'!$Q$32:$AB$39,6,)</f>
        <v>#REF!</v>
      </c>
      <c r="F19" s="128" t="str">
        <f>'CF Monitor Dashboard'!Y52</f>
        <v/>
      </c>
      <c r="G19" s="138">
        <f>HLOOKUP($B$1,'STEC TSR'!$O$32:$Z$39,6,)</f>
        <v>3267</v>
      </c>
      <c r="H19" s="109">
        <f>HLOOKUP($B$1,'STEC TSR'!$O$42:$Z$49,6,)</f>
        <v>8.0299999999999994</v>
      </c>
      <c r="I19" s="138" t="e">
        <f>(F19/100*'CO2 Estimate'!$B$1*1000)+(G19*'CO2 Estimate'!$B$11*(1-H19/100)*F19/100)</f>
        <v>#VALUE!</v>
      </c>
    </row>
    <row r="20" spans="1:12" ht="15.75" customHeight="1" x14ac:dyDescent="0.25">
      <c r="A20" s="1" t="s">
        <v>150</v>
      </c>
      <c r="B20" s="128" t="e">
        <f>HLOOKUP($B$1,'CF Monitor Dashboard'!$B$2:$M$61,57,)</f>
        <v>#REF!</v>
      </c>
      <c r="C20" s="138">
        <f>HLOOKUP($B$1,'STEC TSR'!$O$32:$Z$39,7,)</f>
        <v>3768</v>
      </c>
      <c r="D20" s="109">
        <f>HLOOKUP($B$1,'STEC TSR'!$O$42:$Z$49,7,)</f>
        <v>7.9</v>
      </c>
      <c r="E20" s="131" t="e">
        <f>HLOOKUP($B$1,'CO2 Estimate'!$Q$32:$AB$39,7,)</f>
        <v>#REF!</v>
      </c>
      <c r="F20" s="128" t="str">
        <f>'CF Monitor Dashboard'!Y58</f>
        <v/>
      </c>
      <c r="G20" s="138">
        <f>HLOOKUP($B$1,'STEC TSR'!$O$32:$Z$39,7,)</f>
        <v>3768</v>
      </c>
      <c r="H20" s="109">
        <f>HLOOKUP($B$1,'STEC TSR'!$O$42:$Z$49,7,)</f>
        <v>7.9</v>
      </c>
      <c r="I20" s="138" t="e">
        <f>(F20/100*'CO2 Estimate'!$B$1*1000)+(G20*'CO2 Estimate'!$B$11*(1-H20/100)*F20/100)</f>
        <v>#VALUE!</v>
      </c>
    </row>
    <row r="21" spans="1:12" ht="15.75" customHeight="1" x14ac:dyDescent="0.25">
      <c r="A21" s="1" t="s">
        <v>151</v>
      </c>
      <c r="B21" s="128" t="e">
        <f>HLOOKUP($B$1,'CF Monitor Dashboard'!$B$2:$M$61,60,)</f>
        <v>#REF!</v>
      </c>
      <c r="C21" s="138">
        <f>HLOOKUP($B$1,'STEC TSR'!$O$32:$Z$39,8,)</f>
        <v>3384</v>
      </c>
      <c r="D21" s="109">
        <f>HLOOKUP($B$1,'STEC TSR'!$O$42:$Z$49,8,)</f>
        <v>14.17</v>
      </c>
      <c r="E21" s="131" t="e">
        <f>HLOOKUP($B$1,'CO2 Estimate'!$Q$32:$AB$39,8,)</f>
        <v>#REF!</v>
      </c>
      <c r="F21" s="128" t="str">
        <f>'CF Monitor Dashboard'!Y62</f>
        <v/>
      </c>
      <c r="G21" s="138">
        <f>HLOOKUP($B$1,'STEC TSR'!$O$32:$Z$39,8,)</f>
        <v>3384</v>
      </c>
      <c r="H21" s="109">
        <f>HLOOKUP($B$1,'STEC TSR'!$O$42:$Z$49,8,)</f>
        <v>14.17</v>
      </c>
      <c r="I21" s="138" t="e">
        <f>(F21/100*'CO2 Estimate'!$B$1*1000)+(G21*'CO2 Estimate'!$B$11*(1-H21/100)*F21/100)</f>
        <v>#VALUE!</v>
      </c>
      <c r="J21" s="128" t="e">
        <f>F21-B21</f>
        <v>#VALUE!</v>
      </c>
      <c r="K21" s="138" t="e">
        <f>I21-E21</f>
        <v>#VALUE!</v>
      </c>
      <c r="L21" s="131" t="e">
        <f>K21/J21</f>
        <v>#VALUE!</v>
      </c>
    </row>
  </sheetData>
  <mergeCells count="4">
    <mergeCell ref="B3:D3"/>
    <mergeCell ref="F3:I3"/>
    <mergeCell ref="B13:D13"/>
    <mergeCell ref="F13:I13"/>
  </mergeCells>
  <dataValidations count="1">
    <dataValidation type="list" allowBlank="1" showErrorMessage="1" sqref="B1">
      <formula1>"Jan,Feb,Mar,Apr,May,Jun,Jul,Aug,Sep,Nov,Dec"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000"/>
  <sheetViews>
    <sheetView workbookViewId="0"/>
  </sheetViews>
  <sheetFormatPr defaultColWidth="12.6328125" defaultRowHeight="15.75" customHeight="1" x14ac:dyDescent="0.25"/>
  <cols>
    <col min="1" max="26" width="7.6328125" customWidth="1"/>
  </cols>
  <sheetData>
    <row r="1" spans="5:5" ht="14.25" customHeight="1" x14ac:dyDescent="0.25"/>
    <row r="2" spans="5:5" ht="14.25" customHeight="1" x14ac:dyDescent="0.25"/>
    <row r="3" spans="5:5" ht="14.25" customHeight="1" x14ac:dyDescent="0.35">
      <c r="E3" s="52">
        <v>45658</v>
      </c>
    </row>
    <row r="4" spans="5:5" ht="14.25" customHeight="1" x14ac:dyDescent="0.35">
      <c r="E4" s="52">
        <v>45689</v>
      </c>
    </row>
    <row r="5" spans="5:5" ht="14.25" customHeight="1" x14ac:dyDescent="0.35">
      <c r="E5" s="52">
        <v>45717</v>
      </c>
    </row>
    <row r="6" spans="5:5" ht="14.25" customHeight="1" x14ac:dyDescent="0.35">
      <c r="E6" s="52">
        <v>45748</v>
      </c>
    </row>
    <row r="7" spans="5:5" ht="14.25" customHeight="1" x14ac:dyDescent="0.35">
      <c r="E7" s="52">
        <v>45778</v>
      </c>
    </row>
    <row r="8" spans="5:5" ht="14.25" customHeight="1" x14ac:dyDescent="0.35">
      <c r="E8" s="52">
        <v>45809</v>
      </c>
    </row>
    <row r="9" spans="5:5" ht="14.25" customHeight="1" x14ac:dyDescent="0.35">
      <c r="E9" s="52">
        <v>45839</v>
      </c>
    </row>
    <row r="10" spans="5:5" ht="14.25" customHeight="1" x14ac:dyDescent="0.35">
      <c r="E10" s="52">
        <v>45870</v>
      </c>
    </row>
    <row r="11" spans="5:5" ht="14.25" customHeight="1" x14ac:dyDescent="0.35">
      <c r="E11" s="52">
        <v>45901</v>
      </c>
    </row>
    <row r="12" spans="5:5" ht="14.25" customHeight="1" x14ac:dyDescent="0.35">
      <c r="E12" s="52">
        <v>45931</v>
      </c>
    </row>
    <row r="13" spans="5:5" ht="14.25" customHeight="1" x14ac:dyDescent="0.35">
      <c r="E13" s="52">
        <v>45962</v>
      </c>
    </row>
    <row r="14" spans="5:5" ht="14.25" customHeight="1" x14ac:dyDescent="0.35">
      <c r="E14" s="52">
        <v>45992</v>
      </c>
    </row>
    <row r="15" spans="5:5" ht="14.25" customHeight="1" x14ac:dyDescent="0.25"/>
    <row r="16" spans="5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12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4</v>
      </c>
    </row>
    <row r="2" spans="1:1" ht="15.75" customHeight="1" x14ac:dyDescent="0.25">
      <c r="A2" s="1" t="s">
        <v>5</v>
      </c>
    </row>
    <row r="3" spans="1:1" ht="15.75" customHeight="1" x14ac:dyDescent="0.25">
      <c r="A3" s="1" t="s">
        <v>6</v>
      </c>
    </row>
    <row r="4" spans="1:1" ht="15.75" customHeight="1" x14ac:dyDescent="0.25">
      <c r="A4" s="1" t="s">
        <v>7</v>
      </c>
    </row>
    <row r="5" spans="1:1" ht="15.75" customHeight="1" x14ac:dyDescent="0.25">
      <c r="A5" s="1" t="s">
        <v>8</v>
      </c>
    </row>
    <row r="6" spans="1:1" ht="15.75" customHeight="1" x14ac:dyDescent="0.25">
      <c r="A6" s="1" t="s">
        <v>9</v>
      </c>
    </row>
    <row r="7" spans="1:1" ht="15.75" customHeight="1" x14ac:dyDescent="0.25">
      <c r="A7" s="1" t="s">
        <v>10</v>
      </c>
    </row>
    <row r="8" spans="1:1" ht="15.75" customHeight="1" x14ac:dyDescent="0.25">
      <c r="A8" s="1" t="s">
        <v>11</v>
      </c>
    </row>
    <row r="9" spans="1:1" ht="15.75" customHeight="1" x14ac:dyDescent="0.25">
      <c r="A9" s="1" t="s">
        <v>12</v>
      </c>
    </row>
    <row r="10" spans="1:1" ht="15.75" customHeight="1" x14ac:dyDescent="0.25">
      <c r="A10" s="1" t="s">
        <v>13</v>
      </c>
    </row>
    <row r="11" spans="1:1" ht="15.75" customHeight="1" x14ac:dyDescent="0.25">
      <c r="A11" s="1" t="s">
        <v>14</v>
      </c>
    </row>
    <row r="12" spans="1:1" ht="15.75" customHeight="1" x14ac:dyDescent="0.25">
      <c r="A12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</vt:lpstr>
      <vt:lpstr>RKAP</vt:lpstr>
      <vt:lpstr>Transpose CF MTD</vt:lpstr>
      <vt:lpstr>Transpose CF YTD</vt:lpstr>
      <vt:lpstr>Chart</vt:lpstr>
      <vt:lpstr>hanya untuk update angka foreca</vt:lpstr>
      <vt:lpstr>CF Monitor Dashboard</vt:lpstr>
      <vt:lpstr>STEC TSR</vt:lpstr>
      <vt:lpstr>CO2 Estimate</vt:lpstr>
      <vt:lpstr>MTD</vt:lpstr>
      <vt:lpstr>Slider</vt:lpstr>
      <vt:lpstr>Summary</vt:lpstr>
      <vt:lpstr>bulan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NATASHA YEMIMA ELVARETY S.</cp:lastModifiedBy>
  <dcterms:modified xsi:type="dcterms:W3CDTF">2025-10-22T01:42:32Z</dcterms:modified>
</cp:coreProperties>
</file>