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tasha\Juara Inovasi\JI 2025\CEMIST\"/>
    </mc:Choice>
  </mc:AlternateContent>
  <bookViews>
    <workbookView xWindow="0" yWindow="0" windowWidth="19200" windowHeight="6900" firstSheet="9" activeTab="9"/>
  </bookViews>
  <sheets>
    <sheet name="Product" sheetId="4" state="hidden" r:id="rId1"/>
    <sheet name="RKAP" sheetId="7" state="hidden" r:id="rId2"/>
    <sheet name="Transpose CF MTD" sheetId="8" state="hidden" r:id="rId3"/>
    <sheet name="Transpose CF YTD" sheetId="9" state="hidden" r:id="rId4"/>
    <sheet name="Chart" sheetId="10" state="hidden" r:id="rId5"/>
    <sheet name="hanya untuk update angka foreca" sheetId="11" state="hidden" r:id="rId6"/>
    <sheet name="CF Monitor Dashboard" sheetId="12" state="hidden" r:id="rId7"/>
    <sheet name="STEC TSR" sheetId="13" state="hidden" r:id="rId8"/>
    <sheet name="CO2 Estimate" sheetId="14" state="hidden" r:id="rId9"/>
    <sheet name="MTD" sheetId="29" r:id="rId10"/>
    <sheet name="Slider" sheetId="20" state="hidden" r:id="rId11"/>
    <sheet name="Summary" sheetId="26" state="hidden" r:id="rId12"/>
    <sheet name="bulan" sheetId="27" state="hidden" r:id="rId13"/>
    <sheet name="Formula" sheetId="28" state="hidden" r:id="rId14"/>
  </sheets>
  <definedNames>
    <definedName name="_xlnm._FilterDatabase" localSheetId="9" hidden="1">MTD!$A$1:$A$529</definedName>
  </definedNames>
  <calcPr calcId="162913"/>
</workbook>
</file>

<file path=xl/calcChain.xml><?xml version="1.0" encoding="utf-8"?>
<calcChain xmlns="http://schemas.openxmlformats.org/spreadsheetml/2006/main">
  <c r="H21" i="26" l="1"/>
  <c r="G21" i="26"/>
  <c r="D21" i="26"/>
  <c r="C21" i="26"/>
  <c r="H20" i="26"/>
  <c r="G20" i="26"/>
  <c r="D20" i="26"/>
  <c r="C20" i="26"/>
  <c r="H19" i="26"/>
  <c r="G19" i="26"/>
  <c r="D19" i="26"/>
  <c r="C19" i="26"/>
  <c r="H18" i="26"/>
  <c r="G18" i="26"/>
  <c r="D18" i="26"/>
  <c r="C18" i="26"/>
  <c r="H17" i="26"/>
  <c r="G17" i="26"/>
  <c r="D17" i="26"/>
  <c r="C17" i="26"/>
  <c r="H16" i="26"/>
  <c r="G16" i="26"/>
  <c r="D16" i="26"/>
  <c r="C16" i="26"/>
  <c r="H15" i="26"/>
  <c r="G15" i="26"/>
  <c r="D15" i="26"/>
  <c r="C15" i="26"/>
  <c r="H11" i="26"/>
  <c r="G11" i="26"/>
  <c r="D11" i="26"/>
  <c r="C11" i="26"/>
  <c r="H10" i="26"/>
  <c r="G10" i="26"/>
  <c r="D10" i="26"/>
  <c r="C10" i="26"/>
  <c r="H9" i="26"/>
  <c r="G9" i="26"/>
  <c r="D9" i="26"/>
  <c r="C9" i="26"/>
  <c r="H8" i="26"/>
  <c r="G8" i="26"/>
  <c r="D8" i="26"/>
  <c r="C8" i="26"/>
  <c r="H7" i="26"/>
  <c r="G7" i="26"/>
  <c r="D7" i="26"/>
  <c r="C7" i="26"/>
  <c r="H6" i="26"/>
  <c r="G6" i="26"/>
  <c r="D6" i="26"/>
  <c r="C6" i="26"/>
  <c r="H5" i="26"/>
  <c r="G5" i="26"/>
  <c r="D5" i="26"/>
  <c r="C5" i="26"/>
  <c r="Z57" i="13"/>
  <c r="Y57" i="13"/>
  <c r="X57" i="13"/>
  <c r="W57" i="13"/>
  <c r="V57" i="13"/>
  <c r="U57" i="13"/>
  <c r="T57" i="13"/>
  <c r="M57" i="13"/>
  <c r="L57" i="13"/>
  <c r="K57" i="13"/>
  <c r="J57" i="13"/>
  <c r="I57" i="13"/>
  <c r="H57" i="13"/>
  <c r="G57" i="13"/>
  <c r="Z56" i="13"/>
  <c r="Y56" i="13"/>
  <c r="X56" i="13"/>
  <c r="W56" i="13"/>
  <c r="V56" i="13"/>
  <c r="U56" i="13"/>
  <c r="T56" i="13"/>
  <c r="M56" i="13"/>
  <c r="L56" i="13"/>
  <c r="K56" i="13"/>
  <c r="J56" i="13"/>
  <c r="I56" i="13"/>
  <c r="H56" i="13"/>
  <c r="G56" i="13"/>
  <c r="Z55" i="13"/>
  <c r="Y55" i="13"/>
  <c r="X55" i="13"/>
  <c r="W55" i="13"/>
  <c r="V55" i="13"/>
  <c r="U55" i="13"/>
  <c r="T55" i="13"/>
  <c r="M55" i="13"/>
  <c r="L55" i="13"/>
  <c r="K55" i="13"/>
  <c r="J55" i="13"/>
  <c r="I55" i="13"/>
  <c r="H55" i="13"/>
  <c r="G55" i="13"/>
  <c r="Z54" i="13"/>
  <c r="Y54" i="13"/>
  <c r="X54" i="13"/>
  <c r="W54" i="13"/>
  <c r="V54" i="13"/>
  <c r="U54" i="13"/>
  <c r="T54" i="13"/>
  <c r="M54" i="13"/>
  <c r="L54" i="13"/>
  <c r="K54" i="13"/>
  <c r="J54" i="13"/>
  <c r="I54" i="13"/>
  <c r="H54" i="13"/>
  <c r="G54" i="13"/>
  <c r="Z53" i="13"/>
  <c r="Y53" i="13"/>
  <c r="X53" i="13"/>
  <c r="W53" i="13"/>
  <c r="V53" i="13"/>
  <c r="U53" i="13"/>
  <c r="T53" i="13"/>
  <c r="M53" i="13"/>
  <c r="L53" i="13"/>
  <c r="K53" i="13"/>
  <c r="J53" i="13"/>
  <c r="I53" i="13"/>
  <c r="H53" i="13"/>
  <c r="G53" i="13"/>
  <c r="Z52" i="13"/>
  <c r="Y52" i="13"/>
  <c r="X52" i="13"/>
  <c r="W52" i="13"/>
  <c r="V52" i="13"/>
  <c r="U52" i="13"/>
  <c r="T52" i="13"/>
  <c r="M52" i="13"/>
  <c r="L52" i="13"/>
  <c r="K52" i="13"/>
  <c r="J52" i="13"/>
  <c r="I52" i="13"/>
  <c r="H52" i="13"/>
  <c r="G52" i="13"/>
  <c r="Z51" i="13"/>
  <c r="Y51" i="13"/>
  <c r="X51" i="13"/>
  <c r="W51" i="13"/>
  <c r="V51" i="13"/>
  <c r="U51" i="13"/>
  <c r="T51" i="13"/>
  <c r="M51" i="13"/>
  <c r="L51" i="13"/>
  <c r="K51" i="13"/>
  <c r="J51" i="13"/>
  <c r="I51" i="13"/>
  <c r="H51" i="13"/>
  <c r="G51" i="13"/>
  <c r="B30" i="13"/>
  <c r="T29" i="13" s="1"/>
  <c r="V19" i="14" s="1"/>
  <c r="X29" i="13"/>
  <c r="Z19" i="14" s="1"/>
  <c r="V29" i="13"/>
  <c r="X19" i="14" s="1"/>
  <c r="U29" i="13"/>
  <c r="W19" i="14" s="1"/>
  <c r="S29" i="13"/>
  <c r="U19" i="14" s="1"/>
  <c r="P29" i="13"/>
  <c r="R19" i="14" s="1"/>
  <c r="M29" i="13"/>
  <c r="M19" i="14" s="1"/>
  <c r="L29" i="13"/>
  <c r="L19" i="14" s="1"/>
  <c r="J29" i="13"/>
  <c r="J19" i="14" s="1"/>
  <c r="G29" i="13"/>
  <c r="G19" i="14" s="1"/>
  <c r="E29" i="13"/>
  <c r="E19" i="14" s="1"/>
  <c r="D29" i="13"/>
  <c r="D19" i="14" s="1"/>
  <c r="B29" i="13"/>
  <c r="B19" i="14" s="1"/>
  <c r="Z28" i="13"/>
  <c r="AB18" i="14" s="1"/>
  <c r="Y28" i="13"/>
  <c r="AA18" i="14" s="1"/>
  <c r="X28" i="13"/>
  <c r="Z18" i="14" s="1"/>
  <c r="V28" i="13"/>
  <c r="X18" i="14" s="1"/>
  <c r="U28" i="13"/>
  <c r="W18" i="14" s="1"/>
  <c r="S28" i="13"/>
  <c r="U18" i="14" s="1"/>
  <c r="R28" i="13"/>
  <c r="T18" i="14" s="1"/>
  <c r="Q28" i="13"/>
  <c r="S18" i="14" s="1"/>
  <c r="P28" i="13"/>
  <c r="R18" i="14" s="1"/>
  <c r="M28" i="13"/>
  <c r="M18" i="14" s="1"/>
  <c r="L28" i="13"/>
  <c r="L18" i="14" s="1"/>
  <c r="J28" i="13"/>
  <c r="J18" i="14" s="1"/>
  <c r="I28" i="13"/>
  <c r="I18" i="14" s="1"/>
  <c r="H28" i="13"/>
  <c r="H18" i="14" s="1"/>
  <c r="G28" i="13"/>
  <c r="G18" i="14" s="1"/>
  <c r="E28" i="13"/>
  <c r="E18" i="14" s="1"/>
  <c r="D28" i="13"/>
  <c r="D18" i="14" s="1"/>
  <c r="C28" i="13"/>
  <c r="C18" i="14" s="1"/>
  <c r="B28" i="13"/>
  <c r="B18" i="14" s="1"/>
  <c r="Z27" i="13"/>
  <c r="AB17" i="14" s="1"/>
  <c r="Y27" i="13"/>
  <c r="AA17" i="14" s="1"/>
  <c r="X27" i="13"/>
  <c r="Z17" i="14" s="1"/>
  <c r="W27" i="13"/>
  <c r="Y17" i="14" s="1"/>
  <c r="V27" i="13"/>
  <c r="X17" i="14" s="1"/>
  <c r="U27" i="13"/>
  <c r="W17" i="14" s="1"/>
  <c r="T27" i="13"/>
  <c r="V17" i="14" s="1"/>
  <c r="S27" i="13"/>
  <c r="U17" i="14" s="1"/>
  <c r="R27" i="13"/>
  <c r="T17" i="14" s="1"/>
  <c r="Q27" i="13"/>
  <c r="S17" i="14" s="1"/>
  <c r="P27" i="13"/>
  <c r="R17" i="14" s="1"/>
  <c r="O27" i="13"/>
  <c r="Q17" i="14" s="1"/>
  <c r="M27" i="13"/>
  <c r="M17" i="14" s="1"/>
  <c r="L27" i="13"/>
  <c r="L17" i="14" s="1"/>
  <c r="K27" i="13"/>
  <c r="K17" i="14" s="1"/>
  <c r="J27" i="13"/>
  <c r="J17" i="14" s="1"/>
  <c r="I27" i="13"/>
  <c r="I17" i="14" s="1"/>
  <c r="H27" i="13"/>
  <c r="H17" i="14" s="1"/>
  <c r="G27" i="13"/>
  <c r="G17" i="14" s="1"/>
  <c r="F27" i="13"/>
  <c r="F17" i="14" s="1"/>
  <c r="E27" i="13"/>
  <c r="E17" i="14" s="1"/>
  <c r="D27" i="13"/>
  <c r="D17" i="14" s="1"/>
  <c r="C27" i="13"/>
  <c r="C17" i="14" s="1"/>
  <c r="B27" i="13"/>
  <c r="B17" i="14" s="1"/>
  <c r="Z26" i="13"/>
  <c r="AB16" i="14" s="1"/>
  <c r="Y26" i="13"/>
  <c r="AA16" i="14" s="1"/>
  <c r="X26" i="13"/>
  <c r="Z16" i="14" s="1"/>
  <c r="W26" i="13"/>
  <c r="Y16" i="14" s="1"/>
  <c r="V26" i="13"/>
  <c r="X16" i="14" s="1"/>
  <c r="U26" i="13"/>
  <c r="W16" i="14" s="1"/>
  <c r="T26" i="13"/>
  <c r="V16" i="14" s="1"/>
  <c r="S26" i="13"/>
  <c r="U16" i="14" s="1"/>
  <c r="R26" i="13"/>
  <c r="T16" i="14" s="1"/>
  <c r="Q26" i="13"/>
  <c r="S16" i="14" s="1"/>
  <c r="P26" i="13"/>
  <c r="R16" i="14" s="1"/>
  <c r="O26" i="13"/>
  <c r="Q16" i="14" s="1"/>
  <c r="M26" i="13"/>
  <c r="M16" i="14" s="1"/>
  <c r="L26" i="13"/>
  <c r="L16" i="14" s="1"/>
  <c r="K26" i="13"/>
  <c r="K16" i="14" s="1"/>
  <c r="J26" i="13"/>
  <c r="J16" i="14" s="1"/>
  <c r="I26" i="13"/>
  <c r="I16" i="14" s="1"/>
  <c r="H26" i="13"/>
  <c r="H16" i="14" s="1"/>
  <c r="G26" i="13"/>
  <c r="G16" i="14" s="1"/>
  <c r="F26" i="13"/>
  <c r="F16" i="14" s="1"/>
  <c r="E26" i="13"/>
  <c r="E16" i="14" s="1"/>
  <c r="D26" i="13"/>
  <c r="D16" i="14" s="1"/>
  <c r="C26" i="13"/>
  <c r="C16" i="14" s="1"/>
  <c r="B26" i="13"/>
  <c r="B16" i="14" s="1"/>
  <c r="Z25" i="13"/>
  <c r="AB15" i="14" s="1"/>
  <c r="Y25" i="13"/>
  <c r="AA15" i="14" s="1"/>
  <c r="X25" i="13"/>
  <c r="Z15" i="14" s="1"/>
  <c r="W25" i="13"/>
  <c r="Y15" i="14" s="1"/>
  <c r="V25" i="13"/>
  <c r="X15" i="14" s="1"/>
  <c r="U25" i="13"/>
  <c r="W15" i="14" s="1"/>
  <c r="T25" i="13"/>
  <c r="V15" i="14" s="1"/>
  <c r="S25" i="13"/>
  <c r="U15" i="14" s="1"/>
  <c r="R25" i="13"/>
  <c r="T15" i="14" s="1"/>
  <c r="Q25" i="13"/>
  <c r="S15" i="14" s="1"/>
  <c r="P25" i="13"/>
  <c r="R15" i="14" s="1"/>
  <c r="O25" i="13"/>
  <c r="Q15" i="14" s="1"/>
  <c r="M25" i="13"/>
  <c r="M15" i="14" s="1"/>
  <c r="L25" i="13"/>
  <c r="L15" i="14" s="1"/>
  <c r="K25" i="13"/>
  <c r="K15" i="14" s="1"/>
  <c r="J25" i="13"/>
  <c r="J15" i="14" s="1"/>
  <c r="I25" i="13"/>
  <c r="I15" i="14" s="1"/>
  <c r="H25" i="13"/>
  <c r="H15" i="14" s="1"/>
  <c r="G25" i="13"/>
  <c r="G15" i="14" s="1"/>
  <c r="F25" i="13"/>
  <c r="F15" i="14" s="1"/>
  <c r="E25" i="13"/>
  <c r="E15" i="14" s="1"/>
  <c r="D25" i="13"/>
  <c r="D15" i="14" s="1"/>
  <c r="C25" i="13"/>
  <c r="C15" i="14" s="1"/>
  <c r="B25" i="13"/>
  <c r="B15" i="14" s="1"/>
  <c r="Z24" i="13"/>
  <c r="AB14" i="14" s="1"/>
  <c r="Y24" i="13"/>
  <c r="AA14" i="14" s="1"/>
  <c r="X24" i="13"/>
  <c r="Z14" i="14" s="1"/>
  <c r="W24" i="13"/>
  <c r="Y14" i="14" s="1"/>
  <c r="V24" i="13"/>
  <c r="X14" i="14" s="1"/>
  <c r="U24" i="13"/>
  <c r="W14" i="14" s="1"/>
  <c r="T24" i="13"/>
  <c r="V14" i="14" s="1"/>
  <c r="S24" i="13"/>
  <c r="U14" i="14" s="1"/>
  <c r="R24" i="13"/>
  <c r="T14" i="14" s="1"/>
  <c r="Q24" i="13"/>
  <c r="S14" i="14" s="1"/>
  <c r="P24" i="13"/>
  <c r="R14" i="14" s="1"/>
  <c r="O24" i="13"/>
  <c r="Q14" i="14" s="1"/>
  <c r="M24" i="13"/>
  <c r="M14" i="14" s="1"/>
  <c r="L24" i="13"/>
  <c r="L14" i="14" s="1"/>
  <c r="K24" i="13"/>
  <c r="K14" i="14" s="1"/>
  <c r="J24" i="13"/>
  <c r="J14" i="14" s="1"/>
  <c r="I24" i="13"/>
  <c r="I14" i="14" s="1"/>
  <c r="H24" i="13"/>
  <c r="H14" i="14" s="1"/>
  <c r="G24" i="13"/>
  <c r="G14" i="14" s="1"/>
  <c r="F24" i="13"/>
  <c r="F14" i="14" s="1"/>
  <c r="E24" i="13"/>
  <c r="E14" i="14" s="1"/>
  <c r="D24" i="13"/>
  <c r="D14" i="14" s="1"/>
  <c r="C24" i="13"/>
  <c r="C14" i="14" s="1"/>
  <c r="B24" i="13"/>
  <c r="B14" i="14" s="1"/>
  <c r="Z23" i="13"/>
  <c r="AB13" i="14" s="1"/>
  <c r="Y23" i="13"/>
  <c r="AA13" i="14" s="1"/>
  <c r="X23" i="13"/>
  <c r="Z13" i="14" s="1"/>
  <c r="W23" i="13"/>
  <c r="Y13" i="14" s="1"/>
  <c r="V23" i="13"/>
  <c r="X13" i="14" s="1"/>
  <c r="U23" i="13"/>
  <c r="W13" i="14" s="1"/>
  <c r="T23" i="13"/>
  <c r="V13" i="14" s="1"/>
  <c r="S23" i="13"/>
  <c r="U13" i="14" s="1"/>
  <c r="R23" i="13"/>
  <c r="T13" i="14" s="1"/>
  <c r="Q23" i="13"/>
  <c r="S13" i="14" s="1"/>
  <c r="P23" i="13"/>
  <c r="R13" i="14" s="1"/>
  <c r="O23" i="13"/>
  <c r="Q13" i="14" s="1"/>
  <c r="M23" i="13"/>
  <c r="M13" i="14" s="1"/>
  <c r="L23" i="13"/>
  <c r="L13" i="14" s="1"/>
  <c r="K23" i="13"/>
  <c r="K13" i="14" s="1"/>
  <c r="J23" i="13"/>
  <c r="J13" i="14" s="1"/>
  <c r="I23" i="13"/>
  <c r="I13" i="14" s="1"/>
  <c r="H23" i="13"/>
  <c r="H13" i="14" s="1"/>
  <c r="G23" i="13"/>
  <c r="G13" i="14" s="1"/>
  <c r="F23" i="13"/>
  <c r="F13" i="14" s="1"/>
  <c r="E23" i="13"/>
  <c r="E13" i="14" s="1"/>
  <c r="D23" i="13"/>
  <c r="D13" i="14" s="1"/>
  <c r="C23" i="13"/>
  <c r="C13" i="14" s="1"/>
  <c r="B23" i="13"/>
  <c r="B13" i="14" s="1"/>
  <c r="N61" i="12"/>
  <c r="N60" i="12"/>
  <c r="U59" i="12"/>
  <c r="V59" i="12" s="1"/>
  <c r="N59" i="12"/>
  <c r="U58" i="12"/>
  <c r="V58" i="12" s="1"/>
  <c r="S58" i="12"/>
  <c r="N58" i="12"/>
  <c r="N56" i="12"/>
  <c r="N55" i="12"/>
  <c r="U54" i="12"/>
  <c r="V54" i="12" s="1"/>
  <c r="U53" i="12"/>
  <c r="V53" i="12" s="1"/>
  <c r="N53" i="12"/>
  <c r="U52" i="12"/>
  <c r="V52" i="12" s="1"/>
  <c r="S52" i="12"/>
  <c r="N52" i="12"/>
  <c r="N51" i="12"/>
  <c r="U50" i="12"/>
  <c r="V50" i="12" s="1"/>
  <c r="N50" i="12"/>
  <c r="N48" i="12"/>
  <c r="V47" i="12"/>
  <c r="U47" i="12"/>
  <c r="S47" i="12"/>
  <c r="N47" i="12"/>
  <c r="N46" i="12"/>
  <c r="N44" i="12"/>
  <c r="N43" i="12"/>
  <c r="V42" i="12"/>
  <c r="U42" i="12"/>
  <c r="S42" i="12"/>
  <c r="N42" i="12"/>
  <c r="N41" i="12"/>
  <c r="N40" i="12"/>
  <c r="N39" i="12"/>
  <c r="N38" i="12"/>
  <c r="U37" i="12"/>
  <c r="V37" i="12" s="1"/>
  <c r="N37" i="12"/>
  <c r="N36" i="12"/>
  <c r="N35" i="12"/>
  <c r="V34" i="12"/>
  <c r="S34" i="12"/>
  <c r="N34" i="12"/>
  <c r="N30" i="12"/>
  <c r="AM29" i="12"/>
  <c r="N29" i="12"/>
  <c r="AM28" i="12"/>
  <c r="N28" i="12"/>
  <c r="U27" i="12"/>
  <c r="V27" i="12" s="1"/>
  <c r="S27" i="12"/>
  <c r="N27" i="12"/>
  <c r="AM26" i="12"/>
  <c r="V26" i="12"/>
  <c r="AM25" i="12"/>
  <c r="N25" i="12"/>
  <c r="AM24" i="12"/>
  <c r="N24" i="12"/>
  <c r="AM23" i="12"/>
  <c r="N23" i="12"/>
  <c r="AM22" i="12"/>
  <c r="N22" i="12"/>
  <c r="U21" i="12"/>
  <c r="V21" i="12" s="1"/>
  <c r="S21" i="12"/>
  <c r="N21" i="12"/>
  <c r="AM20" i="12"/>
  <c r="N20" i="12"/>
  <c r="AM19" i="12"/>
  <c r="N19" i="12"/>
  <c r="AM18" i="12"/>
  <c r="N18" i="12"/>
  <c r="AM17" i="12"/>
  <c r="V17" i="12"/>
  <c r="N17" i="12"/>
  <c r="N26" i="12" s="1"/>
  <c r="U16" i="12"/>
  <c r="V16" i="12" s="1"/>
  <c r="S16" i="12"/>
  <c r="N16" i="12"/>
  <c r="N15" i="12"/>
  <c r="AM14" i="12"/>
  <c r="AM13" i="12"/>
  <c r="N13" i="12"/>
  <c r="AM12" i="12"/>
  <c r="N12" i="12"/>
  <c r="U11" i="12"/>
  <c r="V11" i="12" s="1"/>
  <c r="S11" i="12"/>
  <c r="N11" i="12"/>
  <c r="AM10" i="12"/>
  <c r="N10" i="12"/>
  <c r="AM9" i="12"/>
  <c r="N9" i="12"/>
  <c r="AM8" i="12"/>
  <c r="N8" i="12"/>
  <c r="AM7" i="12"/>
  <c r="N7" i="12"/>
  <c r="AM6" i="12"/>
  <c r="N6" i="12"/>
  <c r="AM5" i="12"/>
  <c r="N5" i="12"/>
  <c r="AM4" i="12"/>
  <c r="V4" i="12"/>
  <c r="N4" i="12"/>
  <c r="U3" i="12"/>
  <c r="S3" i="12"/>
  <c r="N3" i="12"/>
  <c r="AH34" i="7"/>
  <c r="AF34" i="7"/>
  <c r="AH33" i="7"/>
  <c r="AF33" i="7"/>
  <c r="AJ32" i="7"/>
  <c r="AH32" i="7"/>
  <c r="AF32" i="7"/>
  <c r="AH31" i="7"/>
  <c r="AF31" i="7"/>
  <c r="AH30" i="7"/>
  <c r="AF30" i="7"/>
  <c r="AH29" i="7"/>
  <c r="AF29" i="7"/>
  <c r="AJ28" i="7"/>
  <c r="AH28" i="7"/>
  <c r="AF28" i="7"/>
  <c r="AH27" i="7"/>
  <c r="AF27" i="7"/>
  <c r="AH26" i="7"/>
  <c r="AF26" i="7"/>
  <c r="AH25" i="7"/>
  <c r="AF25" i="7"/>
  <c r="AH24" i="7"/>
  <c r="AF24" i="7"/>
  <c r="AJ24" i="7" s="1"/>
  <c r="AH23" i="7"/>
  <c r="AF23" i="7"/>
  <c r="AG23" i="7" s="1"/>
  <c r="O6" i="13"/>
  <c r="D16" i="13"/>
  <c r="C19" i="13"/>
  <c r="R15" i="13"/>
  <c r="R14" i="13"/>
  <c r="B3" i="13"/>
  <c r="E4" i="13"/>
  <c r="B18" i="13"/>
  <c r="O15" i="13"/>
  <c r="P3" i="13"/>
  <c r="P5" i="13"/>
  <c r="E14" i="13"/>
  <c r="Q3" i="13"/>
  <c r="D7" i="13"/>
  <c r="P9" i="13"/>
  <c r="E18" i="13"/>
  <c r="S4" i="13"/>
  <c r="P6" i="13"/>
  <c r="O8" i="13"/>
  <c r="S14" i="13"/>
  <c r="F14" i="13"/>
  <c r="S19" i="13"/>
  <c r="S7" i="13"/>
  <c r="F7" i="13"/>
  <c r="R9" i="13"/>
  <c r="Q19" i="13"/>
  <c r="O4" i="13"/>
  <c r="B8" i="13"/>
  <c r="E3" i="13"/>
  <c r="B9" i="13"/>
  <c r="E7" i="13"/>
  <c r="C9" i="13"/>
  <c r="O9" i="13"/>
  <c r="D5" i="13"/>
  <c r="D17" i="13"/>
  <c r="B17" i="13"/>
  <c r="D6" i="13"/>
  <c r="D18" i="13"/>
  <c r="F9" i="13"/>
  <c r="P14" i="13"/>
  <c r="D4" i="13"/>
  <c r="B5" i="13"/>
  <c r="C4" i="13"/>
  <c r="P15" i="13"/>
  <c r="C15" i="13"/>
  <c r="R13" i="13"/>
  <c r="O3" i="13"/>
  <c r="P4" i="13"/>
  <c r="R16" i="13"/>
  <c r="P7" i="13"/>
  <c r="S17" i="13"/>
  <c r="F3" i="13"/>
  <c r="C8" i="13"/>
  <c r="D9" i="13"/>
  <c r="B6" i="13"/>
  <c r="O14" i="13"/>
  <c r="Q7" i="13"/>
  <c r="P17" i="13"/>
  <c r="F18" i="13"/>
  <c r="E15" i="13"/>
  <c r="E9" i="13"/>
  <c r="D19" i="13"/>
  <c r="D13" i="13"/>
  <c r="S3" i="13"/>
  <c r="R18" i="13"/>
  <c r="S9" i="13"/>
  <c r="S13" i="13"/>
  <c r="F17" i="13"/>
  <c r="O7" i="13"/>
  <c r="R8" i="13"/>
  <c r="Q16" i="13"/>
  <c r="F8" i="13"/>
  <c r="P8" i="13"/>
  <c r="E8" i="13"/>
  <c r="B16" i="13"/>
  <c r="S6" i="13"/>
  <c r="Q14" i="13"/>
  <c r="Q13" i="13"/>
  <c r="Q4" i="13"/>
  <c r="F15" i="13"/>
  <c r="R7" i="13"/>
  <c r="Q5" i="13"/>
  <c r="Q6" i="13"/>
  <c r="F4" i="13"/>
  <c r="Q15" i="13"/>
  <c r="C5" i="13"/>
  <c r="R5" i="13"/>
  <c r="R17" i="13"/>
  <c r="D14" i="13"/>
  <c r="S8" i="13"/>
  <c r="Q17" i="13"/>
  <c r="B19" i="13"/>
  <c r="F13" i="13"/>
  <c r="D15" i="13"/>
  <c r="R3" i="13"/>
  <c r="F16" i="13"/>
  <c r="C17" i="13"/>
  <c r="O13" i="13"/>
  <c r="B13" i="13"/>
  <c r="B15" i="13"/>
  <c r="B7" i="13"/>
  <c r="Q18" i="13"/>
  <c r="C13" i="13"/>
  <c r="P16" i="13"/>
  <c r="O18" i="13"/>
  <c r="B14" i="13"/>
  <c r="R6" i="13"/>
  <c r="O5" i="13"/>
  <c r="S5" i="13"/>
  <c r="E5" i="13"/>
  <c r="P13" i="13"/>
  <c r="C18" i="13"/>
  <c r="B4" i="13"/>
  <c r="P19" i="13"/>
  <c r="C7" i="13"/>
  <c r="E16" i="13"/>
  <c r="R4" i="13"/>
  <c r="Q8" i="13"/>
  <c r="S18" i="13"/>
  <c r="D8" i="13"/>
  <c r="C3" i="13"/>
  <c r="E17" i="13"/>
  <c r="D3" i="13"/>
  <c r="F6" i="13"/>
  <c r="C16" i="13"/>
  <c r="Q9" i="13"/>
  <c r="C14" i="13"/>
  <c r="O17" i="13"/>
  <c r="P18" i="13"/>
  <c r="C6" i="13"/>
  <c r="O19" i="13"/>
  <c r="E6" i="13"/>
  <c r="F5" i="13"/>
  <c r="S16" i="13"/>
  <c r="O16" i="13"/>
  <c r="R19" i="13"/>
  <c r="F19" i="13"/>
  <c r="S15" i="13"/>
  <c r="E19" i="13"/>
  <c r="E13" i="13"/>
  <c r="D51" i="13" l="1"/>
  <c r="B52" i="13"/>
  <c r="R52" i="13"/>
  <c r="P53" i="13"/>
  <c r="F54" i="13"/>
  <c r="D55" i="13"/>
  <c r="B56" i="13"/>
  <c r="R56" i="13"/>
  <c r="P57" i="13"/>
  <c r="E51" i="13"/>
  <c r="C52" i="13"/>
  <c r="S52" i="13"/>
  <c r="Q53" i="13"/>
  <c r="O54" i="13"/>
  <c r="E55" i="13"/>
  <c r="C56" i="13"/>
  <c r="S56" i="13"/>
  <c r="Q57" i="13"/>
  <c r="F51" i="13"/>
  <c r="D52" i="13"/>
  <c r="B53" i="13"/>
  <c r="R53" i="13"/>
  <c r="P54" i="13"/>
  <c r="F55" i="13"/>
  <c r="D56" i="13"/>
  <c r="B57" i="13"/>
  <c r="R57" i="13"/>
  <c r="O51" i="13"/>
  <c r="E52" i="13"/>
  <c r="C53" i="13"/>
  <c r="S53" i="13"/>
  <c r="Q54" i="13"/>
  <c r="O55" i="13"/>
  <c r="E56" i="13"/>
  <c r="C57" i="13"/>
  <c r="S57" i="13"/>
  <c r="P51" i="13"/>
  <c r="F52" i="13"/>
  <c r="D53" i="13"/>
  <c r="B54" i="13"/>
  <c r="R54" i="13"/>
  <c r="P55" i="13"/>
  <c r="F56" i="13"/>
  <c r="D57" i="13"/>
  <c r="Q51" i="13"/>
  <c r="O52" i="13"/>
  <c r="E53" i="13"/>
  <c r="C54" i="13"/>
  <c r="S54" i="13"/>
  <c r="Q55" i="13"/>
  <c r="O56" i="13"/>
  <c r="E57" i="13"/>
  <c r="B51" i="13"/>
  <c r="R51" i="13"/>
  <c r="P52" i="13"/>
  <c r="F53" i="13"/>
  <c r="D54" i="13"/>
  <c r="B55" i="13"/>
  <c r="R55" i="13"/>
  <c r="P56" i="13"/>
  <c r="F57" i="13"/>
  <c r="C51" i="13"/>
  <c r="S51" i="13"/>
  <c r="Q52" i="13"/>
  <c r="O53" i="13"/>
  <c r="E54" i="13"/>
  <c r="C55" i="13"/>
  <c r="S55" i="13"/>
  <c r="Q56" i="13"/>
  <c r="O57" i="13"/>
  <c r="B13" i="12"/>
  <c r="E9" i="12"/>
  <c r="J6" i="12"/>
  <c r="H14" i="12"/>
  <c r="J10" i="12"/>
  <c r="J14" i="12"/>
  <c r="B4" i="12"/>
  <c r="J8" i="12"/>
  <c r="K10" i="12"/>
  <c r="B10" i="12"/>
  <c r="B5" i="12"/>
  <c r="C7" i="12"/>
  <c r="AE7" i="12" s="1"/>
  <c r="C9" i="12"/>
  <c r="AE9" i="12" s="1"/>
  <c r="D9" i="12"/>
  <c r="AJ9" i="12" s="1"/>
  <c r="Q4" i="12"/>
  <c r="Q7" i="12"/>
  <c r="Q5" i="12"/>
  <c r="H8" i="12"/>
  <c r="H6" i="12"/>
  <c r="I8" i="12"/>
  <c r="I10" i="12"/>
  <c r="M4" i="12"/>
  <c r="M7" i="12"/>
  <c r="Q13" i="12"/>
  <c r="H12" i="12"/>
  <c r="K13" i="12"/>
  <c r="M12" i="12"/>
  <c r="D17" i="12"/>
  <c r="AJ17" i="12" s="1"/>
  <c r="F24" i="12"/>
  <c r="P24" i="12" s="1"/>
  <c r="S24" i="12" s="1"/>
  <c r="M22" i="12"/>
  <c r="R7" i="12"/>
  <c r="R9" i="12"/>
  <c r="R13" i="12"/>
  <c r="G23" i="12"/>
  <c r="H25" i="12"/>
  <c r="B7" i="12"/>
  <c r="R4" i="12"/>
  <c r="F9" i="12"/>
  <c r="P9" i="12" s="1"/>
  <c r="S9" i="12" s="1"/>
  <c r="R5" i="12"/>
  <c r="L12" i="12"/>
  <c r="Q15" i="12"/>
  <c r="R18" i="12"/>
  <c r="H17" i="12"/>
  <c r="Q10" i="12"/>
  <c r="R15" i="12"/>
  <c r="I24" i="12"/>
  <c r="B6" i="12"/>
  <c r="C8" i="12"/>
  <c r="AE8" i="12" s="1"/>
  <c r="C6" i="12"/>
  <c r="AE6" i="12" s="1"/>
  <c r="D10" i="12"/>
  <c r="AJ10" i="12" s="1"/>
  <c r="Q8" i="12"/>
  <c r="R10" i="12"/>
  <c r="Q6" i="12"/>
  <c r="G4" i="12"/>
  <c r="G5" i="12"/>
  <c r="H4" i="12"/>
  <c r="H7" i="12"/>
  <c r="H5" i="12"/>
  <c r="I9" i="12"/>
  <c r="C13" i="12"/>
  <c r="AE13" i="12" s="1"/>
  <c r="E12" i="12"/>
  <c r="Q14" i="12"/>
  <c r="H13" i="12"/>
  <c r="B20" i="12"/>
  <c r="E20" i="12"/>
  <c r="R8" i="12"/>
  <c r="R6" i="12"/>
  <c r="Q12" i="12"/>
  <c r="R14" i="12"/>
  <c r="F19" i="12"/>
  <c r="P19" i="12" s="1"/>
  <c r="S19" i="12" s="1"/>
  <c r="G25" i="12"/>
  <c r="E6" i="12"/>
  <c r="G10" i="12"/>
  <c r="J4" i="12"/>
  <c r="J5" i="12"/>
  <c r="K9" i="12"/>
  <c r="L9" i="12"/>
  <c r="M5" i="12"/>
  <c r="D12" i="12"/>
  <c r="AJ12" i="12" s="1"/>
  <c r="G13" i="12"/>
  <c r="C18" i="12"/>
  <c r="AE18" i="12" s="1"/>
  <c r="F20" i="12"/>
  <c r="I20" i="12"/>
  <c r="F23" i="12"/>
  <c r="J23" i="12"/>
  <c r="Q9" i="12"/>
  <c r="D14" i="12"/>
  <c r="R12" i="12"/>
  <c r="Q17" i="12"/>
  <c r="G18" i="12"/>
  <c r="G26" i="12"/>
  <c r="Q19" i="12"/>
  <c r="R20" i="12"/>
  <c r="R23" i="12"/>
  <c r="H26" i="12"/>
  <c r="K25" i="12"/>
  <c r="L24" i="12"/>
  <c r="M23" i="12"/>
  <c r="D18" i="12"/>
  <c r="AJ18" i="12" s="1"/>
  <c r="E17" i="12"/>
  <c r="Q18" i="12"/>
  <c r="R19" i="12"/>
  <c r="G19" i="12"/>
  <c r="H18" i="12"/>
  <c r="I17" i="12"/>
  <c r="L18" i="12"/>
  <c r="M17" i="12"/>
  <c r="Q26" i="12"/>
  <c r="Q25" i="12"/>
  <c r="J26" i="12"/>
  <c r="K22" i="12"/>
  <c r="C28" i="12"/>
  <c r="AE28" i="12" s="1"/>
  <c r="J19" i="12"/>
  <c r="K18" i="12"/>
  <c r="L17" i="12"/>
  <c r="M20" i="12"/>
  <c r="Q22" i="12"/>
  <c r="R26" i="12"/>
  <c r="Q24" i="12"/>
  <c r="R25" i="12"/>
  <c r="G22" i="12"/>
  <c r="I22" i="12"/>
  <c r="L25" i="12"/>
  <c r="H24" i="12"/>
  <c r="I23" i="12"/>
  <c r="K26" i="12"/>
  <c r="L22" i="12"/>
  <c r="R17" i="12"/>
  <c r="Q20" i="12"/>
  <c r="R22" i="12"/>
  <c r="Q23" i="12"/>
  <c r="R24" i="12"/>
  <c r="B29" i="12"/>
  <c r="AJ27" i="7"/>
  <c r="Q29" i="12"/>
  <c r="D28" i="12"/>
  <c r="AJ28" i="12" s="1"/>
  <c r="Q28" i="12"/>
  <c r="R29" i="12"/>
  <c r="G29" i="12"/>
  <c r="H28" i="12"/>
  <c r="K29" i="12"/>
  <c r="L28" i="12"/>
  <c r="R28" i="12"/>
  <c r="F29" i="12"/>
  <c r="P29" i="12" s="1"/>
  <c r="S29" i="12" s="1"/>
  <c r="G28" i="12"/>
  <c r="J29" i="12"/>
  <c r="K28" i="12"/>
  <c r="AJ23" i="7"/>
  <c r="AJ34" i="7"/>
  <c r="AI23" i="7"/>
  <c r="AK23" i="7" s="1"/>
  <c r="AJ30" i="7"/>
  <c r="AJ26" i="7"/>
  <c r="AJ31" i="7"/>
  <c r="N54" i="12"/>
  <c r="P23" i="12"/>
  <c r="S23" i="12" s="1"/>
  <c r="AG24" i="7"/>
  <c r="AJ25" i="7"/>
  <c r="AJ29" i="7"/>
  <c r="AJ33" i="7"/>
  <c r="P20" i="12"/>
  <c r="S20" i="12" s="1"/>
  <c r="V3" i="12"/>
  <c r="N14" i="12"/>
  <c r="F28" i="13"/>
  <c r="F18" i="14" s="1"/>
  <c r="O28" i="13"/>
  <c r="Q18" i="14" s="1"/>
  <c r="W28" i="13"/>
  <c r="Y18" i="14" s="1"/>
  <c r="F29" i="13"/>
  <c r="F19" i="14" s="1"/>
  <c r="O29" i="13"/>
  <c r="Q19" i="14" s="1"/>
  <c r="W29" i="13"/>
  <c r="Y19" i="14" s="1"/>
  <c r="N57" i="12"/>
  <c r="H29" i="13"/>
  <c r="H19" i="14" s="1"/>
  <c r="Q29" i="13"/>
  <c r="S19" i="14" s="1"/>
  <c r="Y29" i="13"/>
  <c r="AA19" i="14" s="1"/>
  <c r="I29" i="13"/>
  <c r="I19" i="14" s="1"/>
  <c r="R29" i="13"/>
  <c r="T19" i="14" s="1"/>
  <c r="Z29" i="13"/>
  <c r="AB19" i="14" s="1"/>
  <c r="N49" i="12"/>
  <c r="K28" i="13"/>
  <c r="K18" i="14" s="1"/>
  <c r="T28" i="13"/>
  <c r="V18" i="14" s="1"/>
  <c r="C29" i="13"/>
  <c r="C19" i="14" s="1"/>
  <c r="K29" i="13"/>
  <c r="K19" i="14" s="1"/>
  <c r="B55" i="12" l="1"/>
  <c r="K21" i="12"/>
  <c r="L21" i="12"/>
  <c r="I11" i="12"/>
  <c r="B36" i="12"/>
  <c r="AC23" i="12"/>
  <c r="U23" i="12"/>
  <c r="V23" i="12" s="1"/>
  <c r="W23" i="12" s="1"/>
  <c r="U24" i="12"/>
  <c r="V24" i="12" s="1"/>
  <c r="W24" i="12" s="1"/>
  <c r="AC24" i="12"/>
  <c r="J22" i="12"/>
  <c r="AL28" i="12"/>
  <c r="X28" i="12"/>
  <c r="M29" i="12"/>
  <c r="J18" i="12"/>
  <c r="G17" i="12"/>
  <c r="U28" i="12"/>
  <c r="V28" i="12" s="1"/>
  <c r="W28" i="12" s="1"/>
  <c r="AC28" i="12"/>
  <c r="I28" i="12"/>
  <c r="U29" i="12"/>
  <c r="V29" i="12" s="1"/>
  <c r="W29" i="12" s="1"/>
  <c r="AC29" i="12"/>
  <c r="F26" i="12"/>
  <c r="P26" i="12" s="1"/>
  <c r="S26" i="12" s="1"/>
  <c r="C26" i="12"/>
  <c r="E19" i="12"/>
  <c r="C27" i="12"/>
  <c r="D29" i="12"/>
  <c r="AJ29" i="12" s="1"/>
  <c r="U25" i="12"/>
  <c r="V25" i="12" s="1"/>
  <c r="W25" i="12" s="1"/>
  <c r="AC25" i="12"/>
  <c r="J20" i="12"/>
  <c r="L26" i="12"/>
  <c r="U19" i="12"/>
  <c r="V19" i="12" s="1"/>
  <c r="W19" i="12" s="1"/>
  <c r="AC19" i="12"/>
  <c r="L7" i="12"/>
  <c r="AC9" i="12"/>
  <c r="U9" i="12"/>
  <c r="V9" i="12" s="1"/>
  <c r="W9" i="12" s="1"/>
  <c r="H19" i="12"/>
  <c r="B14" i="12"/>
  <c r="D6" i="12"/>
  <c r="AJ6" i="12" s="1"/>
  <c r="L15" i="12"/>
  <c r="F21" i="12"/>
  <c r="AL5" i="12"/>
  <c r="X5" i="12"/>
  <c r="AD5" i="12" s="1"/>
  <c r="E14" i="12"/>
  <c r="AC5" i="12"/>
  <c r="U5" i="12"/>
  <c r="AL29" i="12"/>
  <c r="X29" i="12"/>
  <c r="AD29" i="12" s="1"/>
  <c r="H20" i="12"/>
  <c r="K20" i="12"/>
  <c r="L29" i="12"/>
  <c r="M19" i="12"/>
  <c r="U20" i="12"/>
  <c r="V20" i="12" s="1"/>
  <c r="W20" i="12" s="1"/>
  <c r="AC20" i="12"/>
  <c r="M25" i="12"/>
  <c r="AL26" i="12"/>
  <c r="X26" i="12"/>
  <c r="G24" i="12"/>
  <c r="C23" i="12"/>
  <c r="AE23" i="12" s="1"/>
  <c r="C19" i="12"/>
  <c r="AE19" i="12" s="1"/>
  <c r="D22" i="12"/>
  <c r="AJ22" i="12" s="1"/>
  <c r="B24" i="12"/>
  <c r="I26" i="12"/>
  <c r="E15" i="12"/>
  <c r="AL12" i="12"/>
  <c r="AK12" i="12" s="1"/>
  <c r="AK11" i="12" s="1"/>
  <c r="X12" i="12"/>
  <c r="M9" i="12"/>
  <c r="L4" i="12"/>
  <c r="I21" i="12"/>
  <c r="I12" i="12"/>
  <c r="K7" i="12"/>
  <c r="AL14" i="12"/>
  <c r="X14" i="12"/>
  <c r="AD14" i="12" s="1"/>
  <c r="I5" i="12"/>
  <c r="X6" i="12"/>
  <c r="AD6" i="12" s="1"/>
  <c r="AL6" i="12"/>
  <c r="D8" i="12"/>
  <c r="AJ8" i="12" s="1"/>
  <c r="D19" i="12"/>
  <c r="AJ19" i="12" s="1"/>
  <c r="AL15" i="12"/>
  <c r="X15" i="12"/>
  <c r="AD15" i="12" s="1"/>
  <c r="I14" i="12"/>
  <c r="M10" i="12"/>
  <c r="F4" i="12"/>
  <c r="P4" i="12" s="1"/>
  <c r="S4" i="12" s="1"/>
  <c r="R30" i="12"/>
  <c r="R31" i="12" s="1"/>
  <c r="Q31" i="12" s="1"/>
  <c r="S31" i="12" s="1"/>
  <c r="X4" i="12"/>
  <c r="AL4" i="12"/>
  <c r="AA4" i="12"/>
  <c r="C20" i="12"/>
  <c r="AE20" i="12" s="1"/>
  <c r="AC13" i="12"/>
  <c r="U13" i="12"/>
  <c r="V13" i="12" s="1"/>
  <c r="W13" i="12" s="1"/>
  <c r="D25" i="12"/>
  <c r="AJ25" i="12" s="1"/>
  <c r="K23" i="12"/>
  <c r="B18" i="12"/>
  <c r="B9" i="12"/>
  <c r="I6" i="12"/>
  <c r="C4" i="12"/>
  <c r="H29" i="12"/>
  <c r="I13" i="12"/>
  <c r="K5" i="12"/>
  <c r="I7" i="12"/>
  <c r="L14" i="12"/>
  <c r="M8" i="12"/>
  <c r="H9" i="12"/>
  <c r="L10" i="12"/>
  <c r="AG25" i="7"/>
  <c r="E28" i="12"/>
  <c r="H22" i="12"/>
  <c r="F25" i="12"/>
  <c r="P25" i="12" s="1"/>
  <c r="S25" i="12" s="1"/>
  <c r="D26" i="12"/>
  <c r="AJ26" i="12" s="1"/>
  <c r="AK26" i="12" s="1"/>
  <c r="I19" i="12"/>
  <c r="F18" i="12"/>
  <c r="P18" i="12" s="1"/>
  <c r="S18" i="12" s="1"/>
  <c r="D20" i="12"/>
  <c r="AJ20" i="12" s="1"/>
  <c r="AC22" i="12"/>
  <c r="U22" i="12"/>
  <c r="V22" i="12" s="1"/>
  <c r="W22" i="12" s="1"/>
  <c r="M26" i="12"/>
  <c r="W26" i="12"/>
  <c r="B23" i="12"/>
  <c r="E22" i="12"/>
  <c r="C24" i="12"/>
  <c r="AE24" i="12" s="1"/>
  <c r="L19" i="12"/>
  <c r="F17" i="12"/>
  <c r="P17" i="12" s="1"/>
  <c r="S17" i="12" s="1"/>
  <c r="F12" i="12"/>
  <c r="P12" i="12" s="1"/>
  <c r="S12" i="12" s="1"/>
  <c r="J9" i="12"/>
  <c r="I4" i="12"/>
  <c r="E10" i="12"/>
  <c r="AC14" i="12"/>
  <c r="U14" i="12"/>
  <c r="V14" i="12" s="1"/>
  <c r="W14" i="12" s="1"/>
  <c r="I15" i="12"/>
  <c r="G14" i="12"/>
  <c r="G7" i="12"/>
  <c r="B38" i="12"/>
  <c r="B17" i="12"/>
  <c r="F15" i="12"/>
  <c r="K6" i="12"/>
  <c r="E5" i="12"/>
  <c r="C14" i="12"/>
  <c r="AE14" i="12" s="1"/>
  <c r="I18" i="12"/>
  <c r="U7" i="12"/>
  <c r="V7" i="12" s="1"/>
  <c r="W7" i="12" s="1"/>
  <c r="AC7" i="12"/>
  <c r="F11" i="12"/>
  <c r="AI24" i="7"/>
  <c r="AK24" i="7" s="1"/>
  <c r="AK28" i="12"/>
  <c r="B28" i="12"/>
  <c r="K24" i="12"/>
  <c r="AL22" i="12"/>
  <c r="X22" i="12"/>
  <c r="AL23" i="12"/>
  <c r="X23" i="12"/>
  <c r="AD23" i="12" s="1"/>
  <c r="M15" i="12"/>
  <c r="B8" i="12"/>
  <c r="U8" i="12"/>
  <c r="V8" i="12" s="1"/>
  <c r="W8" i="12" s="1"/>
  <c r="AC8" i="12"/>
  <c r="G9" i="12"/>
  <c r="X7" i="12"/>
  <c r="AD7" i="12" s="1"/>
  <c r="AL7" i="12"/>
  <c r="K27" i="12"/>
  <c r="K8" i="14" s="1"/>
  <c r="F28" i="12"/>
  <c r="P28" i="12" s="1"/>
  <c r="S28" i="12" s="1"/>
  <c r="AL24" i="12"/>
  <c r="X24" i="12"/>
  <c r="AD24" i="12" s="1"/>
  <c r="B25" i="12"/>
  <c r="L20" i="12"/>
  <c r="C17" i="12"/>
  <c r="AL25" i="12"/>
  <c r="X25" i="12"/>
  <c r="AD25" i="12" s="1"/>
  <c r="H23" i="12"/>
  <c r="F14" i="12"/>
  <c r="P14" i="12" s="1"/>
  <c r="S14" i="12" s="1"/>
  <c r="G6" i="12"/>
  <c r="J15" i="12"/>
  <c r="B15" i="12"/>
  <c r="K14" i="12"/>
  <c r="J7" i="12"/>
  <c r="E8" i="12"/>
  <c r="AC6" i="12"/>
  <c r="U6" i="12"/>
  <c r="V6" i="12" s="1"/>
  <c r="W6" i="12" s="1"/>
  <c r="Y6" i="12" s="1"/>
  <c r="M14" i="12"/>
  <c r="G12" i="12"/>
  <c r="K8" i="12"/>
  <c r="F7" i="12"/>
  <c r="P7" i="12" s="1"/>
  <c r="S7" i="12" s="1"/>
  <c r="E7" i="12"/>
  <c r="B19" i="12"/>
  <c r="C15" i="12"/>
  <c r="C12" i="12"/>
  <c r="AE12" i="12" s="1"/>
  <c r="D5" i="12"/>
  <c r="AJ5" i="12" s="1"/>
  <c r="AK5" i="12" s="1"/>
  <c r="C29" i="12"/>
  <c r="AE29" i="12" s="1"/>
  <c r="G27" i="12"/>
  <c r="J25" i="12"/>
  <c r="E25" i="12"/>
  <c r="B26" i="12"/>
  <c r="K17" i="12"/>
  <c r="AL17" i="12"/>
  <c r="AK17" i="12" s="1"/>
  <c r="X17" i="12"/>
  <c r="AA17" i="12"/>
  <c r="J24" i="12"/>
  <c r="E23" i="12"/>
  <c r="K19" i="12"/>
  <c r="AL19" i="12"/>
  <c r="X19" i="12"/>
  <c r="AD19" i="12" s="1"/>
  <c r="F22" i="12"/>
  <c r="P22" i="12" s="1"/>
  <c r="S22" i="12" s="1"/>
  <c r="D24" i="12"/>
  <c r="AJ24" i="12" s="1"/>
  <c r="B22" i="12"/>
  <c r="W17" i="12"/>
  <c r="K4" i="12"/>
  <c r="G8" i="12"/>
  <c r="E18" i="12"/>
  <c r="L13" i="12"/>
  <c r="F10" i="12"/>
  <c r="P10" i="12" s="1"/>
  <c r="S10" i="12" s="1"/>
  <c r="G15" i="12"/>
  <c r="K12" i="12"/>
  <c r="U12" i="12"/>
  <c r="V12" i="12" s="1"/>
  <c r="W12" i="12" s="1"/>
  <c r="AC12" i="12"/>
  <c r="B43" i="12"/>
  <c r="F13" i="12"/>
  <c r="P13" i="12" s="1"/>
  <c r="S13" i="12" s="1"/>
  <c r="F5" i="12"/>
  <c r="P5" i="12" s="1"/>
  <c r="S5" i="12" s="1"/>
  <c r="C10" i="12"/>
  <c r="AE10" i="12" s="1"/>
  <c r="U15" i="12"/>
  <c r="V15" i="12" s="1"/>
  <c r="W15" i="12" s="1"/>
  <c r="Y15" i="12" s="1"/>
  <c r="AC15" i="12"/>
  <c r="E4" i="12"/>
  <c r="K15" i="12"/>
  <c r="D7" i="12"/>
  <c r="AJ7" i="12" s="1"/>
  <c r="M24" i="12"/>
  <c r="AL20" i="12"/>
  <c r="X20" i="12"/>
  <c r="AD20" i="12" s="1"/>
  <c r="B12" i="12"/>
  <c r="L6" i="12"/>
  <c r="AL13" i="12"/>
  <c r="X13" i="12"/>
  <c r="AD13" i="12" s="1"/>
  <c r="D4" i="12"/>
  <c r="AJ4" i="12" s="1"/>
  <c r="AK4" i="12" s="1"/>
  <c r="F16" i="12"/>
  <c r="H15" i="12"/>
  <c r="N45" i="12"/>
  <c r="J28" i="12"/>
  <c r="E29" i="12"/>
  <c r="E26" i="12"/>
  <c r="F8" i="12"/>
  <c r="P8" i="12" s="1"/>
  <c r="S8" i="12" s="1"/>
  <c r="AL8" i="12"/>
  <c r="X8" i="12"/>
  <c r="AD8" i="12" s="1"/>
  <c r="M28" i="12"/>
  <c r="I29" i="12"/>
  <c r="L23" i="12"/>
  <c r="C25" i="12"/>
  <c r="AE25" i="12" s="1"/>
  <c r="I25" i="12"/>
  <c r="D23" i="12"/>
  <c r="AJ23" i="12" s="1"/>
  <c r="AC18" i="12"/>
  <c r="U18" i="12"/>
  <c r="V18" i="12" s="1"/>
  <c r="W18" i="12" s="1"/>
  <c r="F27" i="12"/>
  <c r="F28" i="14" s="1"/>
  <c r="E24" i="12"/>
  <c r="C22" i="12"/>
  <c r="AE22" i="12" s="1"/>
  <c r="M18" i="12"/>
  <c r="J17" i="12"/>
  <c r="J12" i="12"/>
  <c r="AJ14" i="12"/>
  <c r="AK14" i="12" s="1"/>
  <c r="M6" i="12"/>
  <c r="L5" i="12"/>
  <c r="H10" i="12"/>
  <c r="F6" i="12"/>
  <c r="P6" i="12" s="1"/>
  <c r="S6" i="12" s="1"/>
  <c r="J13" i="12"/>
  <c r="E13" i="12"/>
  <c r="D15" i="12"/>
  <c r="X10" i="12"/>
  <c r="AD10" i="12" s="1"/>
  <c r="AL10" i="12"/>
  <c r="AK10" i="12" s="1"/>
  <c r="G20" i="12"/>
  <c r="L8" i="12"/>
  <c r="AC10" i="12"/>
  <c r="U10" i="12"/>
  <c r="V10" i="12" s="1"/>
  <c r="W10" i="12" s="1"/>
  <c r="Y10" i="12" s="1"/>
  <c r="Z10" i="12" s="1"/>
  <c r="AL18" i="12"/>
  <c r="AK18" i="12" s="1"/>
  <c r="X18" i="12"/>
  <c r="AD18" i="12" s="1"/>
  <c r="D13" i="12"/>
  <c r="AJ13" i="12" s="1"/>
  <c r="AK13" i="12" s="1"/>
  <c r="M13" i="12"/>
  <c r="AL9" i="12"/>
  <c r="AK9" i="12" s="1"/>
  <c r="X9" i="12"/>
  <c r="AD9" i="12" s="1"/>
  <c r="C5" i="12"/>
  <c r="AE5" i="12" s="1"/>
  <c r="Q30" i="12"/>
  <c r="S30" i="12" s="1"/>
  <c r="W4" i="12"/>
  <c r="Y7" i="12" l="1"/>
  <c r="Y14" i="12"/>
  <c r="Z14" i="12" s="1"/>
  <c r="Y8" i="12"/>
  <c r="Z8" i="12" s="1"/>
  <c r="AK23" i="12"/>
  <c r="AK7" i="12"/>
  <c r="Y26" i="12"/>
  <c r="Z26" i="12" s="1"/>
  <c r="C41" i="12"/>
  <c r="D38" i="12"/>
  <c r="C36" i="12"/>
  <c r="B49" i="12"/>
  <c r="M21" i="12"/>
  <c r="D5" i="14"/>
  <c r="AJ15" i="12"/>
  <c r="AK15" i="12" s="1"/>
  <c r="AM15" i="12" s="1"/>
  <c r="D25" i="14"/>
  <c r="B40" i="12"/>
  <c r="I27" i="12"/>
  <c r="B57" i="12"/>
  <c r="W11" i="12"/>
  <c r="Y12" i="12"/>
  <c r="Z12" i="12" s="1"/>
  <c r="C38" i="12"/>
  <c r="D11" i="12"/>
  <c r="E40" i="12"/>
  <c r="D50" i="12"/>
  <c r="C21" i="12"/>
  <c r="X31" i="12"/>
  <c r="U31" i="12" s="1"/>
  <c r="X3" i="12"/>
  <c r="AD4" i="12" s="1"/>
  <c r="AC4" i="12" s="1"/>
  <c r="AK19" i="12"/>
  <c r="L11" i="12"/>
  <c r="J11" i="12"/>
  <c r="L3" i="12"/>
  <c r="B45" i="12"/>
  <c r="AK6" i="12"/>
  <c r="AK3" i="12" s="1"/>
  <c r="B59" i="12"/>
  <c r="Q50" i="12"/>
  <c r="W50" i="12" s="1"/>
  <c r="Q36" i="12"/>
  <c r="U36" i="12" s="1"/>
  <c r="V36" i="12" s="1"/>
  <c r="W36" i="12" s="1"/>
  <c r="J21" i="12"/>
  <c r="B35" i="12"/>
  <c r="H16" i="12"/>
  <c r="B50" i="12"/>
  <c r="B60" i="12"/>
  <c r="E27" i="12"/>
  <c r="K11" i="12"/>
  <c r="AK22" i="12"/>
  <c r="B27" i="12"/>
  <c r="M27" i="12"/>
  <c r="V5" i="12"/>
  <c r="U30" i="12"/>
  <c r="I4" i="14"/>
  <c r="I24" i="14"/>
  <c r="B7" i="26"/>
  <c r="F5" i="14"/>
  <c r="F35" i="14" s="1"/>
  <c r="P15" i="12"/>
  <c r="S15" i="12" s="1"/>
  <c r="F25" i="14"/>
  <c r="M3" i="12"/>
  <c r="B56" i="12"/>
  <c r="G3" i="12"/>
  <c r="B51" i="12"/>
  <c r="C16" i="12"/>
  <c r="G16" i="12"/>
  <c r="W27" i="12"/>
  <c r="Y28" i="12"/>
  <c r="Z28" i="12" s="1"/>
  <c r="C49" i="12"/>
  <c r="D59" i="12"/>
  <c r="Q48" i="12"/>
  <c r="U48" i="12" s="1"/>
  <c r="V48" i="12" s="1"/>
  <c r="W48" i="12" s="1"/>
  <c r="H5" i="14"/>
  <c r="H25" i="14"/>
  <c r="D3" i="12"/>
  <c r="G5" i="14"/>
  <c r="G25" i="14"/>
  <c r="B48" i="12"/>
  <c r="B16" i="12"/>
  <c r="C48" i="12"/>
  <c r="M5" i="14"/>
  <c r="M25" i="14"/>
  <c r="J16" i="12"/>
  <c r="AL21" i="12"/>
  <c r="AG26" i="7"/>
  <c r="C59" i="12"/>
  <c r="I7" i="14"/>
  <c r="I37" i="14" s="1"/>
  <c r="I27" i="14"/>
  <c r="Y20" i="12"/>
  <c r="Z20" i="12" s="1"/>
  <c r="C60" i="12"/>
  <c r="B9" i="26"/>
  <c r="F7" i="14"/>
  <c r="F27" i="14"/>
  <c r="C8" i="14"/>
  <c r="C28" i="14"/>
  <c r="X27" i="12"/>
  <c r="AD28" i="12"/>
  <c r="D51" i="12"/>
  <c r="L7" i="14"/>
  <c r="L27" i="14"/>
  <c r="C44" i="12"/>
  <c r="B11" i="12"/>
  <c r="B53" i="12"/>
  <c r="F3" i="12"/>
  <c r="D16" i="12"/>
  <c r="X16" i="12"/>
  <c r="AD17" i="12" s="1"/>
  <c r="AC17" i="12" s="1"/>
  <c r="G11" i="12"/>
  <c r="B44" i="12"/>
  <c r="C45" i="12"/>
  <c r="L16" i="12"/>
  <c r="Y13" i="12"/>
  <c r="Z13" i="12" s="1"/>
  <c r="AK8" i="12"/>
  <c r="L5" i="14"/>
  <c r="L35" i="14" s="1"/>
  <c r="L25" i="14"/>
  <c r="Y9" i="12"/>
  <c r="Z9" i="12" s="1"/>
  <c r="G21" i="12"/>
  <c r="Y25" i="12"/>
  <c r="Z25" i="12" s="1"/>
  <c r="E16" i="12"/>
  <c r="AL27" i="12"/>
  <c r="E21" i="12"/>
  <c r="B41" i="12"/>
  <c r="J5" i="14"/>
  <c r="J25" i="14"/>
  <c r="AI25" i="7"/>
  <c r="AK25" i="7" s="1"/>
  <c r="C37" i="12"/>
  <c r="C11" i="12"/>
  <c r="D48" i="12"/>
  <c r="K5" i="14"/>
  <c r="K25" i="14"/>
  <c r="F7" i="26"/>
  <c r="I7" i="26" s="1"/>
  <c r="Z15" i="12"/>
  <c r="AK24" i="12"/>
  <c r="AL16" i="12"/>
  <c r="K16" i="12"/>
  <c r="C54" i="12"/>
  <c r="Z7" i="12"/>
  <c r="C40" i="12"/>
  <c r="H21" i="12"/>
  <c r="L27" i="12"/>
  <c r="D60" i="12"/>
  <c r="E3" i="12"/>
  <c r="AK25" i="12"/>
  <c r="AD12" i="12"/>
  <c r="X11" i="12"/>
  <c r="E5" i="14"/>
  <c r="E25" i="14"/>
  <c r="H11" i="12"/>
  <c r="D27" i="12"/>
  <c r="I3" i="12"/>
  <c r="B3" i="12"/>
  <c r="Y19" i="12"/>
  <c r="Z19" i="12" s="1"/>
  <c r="AK29" i="12"/>
  <c r="AK27" i="12" s="1"/>
  <c r="D45" i="12"/>
  <c r="AK16" i="12"/>
  <c r="AM16" i="12" s="1"/>
  <c r="K3" i="12"/>
  <c r="B8" i="26"/>
  <c r="F6" i="14"/>
  <c r="F26" i="14"/>
  <c r="B39" i="12"/>
  <c r="G8" i="14"/>
  <c r="G28" i="14"/>
  <c r="K28" i="14"/>
  <c r="K38" i="14" s="1"/>
  <c r="B6" i="26"/>
  <c r="F4" i="14"/>
  <c r="F24" i="14"/>
  <c r="B37" i="12"/>
  <c r="E11" i="12"/>
  <c r="AK20" i="12"/>
  <c r="C51" i="12"/>
  <c r="AL11" i="12"/>
  <c r="AM11" i="12" s="1"/>
  <c r="J3" i="12"/>
  <c r="Y29" i="12"/>
  <c r="Z29" i="12" s="1"/>
  <c r="Y23" i="12"/>
  <c r="Z23" i="12" s="1"/>
  <c r="C56" i="12"/>
  <c r="Y4" i="12"/>
  <c r="Z4" i="12" s="1"/>
  <c r="B10" i="26"/>
  <c r="F8" i="14"/>
  <c r="F38" i="14" s="1"/>
  <c r="AD22" i="12"/>
  <c r="X21" i="12"/>
  <c r="AD26" i="12" s="1"/>
  <c r="AC26" i="12" s="1"/>
  <c r="Y18" i="12"/>
  <c r="Z18" i="12" s="1"/>
  <c r="M11" i="12"/>
  <c r="Y17" i="12"/>
  <c r="Z17" i="12" s="1"/>
  <c r="W16" i="12"/>
  <c r="Y16" i="12" s="1"/>
  <c r="C50" i="12"/>
  <c r="R45" i="12"/>
  <c r="X45" i="12" s="1"/>
  <c r="B46" i="12"/>
  <c r="B54" i="12"/>
  <c r="C55" i="12"/>
  <c r="C5" i="14"/>
  <c r="AE15" i="12"/>
  <c r="C25" i="14"/>
  <c r="Z6" i="12"/>
  <c r="H3" i="12"/>
  <c r="B5" i="14"/>
  <c r="B35" i="14" s="1"/>
  <c r="B25" i="14"/>
  <c r="D21" i="12"/>
  <c r="J27" i="12"/>
  <c r="Q40" i="12"/>
  <c r="U40" i="12" s="1"/>
  <c r="V40" i="12" s="1"/>
  <c r="W40" i="12" s="1"/>
  <c r="H27" i="12"/>
  <c r="I5" i="14"/>
  <c r="I35" i="14" s="1"/>
  <c r="I25" i="14"/>
  <c r="Y22" i="12"/>
  <c r="Z22" i="12" s="1"/>
  <c r="W21" i="12"/>
  <c r="I16" i="12"/>
  <c r="AL3" i="12"/>
  <c r="AL30" i="12" s="1"/>
  <c r="D40" i="12"/>
  <c r="B21" i="12"/>
  <c r="M16" i="12"/>
  <c r="Y24" i="12"/>
  <c r="Z24" i="12" s="1"/>
  <c r="Q43" i="12"/>
  <c r="U43" i="12" s="1"/>
  <c r="V43" i="12" s="1"/>
  <c r="W43" i="12" s="1"/>
  <c r="K7" i="14"/>
  <c r="K27" i="14"/>
  <c r="D44" i="12"/>
  <c r="C35" i="14" l="1"/>
  <c r="F37" i="14"/>
  <c r="G35" i="14"/>
  <c r="D35" i="14"/>
  <c r="E35" i="14"/>
  <c r="AM27" i="12"/>
  <c r="E60" i="12"/>
  <c r="M30" i="12"/>
  <c r="AM3" i="12"/>
  <c r="J8" i="14"/>
  <c r="J28" i="14"/>
  <c r="K37" i="14"/>
  <c r="M6" i="14"/>
  <c r="M26" i="14"/>
  <c r="Y21" i="12"/>
  <c r="B51" i="14"/>
  <c r="B59" i="14"/>
  <c r="C39" i="12"/>
  <c r="E44" i="12"/>
  <c r="J3" i="14"/>
  <c r="J23" i="14"/>
  <c r="Q37" i="12"/>
  <c r="W37" i="12" s="1"/>
  <c r="E51" i="14"/>
  <c r="E59" i="14"/>
  <c r="E3" i="14"/>
  <c r="E33" i="14" s="1"/>
  <c r="E23" i="14"/>
  <c r="C4" i="14"/>
  <c r="C24" i="14"/>
  <c r="E45" i="12"/>
  <c r="B42" i="12"/>
  <c r="J6" i="14"/>
  <c r="J26" i="14"/>
  <c r="C53" i="12"/>
  <c r="G6" i="14"/>
  <c r="G26" i="14"/>
  <c r="E7" i="26"/>
  <c r="F51" i="14"/>
  <c r="F59" i="14"/>
  <c r="E8" i="14"/>
  <c r="E28" i="14"/>
  <c r="Y11" i="12"/>
  <c r="C52" i="12"/>
  <c r="H8" i="14"/>
  <c r="H28" i="14"/>
  <c r="F8" i="26"/>
  <c r="I8" i="26" s="1"/>
  <c r="Z16" i="12"/>
  <c r="B52" i="12"/>
  <c r="F34" i="14"/>
  <c r="F36" i="14"/>
  <c r="B3" i="14"/>
  <c r="B23" i="14"/>
  <c r="K35" i="14"/>
  <c r="C57" i="12"/>
  <c r="E7" i="14"/>
  <c r="E27" i="14"/>
  <c r="C3" i="12"/>
  <c r="AA26" i="12"/>
  <c r="R51" i="12"/>
  <c r="X51" i="12" s="1"/>
  <c r="AG27" i="7"/>
  <c r="B6" i="14"/>
  <c r="B26" i="14"/>
  <c r="G3" i="14"/>
  <c r="G23" i="14"/>
  <c r="I34" i="14"/>
  <c r="B8" i="14"/>
  <c r="B28" i="14"/>
  <c r="J4" i="14"/>
  <c r="J24" i="14"/>
  <c r="B58" i="12"/>
  <c r="B47" i="12"/>
  <c r="L8" i="14"/>
  <c r="L28" i="14"/>
  <c r="K6" i="14"/>
  <c r="K36" i="14" s="1"/>
  <c r="K26" i="14"/>
  <c r="B5" i="26"/>
  <c r="F3" i="14"/>
  <c r="F23" i="14"/>
  <c r="G51" i="14"/>
  <c r="G59" i="14"/>
  <c r="D3" i="14"/>
  <c r="D23" i="14"/>
  <c r="C6" i="14"/>
  <c r="C26" i="14"/>
  <c r="E50" i="12"/>
  <c r="B4" i="14"/>
  <c r="B24" i="14"/>
  <c r="C38" i="14"/>
  <c r="M35" i="14"/>
  <c r="B2" i="8" a="1"/>
  <c r="D54" i="12"/>
  <c r="Q59" i="12"/>
  <c r="W59" i="12" s="1"/>
  <c r="W5" i="12"/>
  <c r="V31" i="12"/>
  <c r="AK21" i="12"/>
  <c r="AM21" i="12" s="1"/>
  <c r="L4" i="14"/>
  <c r="L34" i="14" s="1"/>
  <c r="L24" i="14"/>
  <c r="I8" i="14"/>
  <c r="I28" i="14"/>
  <c r="E52" i="12"/>
  <c r="E4" i="14"/>
  <c r="E24" i="14"/>
  <c r="I3" i="14"/>
  <c r="I23" i="14"/>
  <c r="L51" i="14"/>
  <c r="L59" i="14"/>
  <c r="D7" i="14"/>
  <c r="D27" i="14"/>
  <c r="R40" i="12"/>
  <c r="X40" i="12" s="1"/>
  <c r="C43" i="12"/>
  <c r="R55" i="12"/>
  <c r="X55" i="12" s="1"/>
  <c r="D6" i="14"/>
  <c r="D26" i="14"/>
  <c r="C46" i="12"/>
  <c r="I53" i="14"/>
  <c r="I61" i="14"/>
  <c r="Q60" i="12"/>
  <c r="U60" i="12" s="1"/>
  <c r="V60" i="12" s="1"/>
  <c r="W60" i="12" s="1"/>
  <c r="E59" i="12"/>
  <c r="K4" i="14"/>
  <c r="K24" i="14"/>
  <c r="C35" i="12"/>
  <c r="D56" i="12"/>
  <c r="R44" i="12"/>
  <c r="X44" i="12" s="1"/>
  <c r="M4" i="14"/>
  <c r="M34" i="14" s="1"/>
  <c r="M24" i="14"/>
  <c r="H4" i="14"/>
  <c r="H24" i="14"/>
  <c r="H7" i="14"/>
  <c r="H37" i="14" s="1"/>
  <c r="H27" i="14"/>
  <c r="J35" i="14"/>
  <c r="L37" i="14"/>
  <c r="B34" i="12"/>
  <c r="H35" i="14"/>
  <c r="Q51" i="12"/>
  <c r="U51" i="12" s="1"/>
  <c r="V51" i="12" s="1"/>
  <c r="W51" i="12" s="1"/>
  <c r="Y27" i="12"/>
  <c r="D49" i="12"/>
  <c r="M8" i="14"/>
  <c r="M28" i="14"/>
  <c r="J7" i="14"/>
  <c r="J27" i="14"/>
  <c r="F50" i="12"/>
  <c r="P50" i="12" s="1"/>
  <c r="S50" i="12" s="1"/>
  <c r="D55" i="12"/>
  <c r="I59" i="14"/>
  <c r="I51" i="14"/>
  <c r="K62" i="14"/>
  <c r="K54" i="14"/>
  <c r="Q35" i="12"/>
  <c r="B7" i="14"/>
  <c r="B27" i="14"/>
  <c r="K3" i="14"/>
  <c r="K23" i="14"/>
  <c r="R59" i="12"/>
  <c r="X59" i="12" s="1"/>
  <c r="E6" i="14"/>
  <c r="E26" i="14"/>
  <c r="L6" i="14"/>
  <c r="L26" i="14"/>
  <c r="E9" i="26"/>
  <c r="F53" i="14"/>
  <c r="F61" i="14"/>
  <c r="E51" i="12"/>
  <c r="M3" i="14"/>
  <c r="M23" i="14"/>
  <c r="H6" i="14"/>
  <c r="H26" i="14"/>
  <c r="L3" i="14"/>
  <c r="L23" i="14"/>
  <c r="C7" i="14"/>
  <c r="C27" i="14"/>
  <c r="Q38" i="12"/>
  <c r="U38" i="12" s="1"/>
  <c r="V38" i="12" s="1"/>
  <c r="W38" i="12" s="1"/>
  <c r="H3" i="14"/>
  <c r="H23" i="14"/>
  <c r="C51" i="14"/>
  <c r="C59" i="14"/>
  <c r="F40" i="12"/>
  <c r="P40" i="12" s="1"/>
  <c r="S40" i="12" s="1"/>
  <c r="Q5" i="14"/>
  <c r="Q25" i="14"/>
  <c r="I6" i="14"/>
  <c r="I26" i="14"/>
  <c r="Y40" i="12"/>
  <c r="E10" i="26"/>
  <c r="F54" i="14"/>
  <c r="F62" i="14"/>
  <c r="Q44" i="12"/>
  <c r="U44" i="12" s="1"/>
  <c r="V44" i="12" s="1"/>
  <c r="W44" i="12" s="1"/>
  <c r="Y44" i="12" s="1"/>
  <c r="D52" i="12"/>
  <c r="G38" i="14"/>
  <c r="D8" i="14"/>
  <c r="D28" i="14"/>
  <c r="AI26" i="7"/>
  <c r="AK26" i="7" s="1"/>
  <c r="Q45" i="12"/>
  <c r="U45" i="12" s="1"/>
  <c r="V45" i="12" s="1"/>
  <c r="W45" i="12" s="1"/>
  <c r="Y45" i="12" s="1"/>
  <c r="G7" i="14"/>
  <c r="G27" i="14"/>
  <c r="G4" i="14"/>
  <c r="G24" i="14"/>
  <c r="D4" i="14"/>
  <c r="D34" i="14" s="1"/>
  <c r="D24" i="14"/>
  <c r="R50" i="12"/>
  <c r="X50" i="12" s="1"/>
  <c r="Y50" i="12" s="1"/>
  <c r="Z50" i="12" s="1"/>
  <c r="D51" i="14"/>
  <c r="D59" i="14"/>
  <c r="M7" i="14"/>
  <c r="M27" i="14"/>
  <c r="M37" i="14" l="1"/>
  <c r="M61" i="14" s="1"/>
  <c r="C37" i="14"/>
  <c r="H34" i="14"/>
  <c r="M36" i="14"/>
  <c r="J33" i="14"/>
  <c r="J34" i="14"/>
  <c r="Z40" i="12"/>
  <c r="J37" i="14"/>
  <c r="J53" i="14" s="1"/>
  <c r="D37" i="14"/>
  <c r="D61" i="14" s="1"/>
  <c r="J38" i="14"/>
  <c r="D47" i="12"/>
  <c r="X13" i="8"/>
  <c r="P13" i="8"/>
  <c r="H13" i="8"/>
  <c r="AD12" i="8"/>
  <c r="V12" i="8"/>
  <c r="N12" i="8"/>
  <c r="F12" i="8"/>
  <c r="AB11" i="8"/>
  <c r="T11" i="8"/>
  <c r="L11" i="8"/>
  <c r="D11" i="8"/>
  <c r="Z10" i="8"/>
  <c r="R10" i="8"/>
  <c r="J10" i="8"/>
  <c r="B10" i="8"/>
  <c r="X9" i="8"/>
  <c r="P9" i="8"/>
  <c r="H9" i="8"/>
  <c r="AD8" i="8"/>
  <c r="V8" i="8"/>
  <c r="N8" i="8"/>
  <c r="F8" i="8"/>
  <c r="AB7" i="8"/>
  <c r="T7" i="8"/>
  <c r="L7" i="8"/>
  <c r="D7" i="8"/>
  <c r="Z6" i="8"/>
  <c r="R6" i="8"/>
  <c r="J6" i="8"/>
  <c r="B6" i="8"/>
  <c r="X5" i="8"/>
  <c r="P5" i="8"/>
  <c r="H5" i="8"/>
  <c r="AD4" i="8"/>
  <c r="V4" i="8"/>
  <c r="N4" i="8"/>
  <c r="F4" i="8"/>
  <c r="AB3" i="8"/>
  <c r="T3" i="8"/>
  <c r="L3" i="8"/>
  <c r="D3" i="8"/>
  <c r="Z2" i="8"/>
  <c r="R2" i="8"/>
  <c r="J2" i="8"/>
  <c r="AE13" i="8"/>
  <c r="W13" i="8"/>
  <c r="O13" i="8"/>
  <c r="G13" i="8"/>
  <c r="AC12" i="8"/>
  <c r="U12" i="8"/>
  <c r="M12" i="8"/>
  <c r="E12" i="8"/>
  <c r="AA11" i="8"/>
  <c r="S11" i="8"/>
  <c r="K11" i="8"/>
  <c r="C11" i="8"/>
  <c r="Y10" i="8"/>
  <c r="Q10" i="8"/>
  <c r="I10" i="8"/>
  <c r="AE9" i="8"/>
  <c r="W9" i="8"/>
  <c r="O9" i="8"/>
  <c r="G9" i="8"/>
  <c r="AC8" i="8"/>
  <c r="U8" i="8"/>
  <c r="M8" i="8"/>
  <c r="E8" i="8"/>
  <c r="AA7" i="8"/>
  <c r="S7" i="8"/>
  <c r="K7" i="8"/>
  <c r="C7" i="8"/>
  <c r="Y6" i="8"/>
  <c r="Q6" i="8"/>
  <c r="I6" i="8"/>
  <c r="AE5" i="8"/>
  <c r="W5" i="8"/>
  <c r="O5" i="8"/>
  <c r="G5" i="8"/>
  <c r="AC4" i="8"/>
  <c r="U4" i="8"/>
  <c r="M4" i="8"/>
  <c r="E4" i="8"/>
  <c r="AA3" i="8"/>
  <c r="S3" i="8"/>
  <c r="K3" i="8"/>
  <c r="C3" i="8"/>
  <c r="Y2" i="8"/>
  <c r="Q2" i="8"/>
  <c r="I2" i="8"/>
  <c r="B2" i="8"/>
  <c r="AD13" i="8"/>
  <c r="V13" i="8"/>
  <c r="N13" i="8"/>
  <c r="F13" i="8"/>
  <c r="AB12" i="8"/>
  <c r="T12" i="8"/>
  <c r="L12" i="8"/>
  <c r="D12" i="8"/>
  <c r="Z11" i="8"/>
  <c r="R11" i="8"/>
  <c r="J11" i="8"/>
  <c r="B11" i="8"/>
  <c r="X10" i="8"/>
  <c r="P10" i="8"/>
  <c r="H10" i="8"/>
  <c r="AD9" i="8"/>
  <c r="V9" i="8"/>
  <c r="N9" i="8"/>
  <c r="F9" i="8"/>
  <c r="AB8" i="8"/>
  <c r="T8" i="8"/>
  <c r="L8" i="8"/>
  <c r="D8" i="8"/>
  <c r="Z7" i="8"/>
  <c r="R7" i="8"/>
  <c r="J7" i="8"/>
  <c r="B7" i="8"/>
  <c r="X6" i="8"/>
  <c r="P6" i="8"/>
  <c r="H6" i="8"/>
  <c r="AD5" i="8"/>
  <c r="V5" i="8"/>
  <c r="N5" i="8"/>
  <c r="F5" i="8"/>
  <c r="AB4" i="8"/>
  <c r="T4" i="8"/>
  <c r="L4" i="8"/>
  <c r="D4" i="8"/>
  <c r="Z3" i="8"/>
  <c r="R3" i="8"/>
  <c r="J3" i="8"/>
  <c r="B3" i="8"/>
  <c r="X2" i="8"/>
  <c r="P2" i="8"/>
  <c r="H2" i="8"/>
  <c r="AC13" i="8"/>
  <c r="U13" i="8"/>
  <c r="M13" i="8"/>
  <c r="E13" i="8"/>
  <c r="AA12" i="8"/>
  <c r="S12" i="8"/>
  <c r="K12" i="8"/>
  <c r="C12" i="8"/>
  <c r="Y11" i="8"/>
  <c r="Q11" i="8"/>
  <c r="I11" i="8"/>
  <c r="AE10" i="8"/>
  <c r="W10" i="8"/>
  <c r="O10" i="8"/>
  <c r="G10" i="8"/>
  <c r="AC9" i="8"/>
  <c r="U9" i="8"/>
  <c r="M9" i="8"/>
  <c r="E9" i="8"/>
  <c r="AA8" i="8"/>
  <c r="S8" i="8"/>
  <c r="K8" i="8"/>
  <c r="C8" i="8"/>
  <c r="Y7" i="8"/>
  <c r="Q7" i="8"/>
  <c r="I7" i="8"/>
  <c r="AE6" i="8"/>
  <c r="W6" i="8"/>
  <c r="O6" i="8"/>
  <c r="G6" i="8"/>
  <c r="AC5" i="8"/>
  <c r="U5" i="8"/>
  <c r="M5" i="8"/>
  <c r="E5" i="8"/>
  <c r="AA4" i="8"/>
  <c r="S4" i="8"/>
  <c r="K4" i="8"/>
  <c r="C4" i="8"/>
  <c r="Y3" i="8"/>
  <c r="Q3" i="8"/>
  <c r="I3" i="8"/>
  <c r="AE2" i="8"/>
  <c r="W2" i="8"/>
  <c r="O2" i="8"/>
  <c r="G2" i="8"/>
  <c r="AB13" i="8"/>
  <c r="T13" i="8"/>
  <c r="L13" i="8"/>
  <c r="D13" i="8"/>
  <c r="Z12" i="8"/>
  <c r="R12" i="8"/>
  <c r="J12" i="8"/>
  <c r="B12" i="8"/>
  <c r="X11" i="8"/>
  <c r="P11" i="8"/>
  <c r="H11" i="8"/>
  <c r="AD10" i="8"/>
  <c r="V10" i="8"/>
  <c r="N10" i="8"/>
  <c r="F10" i="8"/>
  <c r="AB9" i="8"/>
  <c r="T9" i="8"/>
  <c r="L9" i="8"/>
  <c r="D9" i="8"/>
  <c r="Z8" i="8"/>
  <c r="R8" i="8"/>
  <c r="J8" i="8"/>
  <c r="B8" i="8"/>
  <c r="X7" i="8"/>
  <c r="P7" i="8"/>
  <c r="H7" i="8"/>
  <c r="AD6" i="8"/>
  <c r="V6" i="8"/>
  <c r="N6" i="8"/>
  <c r="F6" i="8"/>
  <c r="AB5" i="8"/>
  <c r="T5" i="8"/>
  <c r="L5" i="8"/>
  <c r="D5" i="8"/>
  <c r="Z4" i="8"/>
  <c r="R4" i="8"/>
  <c r="J4" i="8"/>
  <c r="B4" i="8"/>
  <c r="X3" i="8"/>
  <c r="P3" i="8"/>
  <c r="H3" i="8"/>
  <c r="AD2" i="8"/>
  <c r="V2" i="8"/>
  <c r="N2" i="8"/>
  <c r="F2" i="8"/>
  <c r="AA13" i="8"/>
  <c r="S13" i="8"/>
  <c r="K13" i="8"/>
  <c r="C13" i="8"/>
  <c r="Y12" i="8"/>
  <c r="Q12" i="8"/>
  <c r="I12" i="8"/>
  <c r="AE11" i="8"/>
  <c r="W11" i="8"/>
  <c r="O11" i="8"/>
  <c r="G11" i="8"/>
  <c r="AC10" i="8"/>
  <c r="U10" i="8"/>
  <c r="M10" i="8"/>
  <c r="E10" i="8"/>
  <c r="AA9" i="8"/>
  <c r="S9" i="8"/>
  <c r="K9" i="8"/>
  <c r="C9" i="8"/>
  <c r="Y8" i="8"/>
  <c r="Q8" i="8"/>
  <c r="I8" i="8"/>
  <c r="AE7" i="8"/>
  <c r="W7" i="8"/>
  <c r="O7" i="8"/>
  <c r="G7" i="8"/>
  <c r="AC6" i="8"/>
  <c r="U6" i="8"/>
  <c r="M6" i="8"/>
  <c r="E6" i="8"/>
  <c r="AA5" i="8"/>
  <c r="S5" i="8"/>
  <c r="K5" i="8"/>
  <c r="C5" i="8"/>
  <c r="Y4" i="8"/>
  <c r="Q4" i="8"/>
  <c r="I4" i="8"/>
  <c r="AE3" i="8"/>
  <c r="W3" i="8"/>
  <c r="O3" i="8"/>
  <c r="G3" i="8"/>
  <c r="AC2" i="8"/>
  <c r="U2" i="8"/>
  <c r="M2" i="8"/>
  <c r="E2" i="8"/>
  <c r="B13" i="8"/>
  <c r="AD11" i="8"/>
  <c r="AB10" i="8"/>
  <c r="Z9" i="8"/>
  <c r="X8" i="8"/>
  <c r="V7" i="8"/>
  <c r="T6" i="8"/>
  <c r="R5" i="8"/>
  <c r="P4" i="8"/>
  <c r="N3" i="8"/>
  <c r="L2" i="8"/>
  <c r="Z13" i="8"/>
  <c r="X12" i="8"/>
  <c r="V11" i="8"/>
  <c r="T10" i="8"/>
  <c r="R9" i="8"/>
  <c r="P8" i="8"/>
  <c r="N7" i="8"/>
  <c r="L6" i="8"/>
  <c r="J5" i="8"/>
  <c r="H4" i="8"/>
  <c r="F3" i="8"/>
  <c r="D2" i="8"/>
  <c r="Y13" i="8"/>
  <c r="W12" i="8"/>
  <c r="U11" i="8"/>
  <c r="S10" i="8"/>
  <c r="Q9" i="8"/>
  <c r="O8" i="8"/>
  <c r="M7" i="8"/>
  <c r="K6" i="8"/>
  <c r="I5" i="8"/>
  <c r="G4" i="8"/>
  <c r="E3" i="8"/>
  <c r="C2" i="8"/>
  <c r="R13" i="8"/>
  <c r="P12" i="8"/>
  <c r="N11" i="8"/>
  <c r="L10" i="8"/>
  <c r="J9" i="8"/>
  <c r="H8" i="8"/>
  <c r="F7" i="8"/>
  <c r="D6" i="8"/>
  <c r="B5" i="8"/>
  <c r="AD3" i="8"/>
  <c r="AB2" i="8"/>
  <c r="Q13" i="8"/>
  <c r="O12" i="8"/>
  <c r="M11" i="8"/>
  <c r="K10" i="8"/>
  <c r="I9" i="8"/>
  <c r="G8" i="8"/>
  <c r="E7" i="8"/>
  <c r="C6" i="8"/>
  <c r="AE4" i="8"/>
  <c r="AC3" i="8"/>
  <c r="AA2" i="8"/>
  <c r="J13" i="8"/>
  <c r="H12" i="8"/>
  <c r="F11" i="8"/>
  <c r="D10" i="8"/>
  <c r="B9" i="8"/>
  <c r="AD7" i="8"/>
  <c r="AB6" i="8"/>
  <c r="Z5" i="8"/>
  <c r="X4" i="8"/>
  <c r="V3" i="8"/>
  <c r="T2" i="8"/>
  <c r="E11" i="8"/>
  <c r="AA6" i="8"/>
  <c r="S2" i="8"/>
  <c r="AA10" i="8"/>
  <c r="S6" i="8"/>
  <c r="K2" i="8"/>
  <c r="C10" i="8"/>
  <c r="Y5" i="8"/>
  <c r="Y9" i="8"/>
  <c r="Q5" i="8"/>
  <c r="I13" i="8"/>
  <c r="AE8" i="8"/>
  <c r="W4" i="8"/>
  <c r="AE12" i="8"/>
  <c r="W8" i="8"/>
  <c r="O4" i="8"/>
  <c r="G12" i="8"/>
  <c r="AC7" i="8"/>
  <c r="U3" i="8"/>
  <c r="AC11" i="8"/>
  <c r="U7" i="8"/>
  <c r="M3" i="8"/>
  <c r="F38" i="12"/>
  <c r="P38" i="12" s="1"/>
  <c r="S38" i="12" s="1"/>
  <c r="M52" i="14"/>
  <c r="M60" i="14"/>
  <c r="D33" i="14"/>
  <c r="Q8" i="14"/>
  <c r="Q28" i="14"/>
  <c r="G36" i="14"/>
  <c r="J36" i="14"/>
  <c r="W42" i="12"/>
  <c r="E38" i="12"/>
  <c r="K30" i="12"/>
  <c r="L33" i="14"/>
  <c r="L36" i="14"/>
  <c r="E36" i="14"/>
  <c r="Q41" i="12"/>
  <c r="U41" i="12" s="1"/>
  <c r="V41" i="12" s="1"/>
  <c r="W41" i="12" s="1"/>
  <c r="L38" i="14"/>
  <c r="G33" i="14"/>
  <c r="E6" i="26"/>
  <c r="F58" i="14"/>
  <c r="F50" i="14"/>
  <c r="E30" i="12"/>
  <c r="F6" i="26"/>
  <c r="I6" i="26" s="1"/>
  <c r="Z11" i="12"/>
  <c r="E48" i="12"/>
  <c r="U35" i="12"/>
  <c r="F51" i="12"/>
  <c r="P51" i="12" s="1"/>
  <c r="S51" i="12" s="1"/>
  <c r="F60" i="12"/>
  <c r="P60" i="12" s="1"/>
  <c r="S60" i="12" s="1"/>
  <c r="K33" i="14"/>
  <c r="M38" i="14"/>
  <c r="Y51" i="12"/>
  <c r="S7" i="14"/>
  <c r="S37" i="14" s="1"/>
  <c r="S27" i="14"/>
  <c r="D37" i="12"/>
  <c r="L61" i="14"/>
  <c r="L53" i="14"/>
  <c r="H53" i="14"/>
  <c r="H61" i="14"/>
  <c r="M50" i="14"/>
  <c r="M58" i="14"/>
  <c r="G40" i="12"/>
  <c r="E41" i="12"/>
  <c r="R5" i="14"/>
  <c r="R35" i="14" s="1"/>
  <c r="R25" i="14"/>
  <c r="L50" i="14"/>
  <c r="L58" i="14"/>
  <c r="F30" i="12"/>
  <c r="R39" i="12"/>
  <c r="X39" i="12" s="1"/>
  <c r="K51" i="14"/>
  <c r="K59" i="14"/>
  <c r="E8" i="26"/>
  <c r="F60" i="14"/>
  <c r="F52" i="14"/>
  <c r="R48" i="12"/>
  <c r="J49" i="14"/>
  <c r="J57" i="14"/>
  <c r="K53" i="14"/>
  <c r="K61" i="14"/>
  <c r="G50" i="12"/>
  <c r="D35" i="12"/>
  <c r="E56" i="12"/>
  <c r="AI27" i="7"/>
  <c r="Q35" i="14"/>
  <c r="H33" i="14"/>
  <c r="D30" i="12"/>
  <c r="H59" i="14"/>
  <c r="N59" i="14" s="1"/>
  <c r="H51" i="14"/>
  <c r="N51" i="14" s="1"/>
  <c r="K34" i="14"/>
  <c r="I33" i="14"/>
  <c r="I38" i="14"/>
  <c r="Y5" i="12"/>
  <c r="Z5" i="12" s="1"/>
  <c r="W3" i="12"/>
  <c r="Y3" i="12" s="1"/>
  <c r="W31" i="12"/>
  <c r="Y31" i="12" s="1"/>
  <c r="F11" i="26" s="1"/>
  <c r="M51" i="14"/>
  <c r="M59" i="14"/>
  <c r="Q54" i="12"/>
  <c r="W54" i="12" s="1"/>
  <c r="F33" i="14"/>
  <c r="B38" i="14"/>
  <c r="B36" i="14"/>
  <c r="I30" i="12"/>
  <c r="E37" i="14"/>
  <c r="B33" i="14"/>
  <c r="H38" i="14"/>
  <c r="C58" i="12"/>
  <c r="E38" i="14"/>
  <c r="F9" i="26"/>
  <c r="I9" i="26" s="1"/>
  <c r="Z21" i="12"/>
  <c r="AK30" i="12"/>
  <c r="K52" i="14"/>
  <c r="K60" i="14"/>
  <c r="AG28" i="7"/>
  <c r="AK27" i="7"/>
  <c r="E54" i="12"/>
  <c r="J58" i="14"/>
  <c r="J50" i="14"/>
  <c r="I50" i="14"/>
  <c r="I58" i="14"/>
  <c r="D53" i="12"/>
  <c r="Q7" i="14"/>
  <c r="Q27" i="14"/>
  <c r="R7" i="14"/>
  <c r="R27" i="14"/>
  <c r="Q4" i="14"/>
  <c r="Q34" i="14" s="1"/>
  <c r="Q24" i="14"/>
  <c r="E57" i="14"/>
  <c r="E49" i="14"/>
  <c r="J62" i="14"/>
  <c r="J54" i="14"/>
  <c r="C3" i="14"/>
  <c r="C23" i="14"/>
  <c r="M9" i="14"/>
  <c r="M39" i="14" s="1"/>
  <c r="M29" i="14"/>
  <c r="B30" i="12"/>
  <c r="G37" i="14"/>
  <c r="R60" i="12"/>
  <c r="X60" i="12" s="1"/>
  <c r="Y60" i="12" s="1"/>
  <c r="Z60" i="12" s="1"/>
  <c r="H36" i="14"/>
  <c r="D50" i="14"/>
  <c r="D58" i="14"/>
  <c r="R53" i="12"/>
  <c r="X53" i="12" s="1"/>
  <c r="G34" i="14"/>
  <c r="F45" i="12"/>
  <c r="P45" i="12" s="1"/>
  <c r="S45" i="12" s="1"/>
  <c r="D38" i="14"/>
  <c r="D43" i="12"/>
  <c r="Q57" i="12"/>
  <c r="U57" i="12" s="1"/>
  <c r="V57" i="12" s="1"/>
  <c r="W57" i="12" s="1"/>
  <c r="E57" i="12"/>
  <c r="F10" i="26"/>
  <c r="I10" i="26" s="1"/>
  <c r="Z27" i="12"/>
  <c r="J51" i="14"/>
  <c r="J59" i="14"/>
  <c r="J30" i="12"/>
  <c r="R49" i="12"/>
  <c r="X49" i="12" s="1"/>
  <c r="Q6" i="14"/>
  <c r="Q26" i="14"/>
  <c r="G30" i="12"/>
  <c r="C34" i="14"/>
  <c r="C42" i="12"/>
  <c r="R38" i="12"/>
  <c r="X38" i="12" s="1"/>
  <c r="Y38" i="12" s="1"/>
  <c r="Z38" i="12" s="1"/>
  <c r="Z44" i="12"/>
  <c r="Q55" i="12"/>
  <c r="U55" i="12" s="1"/>
  <c r="V55" i="12" s="1"/>
  <c r="W55" i="12" s="1"/>
  <c r="Y55" i="12" s="1"/>
  <c r="C53" i="14"/>
  <c r="C61" i="14"/>
  <c r="Q3" i="14"/>
  <c r="Q33" i="14" s="1"/>
  <c r="Q23" i="14"/>
  <c r="J61" i="14"/>
  <c r="H50" i="14"/>
  <c r="H58" i="14"/>
  <c r="Q49" i="12"/>
  <c r="U49" i="12" s="1"/>
  <c r="V49" i="12" s="1"/>
  <c r="W49" i="12" s="1"/>
  <c r="F59" i="12"/>
  <c r="P59" i="12" s="1"/>
  <c r="S59" i="12" s="1"/>
  <c r="C62" i="14"/>
  <c r="C54" i="14"/>
  <c r="F52" i="12"/>
  <c r="D57" i="12"/>
  <c r="E49" i="12"/>
  <c r="C34" i="12"/>
  <c r="E34" i="14"/>
  <c r="H30" i="12"/>
  <c r="G54" i="14"/>
  <c r="G62" i="14"/>
  <c r="F44" i="12"/>
  <c r="P44" i="12" s="1"/>
  <c r="S44" i="12" s="1"/>
  <c r="D39" i="12"/>
  <c r="I36" i="14"/>
  <c r="E55" i="12"/>
  <c r="M33" i="14"/>
  <c r="B37" i="14"/>
  <c r="C47" i="12"/>
  <c r="D41" i="12"/>
  <c r="D36" i="12"/>
  <c r="D36" i="14"/>
  <c r="T7" i="14"/>
  <c r="T37" i="14" s="1"/>
  <c r="T27" i="14"/>
  <c r="Y59" i="12"/>
  <c r="W58" i="12"/>
  <c r="B34" i="14"/>
  <c r="D46" i="12"/>
  <c r="C36" i="14"/>
  <c r="R56" i="12"/>
  <c r="X56" i="12" s="1"/>
  <c r="Q56" i="12"/>
  <c r="U56" i="12" s="1"/>
  <c r="V56" i="12" s="1"/>
  <c r="W56" i="12" s="1"/>
  <c r="Y56" i="12" s="1"/>
  <c r="R54" i="12"/>
  <c r="X54" i="12" s="1"/>
  <c r="L30" i="12"/>
  <c r="D53" i="14" l="1"/>
  <c r="M53" i="14"/>
  <c r="Z59" i="12"/>
  <c r="Q36" i="14"/>
  <c r="Z45" i="12"/>
  <c r="E47" i="12"/>
  <c r="H40" i="12"/>
  <c r="G59" i="12"/>
  <c r="B19" i="26"/>
  <c r="U7" i="14"/>
  <c r="U27" i="14"/>
  <c r="F55" i="12"/>
  <c r="P55" i="12" s="1"/>
  <c r="S55" i="12" s="1"/>
  <c r="S53" i="14"/>
  <c r="S61" i="14"/>
  <c r="E53" i="12"/>
  <c r="J9" i="14"/>
  <c r="J29" i="14"/>
  <c r="R37" i="14"/>
  <c r="AL31" i="12"/>
  <c r="AM30" i="12"/>
  <c r="I49" i="14"/>
  <c r="I57" i="14"/>
  <c r="J52" i="14"/>
  <c r="J60" i="14"/>
  <c r="M57" i="14"/>
  <c r="M49" i="14"/>
  <c r="R46" i="12"/>
  <c r="X46" i="12" s="1"/>
  <c r="Z55" i="12"/>
  <c r="Q53" i="12"/>
  <c r="W53" i="12" s="1"/>
  <c r="G44" i="12"/>
  <c r="H52" i="14"/>
  <c r="H60" i="14"/>
  <c r="AG29" i="7"/>
  <c r="H54" i="14"/>
  <c r="H62" i="14"/>
  <c r="G52" i="12"/>
  <c r="I11" i="26"/>
  <c r="R41" i="12"/>
  <c r="X41" i="12" s="1"/>
  <c r="Y41" i="12" s="1"/>
  <c r="G45" i="12"/>
  <c r="F48" i="12"/>
  <c r="P48" i="12" s="1"/>
  <c r="S48" i="12" s="1"/>
  <c r="V35" i="12"/>
  <c r="E52" i="14"/>
  <c r="E60" i="14"/>
  <c r="G60" i="14"/>
  <c r="G52" i="14"/>
  <c r="Q38" i="14"/>
  <c r="C52" i="14"/>
  <c r="C60" i="14"/>
  <c r="Q60" i="14"/>
  <c r="Q52" i="14"/>
  <c r="G61" i="14"/>
  <c r="G53" i="14"/>
  <c r="Q37" i="14"/>
  <c r="B49" i="14"/>
  <c r="B57" i="14"/>
  <c r="E5" i="26"/>
  <c r="F49" i="14"/>
  <c r="F57" i="14"/>
  <c r="F5" i="26"/>
  <c r="I5" i="26" s="1"/>
  <c r="Z3" i="12"/>
  <c r="E37" i="12"/>
  <c r="H57" i="14"/>
  <c r="H49" i="14"/>
  <c r="E36" i="12"/>
  <c r="L52" i="14"/>
  <c r="L60" i="14"/>
  <c r="R6" i="14"/>
  <c r="R26" i="14"/>
  <c r="S5" i="14"/>
  <c r="S25" i="14"/>
  <c r="H9" i="14"/>
  <c r="H29" i="14"/>
  <c r="Y49" i="12"/>
  <c r="Z49" i="12" s="1"/>
  <c r="W47" i="12"/>
  <c r="I9" i="14"/>
  <c r="I29" i="14"/>
  <c r="R37" i="12"/>
  <c r="X37" i="12" s="1"/>
  <c r="Y37" i="12" s="1"/>
  <c r="Q51" i="14"/>
  <c r="Q59" i="14"/>
  <c r="D58" i="12"/>
  <c r="R36" i="12"/>
  <c r="X36" i="12" s="1"/>
  <c r="Y36" i="12" s="1"/>
  <c r="L57" i="14"/>
  <c r="L49" i="14"/>
  <c r="D57" i="14"/>
  <c r="D49" i="14"/>
  <c r="S6" i="14"/>
  <c r="S26" i="14"/>
  <c r="G50" i="14"/>
  <c r="G58" i="14"/>
  <c r="L54" i="14"/>
  <c r="L62" i="14"/>
  <c r="D52" i="14"/>
  <c r="D60" i="14"/>
  <c r="L9" i="14"/>
  <c r="L29" i="14"/>
  <c r="F56" i="12"/>
  <c r="P56" i="12" s="1"/>
  <c r="S56" i="12" s="1"/>
  <c r="D42" i="12"/>
  <c r="Q46" i="12"/>
  <c r="U46" i="12" s="1"/>
  <c r="V46" i="12" s="1"/>
  <c r="W46" i="12" s="1"/>
  <c r="Y46" i="12" s="1"/>
  <c r="R3" i="14"/>
  <c r="R23" i="14"/>
  <c r="F49" i="12"/>
  <c r="P49" i="12" s="1"/>
  <c r="S49" i="12" s="1"/>
  <c r="B53" i="14"/>
  <c r="B61" i="14"/>
  <c r="E46" i="12"/>
  <c r="Q39" i="12"/>
  <c r="G9" i="14"/>
  <c r="G29" i="14"/>
  <c r="E43" i="12"/>
  <c r="D54" i="14"/>
  <c r="D62" i="14"/>
  <c r="B9" i="14"/>
  <c r="B39" i="14" s="1"/>
  <c r="B29" i="14"/>
  <c r="B58" i="14"/>
  <c r="B50" i="14"/>
  <c r="I60" i="14"/>
  <c r="I52" i="14"/>
  <c r="E58" i="14"/>
  <c r="E50" i="14"/>
  <c r="E39" i="12"/>
  <c r="R4" i="14"/>
  <c r="R24" i="14"/>
  <c r="C58" i="14"/>
  <c r="C50" i="14"/>
  <c r="R43" i="12"/>
  <c r="X43" i="12" s="1"/>
  <c r="X58" i="12"/>
  <c r="Y58" i="12" s="1"/>
  <c r="C33" i="14"/>
  <c r="F54" i="12"/>
  <c r="P54" i="12" s="1"/>
  <c r="S54" i="12" s="1"/>
  <c r="I54" i="14"/>
  <c r="I62" i="14"/>
  <c r="AI28" i="7"/>
  <c r="AK28" i="7" s="1"/>
  <c r="R59" i="14"/>
  <c r="R51" i="14"/>
  <c r="Z51" i="12"/>
  <c r="G57" i="14"/>
  <c r="G49" i="14"/>
  <c r="K9" i="14"/>
  <c r="K29" i="14"/>
  <c r="E35" i="12"/>
  <c r="G60" i="12"/>
  <c r="G51" i="12"/>
  <c r="E62" i="14"/>
  <c r="E54" i="14"/>
  <c r="E61" i="14"/>
  <c r="E53" i="14"/>
  <c r="B52" i="14"/>
  <c r="N52" i="14" s="1"/>
  <c r="B60" i="14"/>
  <c r="N60" i="14" s="1"/>
  <c r="Y54" i="12"/>
  <c r="K58" i="14"/>
  <c r="K50" i="14"/>
  <c r="B61" i="12"/>
  <c r="X48" i="12"/>
  <c r="B11" i="26"/>
  <c r="J11" i="26" s="1"/>
  <c r="F9" i="14"/>
  <c r="F29" i="14"/>
  <c r="R57" i="12"/>
  <c r="M54" i="14"/>
  <c r="M62" i="14"/>
  <c r="R35" i="12"/>
  <c r="T53" i="14"/>
  <c r="T61" i="14"/>
  <c r="Q49" i="14"/>
  <c r="Q57" i="14"/>
  <c r="D34" i="12"/>
  <c r="F57" i="12"/>
  <c r="P57" i="12" s="1"/>
  <c r="S57" i="12" s="1"/>
  <c r="M55" i="14"/>
  <c r="M63" i="14"/>
  <c r="C30" i="12"/>
  <c r="Q50" i="14"/>
  <c r="Q58" i="14"/>
  <c r="R8" i="14"/>
  <c r="R28" i="14"/>
  <c r="B62" i="14"/>
  <c r="B54" i="14"/>
  <c r="N54" i="14" s="1"/>
  <c r="D9" i="14"/>
  <c r="D39" i="14" s="1"/>
  <c r="AJ30" i="12"/>
  <c r="D29" i="14"/>
  <c r="K49" i="14"/>
  <c r="K57" i="14"/>
  <c r="E9" i="14"/>
  <c r="E39" i="14" s="1"/>
  <c r="E29" i="14"/>
  <c r="F41" i="12"/>
  <c r="P41" i="12" s="1"/>
  <c r="S41" i="12" s="1"/>
  <c r="Z41" i="12" l="1"/>
  <c r="I39" i="14"/>
  <c r="R36" i="14"/>
  <c r="F39" i="14"/>
  <c r="F55" i="14" s="1"/>
  <c r="Z54" i="12"/>
  <c r="I40" i="12"/>
  <c r="F47" i="12"/>
  <c r="G41" i="12"/>
  <c r="E11" i="26"/>
  <c r="F63" i="14"/>
  <c r="R38" i="14"/>
  <c r="F37" i="12"/>
  <c r="P37" i="12" s="1"/>
  <c r="S37" i="12" s="1"/>
  <c r="F35" i="12"/>
  <c r="P35" i="12" s="1"/>
  <c r="S35" i="12" s="1"/>
  <c r="AI29" i="7"/>
  <c r="R34" i="14"/>
  <c r="N58" i="14"/>
  <c r="F39" i="12"/>
  <c r="P39" i="12" s="1"/>
  <c r="S39" i="12" s="1"/>
  <c r="G56" i="12"/>
  <c r="S36" i="14"/>
  <c r="H39" i="14"/>
  <c r="E42" i="12"/>
  <c r="S35" i="14"/>
  <c r="E58" i="12"/>
  <c r="F53" i="12"/>
  <c r="P53" i="12" s="1"/>
  <c r="S53" i="12" s="1"/>
  <c r="J39" i="14"/>
  <c r="U37" i="14"/>
  <c r="C9" i="14"/>
  <c r="C29" i="14"/>
  <c r="G38" i="12"/>
  <c r="X57" i="12"/>
  <c r="C49" i="14"/>
  <c r="C57" i="14"/>
  <c r="U39" i="12"/>
  <c r="Q61" i="12"/>
  <c r="N61" i="14"/>
  <c r="S4" i="14"/>
  <c r="S24" i="14"/>
  <c r="F36" i="12"/>
  <c r="P36" i="12" s="1"/>
  <c r="S36" i="12" s="1"/>
  <c r="Z37" i="12"/>
  <c r="F20" i="26"/>
  <c r="I20" i="26" s="1"/>
  <c r="K39" i="14"/>
  <c r="F43" i="12"/>
  <c r="P43" i="12" s="1"/>
  <c r="S43" i="12" s="1"/>
  <c r="H50" i="12"/>
  <c r="N53" i="14"/>
  <c r="I63" i="14"/>
  <c r="I55" i="14"/>
  <c r="N57" i="14"/>
  <c r="K11" i="26"/>
  <c r="L11" i="26" s="1"/>
  <c r="Y53" i="12"/>
  <c r="Z53" i="12" s="1"/>
  <c r="W52" i="12"/>
  <c r="R53" i="14"/>
  <c r="R61" i="14"/>
  <c r="G55" i="12"/>
  <c r="T6" i="14"/>
  <c r="T36" i="14" s="1"/>
  <c r="T26" i="14"/>
  <c r="S3" i="14"/>
  <c r="S23" i="14"/>
  <c r="G39" i="14"/>
  <c r="I50" i="12"/>
  <c r="R33" i="14"/>
  <c r="L39" i="14"/>
  <c r="S8" i="14"/>
  <c r="S38" i="14" s="1"/>
  <c r="S28" i="14"/>
  <c r="N49" i="14"/>
  <c r="Q54" i="14"/>
  <c r="Q62" i="14"/>
  <c r="H45" i="12"/>
  <c r="D55" i="14"/>
  <c r="D63" i="14"/>
  <c r="H51" i="12"/>
  <c r="F17" i="26"/>
  <c r="I17" i="26" s="1"/>
  <c r="X47" i="12"/>
  <c r="Y47" i="12" s="1"/>
  <c r="Y48" i="12"/>
  <c r="Z48" i="12" s="1"/>
  <c r="N50" i="14"/>
  <c r="E55" i="14"/>
  <c r="E63" i="14"/>
  <c r="N62" i="14"/>
  <c r="X35" i="12"/>
  <c r="R61" i="12"/>
  <c r="AA35" i="12" s="1"/>
  <c r="Q9" i="14"/>
  <c r="Q39" i="14" s="1"/>
  <c r="Q29" i="14"/>
  <c r="E34" i="12"/>
  <c r="H38" i="12"/>
  <c r="C61" i="12"/>
  <c r="Z56" i="12"/>
  <c r="R52" i="14"/>
  <c r="R60" i="14"/>
  <c r="V7" i="14"/>
  <c r="V37" i="14" s="1"/>
  <c r="V27" i="14"/>
  <c r="H44" i="12"/>
  <c r="H59" i="12"/>
  <c r="X42" i="12"/>
  <c r="Y42" i="12" s="1"/>
  <c r="Y43" i="12"/>
  <c r="Z43" i="12" s="1"/>
  <c r="B55" i="14"/>
  <c r="B63" i="14"/>
  <c r="F46" i="12"/>
  <c r="Z46" i="12" s="1"/>
  <c r="Q53" i="14"/>
  <c r="Q61" i="14"/>
  <c r="W35" i="12"/>
  <c r="AG30" i="7"/>
  <c r="AK29" i="7"/>
  <c r="G49" i="12"/>
  <c r="T5" i="14"/>
  <c r="T35" i="14" s="1"/>
  <c r="T25" i="14"/>
  <c r="G48" i="12"/>
  <c r="G54" i="12"/>
  <c r="H52" i="12"/>
  <c r="C39" i="14" l="1"/>
  <c r="C63" i="14" s="1"/>
  <c r="N63" i="14" s="1"/>
  <c r="G47" i="12"/>
  <c r="Y35" i="12"/>
  <c r="Z35" i="12" s="1"/>
  <c r="H54" i="12"/>
  <c r="X34" i="12"/>
  <c r="X62" i="12"/>
  <c r="H41" i="12"/>
  <c r="I52" i="12"/>
  <c r="H60" i="12"/>
  <c r="Z36" i="12"/>
  <c r="T8" i="14"/>
  <c r="T28" i="14"/>
  <c r="S60" i="14"/>
  <c r="S52" i="14"/>
  <c r="F58" i="12"/>
  <c r="V61" i="14"/>
  <c r="V53" i="14"/>
  <c r="I44" i="12"/>
  <c r="D61" i="12"/>
  <c r="T52" i="14"/>
  <c r="T60" i="14"/>
  <c r="I45" i="12"/>
  <c r="K55" i="14"/>
  <c r="K63" i="14"/>
  <c r="S61" i="12"/>
  <c r="Y57" i="12"/>
  <c r="Z57" i="12" s="1"/>
  <c r="X52" i="12"/>
  <c r="H56" i="12"/>
  <c r="H57" i="12"/>
  <c r="E19" i="26"/>
  <c r="U53" i="14"/>
  <c r="U61" i="14"/>
  <c r="S59" i="14"/>
  <c r="S51" i="14"/>
  <c r="F18" i="26"/>
  <c r="I18" i="26" s="1"/>
  <c r="Z47" i="12"/>
  <c r="F16" i="26"/>
  <c r="I16" i="26" s="1"/>
  <c r="H49" i="12"/>
  <c r="R9" i="14"/>
  <c r="R29" i="14"/>
  <c r="R62" i="12"/>
  <c r="Q62" i="12" s="1"/>
  <c r="S62" i="12" s="1"/>
  <c r="AA48" i="12"/>
  <c r="G46" i="12"/>
  <c r="S54" i="14"/>
  <c r="S62" i="14"/>
  <c r="R54" i="14"/>
  <c r="R62" i="14"/>
  <c r="I59" i="12"/>
  <c r="F34" i="12"/>
  <c r="G36" i="12"/>
  <c r="G35" i="12"/>
  <c r="V39" i="12"/>
  <c r="U61" i="12"/>
  <c r="AA57" i="12"/>
  <c r="J55" i="14"/>
  <c r="J63" i="14"/>
  <c r="T4" i="14"/>
  <c r="T24" i="14"/>
  <c r="G57" i="12"/>
  <c r="R57" i="14"/>
  <c r="R49" i="14"/>
  <c r="B17" i="26"/>
  <c r="U5" i="14"/>
  <c r="P46" i="12"/>
  <c r="S46" i="12" s="1"/>
  <c r="U25" i="14"/>
  <c r="N55" i="14"/>
  <c r="G55" i="14"/>
  <c r="G63" i="14"/>
  <c r="G43" i="12"/>
  <c r="R50" i="14"/>
  <c r="R58" i="14"/>
  <c r="T51" i="14"/>
  <c r="T59" i="14"/>
  <c r="Q55" i="14"/>
  <c r="Q63" i="14"/>
  <c r="L55" i="14"/>
  <c r="L63" i="14"/>
  <c r="Y52" i="12"/>
  <c r="G53" i="12"/>
  <c r="S34" i="14"/>
  <c r="F42" i="12"/>
  <c r="H48" i="12"/>
  <c r="B18" i="26"/>
  <c r="U6" i="14"/>
  <c r="U26" i="14"/>
  <c r="W7" i="14"/>
  <c r="W27" i="14"/>
  <c r="T3" i="14"/>
  <c r="T23" i="14"/>
  <c r="J40" i="12"/>
  <c r="H55" i="12"/>
  <c r="I51" i="12"/>
  <c r="H63" i="14"/>
  <c r="H55" i="14"/>
  <c r="AI30" i="7"/>
  <c r="AK30" i="7" s="1"/>
  <c r="AG31" i="7"/>
  <c r="G39" i="12"/>
  <c r="S33" i="14"/>
  <c r="G37" i="12"/>
  <c r="C55" i="14" l="1"/>
  <c r="U36" i="14"/>
  <c r="U62" i="12"/>
  <c r="T38" i="14"/>
  <c r="T33" i="14"/>
  <c r="T49" i="14" s="1"/>
  <c r="AG32" i="7"/>
  <c r="S49" i="14"/>
  <c r="S57" i="14"/>
  <c r="I48" i="12"/>
  <c r="H53" i="12"/>
  <c r="W39" i="12"/>
  <c r="V62" i="12"/>
  <c r="H46" i="12"/>
  <c r="J45" i="12"/>
  <c r="I55" i="12"/>
  <c r="T34" i="14"/>
  <c r="B15" i="26"/>
  <c r="U3" i="14"/>
  <c r="U23" i="14"/>
  <c r="R39" i="14"/>
  <c r="I54" i="12"/>
  <c r="K50" i="12"/>
  <c r="J52" i="12"/>
  <c r="I41" i="12"/>
  <c r="J38" i="12"/>
  <c r="J51" i="12"/>
  <c r="F19" i="26"/>
  <c r="I19" i="26" s="1"/>
  <c r="Z52" i="12"/>
  <c r="G58" i="12"/>
  <c r="V5" i="14"/>
  <c r="V25" i="14"/>
  <c r="S9" i="14"/>
  <c r="S29" i="14"/>
  <c r="B20" i="26"/>
  <c r="U8" i="14"/>
  <c r="U28" i="14"/>
  <c r="Z58" i="12"/>
  <c r="T62" i="14"/>
  <c r="T54" i="14"/>
  <c r="I56" i="12"/>
  <c r="X7" i="14"/>
  <c r="X27" i="14"/>
  <c r="V6" i="14"/>
  <c r="V26" i="14"/>
  <c r="I38" i="12"/>
  <c r="I49" i="12"/>
  <c r="B16" i="26"/>
  <c r="U4" i="14"/>
  <c r="U24" i="14"/>
  <c r="S50" i="14"/>
  <c r="S58" i="14"/>
  <c r="H43" i="12"/>
  <c r="J60" i="12"/>
  <c r="E61" i="12"/>
  <c r="I60" i="12"/>
  <c r="G42" i="12"/>
  <c r="H35" i="12"/>
  <c r="H36" i="12"/>
  <c r="H37" i="12"/>
  <c r="Z42" i="12"/>
  <c r="J59" i="12"/>
  <c r="W37" i="14"/>
  <c r="H39" i="12"/>
  <c r="E18" i="26"/>
  <c r="U52" i="14"/>
  <c r="U60" i="14"/>
  <c r="J50" i="12"/>
  <c r="U35" i="14"/>
  <c r="J44" i="12"/>
  <c r="AI31" i="7"/>
  <c r="K40" i="12"/>
  <c r="G34" i="12"/>
  <c r="T57" i="14" l="1"/>
  <c r="U33" i="14"/>
  <c r="K38" i="12"/>
  <c r="V3" i="14"/>
  <c r="V23" i="14"/>
  <c r="AI32" i="7"/>
  <c r="AK32" i="7" s="1"/>
  <c r="I37" i="12"/>
  <c r="I36" i="12"/>
  <c r="V4" i="14"/>
  <c r="V24" i="14"/>
  <c r="J48" i="12"/>
  <c r="U38" i="14"/>
  <c r="H58" i="12"/>
  <c r="W5" i="14"/>
  <c r="W25" i="14"/>
  <c r="AK31" i="7"/>
  <c r="R63" i="14"/>
  <c r="R55" i="14"/>
  <c r="J41" i="12"/>
  <c r="L50" i="12"/>
  <c r="J57" i="12"/>
  <c r="H34" i="12"/>
  <c r="V35" i="14"/>
  <c r="J49" i="12"/>
  <c r="H42" i="12"/>
  <c r="X37" i="14"/>
  <c r="V8" i="14"/>
  <c r="V28" i="14"/>
  <c r="AG33" i="7"/>
  <c r="H47" i="12"/>
  <c r="J54" i="12"/>
  <c r="E15" i="26"/>
  <c r="U49" i="14"/>
  <c r="U57" i="14"/>
  <c r="E17" i="26"/>
  <c r="U59" i="14"/>
  <c r="U51" i="14"/>
  <c r="I35" i="12"/>
  <c r="L40" i="12"/>
  <c r="I43" i="12"/>
  <c r="K44" i="12"/>
  <c r="I46" i="12"/>
  <c r="J56" i="12"/>
  <c r="S39" i="14"/>
  <c r="K51" i="12"/>
  <c r="I53" i="12"/>
  <c r="K52" i="12"/>
  <c r="W61" i="14"/>
  <c r="W53" i="14"/>
  <c r="F61" i="12"/>
  <c r="I57" i="12"/>
  <c r="I39" i="12"/>
  <c r="U34" i="14"/>
  <c r="V36" i="14"/>
  <c r="K59" i="12"/>
  <c r="T9" i="14"/>
  <c r="T29" i="14"/>
  <c r="T58" i="14"/>
  <c r="T50" i="14"/>
  <c r="K45" i="12"/>
  <c r="I47" i="12"/>
  <c r="Y7" i="14"/>
  <c r="Y27" i="14"/>
  <c r="Y39" i="12"/>
  <c r="Z39" i="12" s="1"/>
  <c r="W34" i="12"/>
  <c r="Y34" i="12" s="1"/>
  <c r="W62" i="12"/>
  <c r="Y62" i="12" s="1"/>
  <c r="F21" i="26" s="1"/>
  <c r="J55" i="12"/>
  <c r="V33" i="14" l="1"/>
  <c r="V38" i="14"/>
  <c r="V34" i="14"/>
  <c r="K57" i="12"/>
  <c r="K41" i="12"/>
  <c r="I21" i="26"/>
  <c r="F15" i="26"/>
  <c r="I15" i="26" s="1"/>
  <c r="Z34" i="12"/>
  <c r="L59" i="12"/>
  <c r="J37" i="12"/>
  <c r="J46" i="12"/>
  <c r="W4" i="14"/>
  <c r="W24" i="14"/>
  <c r="V51" i="14"/>
  <c r="V59" i="14"/>
  <c r="K48" i="12"/>
  <c r="G61" i="12"/>
  <c r="Z7" i="14"/>
  <c r="Z27" i="14"/>
  <c r="V54" i="14"/>
  <c r="V62" i="14"/>
  <c r="M40" i="12"/>
  <c r="W35" i="14"/>
  <c r="J47" i="12"/>
  <c r="B21" i="26"/>
  <c r="J21" i="26" s="1"/>
  <c r="U9" i="14"/>
  <c r="U29" i="14"/>
  <c r="E16" i="26"/>
  <c r="U58" i="14"/>
  <c r="U50" i="14"/>
  <c r="AG34" i="7"/>
  <c r="K54" i="12"/>
  <c r="L45" i="12"/>
  <c r="J39" i="12"/>
  <c r="K60" i="12"/>
  <c r="V50" i="14"/>
  <c r="V58" i="14"/>
  <c r="K55" i="12"/>
  <c r="AI33" i="7"/>
  <c r="AK33" i="7" s="1"/>
  <c r="J35" i="12"/>
  <c r="S63" i="14"/>
  <c r="S55" i="14"/>
  <c r="Y37" i="14"/>
  <c r="J36" i="12"/>
  <c r="I42" i="12"/>
  <c r="J43" i="12"/>
  <c r="K49" i="12"/>
  <c r="I34" i="12"/>
  <c r="K56" i="12"/>
  <c r="W6" i="14"/>
  <c r="W26" i="14"/>
  <c r="L44" i="12"/>
  <c r="W3" i="14"/>
  <c r="W23" i="14"/>
  <c r="E20" i="26"/>
  <c r="U62" i="14"/>
  <c r="U54" i="14"/>
  <c r="V57" i="14"/>
  <c r="V49" i="14"/>
  <c r="L52" i="12"/>
  <c r="L51" i="12"/>
  <c r="X53" i="14"/>
  <c r="X61" i="14"/>
  <c r="I58" i="12"/>
  <c r="W8" i="14"/>
  <c r="W38" i="14" s="1"/>
  <c r="W28" i="14"/>
  <c r="T39" i="14"/>
  <c r="V52" i="14"/>
  <c r="V60" i="14"/>
  <c r="X6" i="14"/>
  <c r="X26" i="14"/>
  <c r="J53" i="12"/>
  <c r="X5" i="14"/>
  <c r="X35" i="14" s="1"/>
  <c r="X25" i="14"/>
  <c r="X36" i="14" l="1"/>
  <c r="W33" i="14"/>
  <c r="W36" i="14"/>
  <c r="U39" i="14"/>
  <c r="Z37" i="14"/>
  <c r="Z53" i="14" s="1"/>
  <c r="X4" i="14"/>
  <c r="X24" i="14"/>
  <c r="L49" i="12"/>
  <c r="K39" i="12"/>
  <c r="M45" i="12"/>
  <c r="V9" i="14"/>
  <c r="V29" i="14"/>
  <c r="M50" i="12"/>
  <c r="J34" i="12"/>
  <c r="Y53" i="14"/>
  <c r="Y61" i="14"/>
  <c r="K43" i="12"/>
  <c r="K36" i="12"/>
  <c r="M60" i="12"/>
  <c r="M59" i="12"/>
  <c r="K46" i="12"/>
  <c r="M44" i="12"/>
  <c r="L48" i="12"/>
  <c r="Y5" i="14"/>
  <c r="Y35" i="14" s="1"/>
  <c r="Y25" i="14"/>
  <c r="X51" i="14"/>
  <c r="X59" i="14"/>
  <c r="X8" i="14"/>
  <c r="X28" i="14"/>
  <c r="L56" i="12"/>
  <c r="L54" i="12"/>
  <c r="J42" i="12"/>
  <c r="L38" i="12"/>
  <c r="K53" i="12"/>
  <c r="AA7" i="14"/>
  <c r="AA27" i="14"/>
  <c r="W52" i="14"/>
  <c r="W60" i="14"/>
  <c r="L60" i="12"/>
  <c r="K35" i="12"/>
  <c r="M38" i="12"/>
  <c r="E21" i="26"/>
  <c r="K21" i="26" s="1"/>
  <c r="L21" i="26" s="1"/>
  <c r="U63" i="14"/>
  <c r="U55" i="14"/>
  <c r="Y6" i="14"/>
  <c r="Y26" i="14"/>
  <c r="L41" i="12"/>
  <c r="W51" i="14"/>
  <c r="W59" i="14"/>
  <c r="H61" i="12"/>
  <c r="M51" i="12"/>
  <c r="T55" i="14"/>
  <c r="T63" i="14"/>
  <c r="W57" i="14"/>
  <c r="W49" i="14"/>
  <c r="X3" i="14"/>
  <c r="X23" i="14"/>
  <c r="Z61" i="14"/>
  <c r="K47" i="12"/>
  <c r="J58" i="12"/>
  <c r="M52" i="12"/>
  <c r="L55" i="12"/>
  <c r="X60" i="14"/>
  <c r="X52" i="14"/>
  <c r="W62" i="14"/>
  <c r="W54" i="14"/>
  <c r="AI34" i="7"/>
  <c r="K37" i="12"/>
  <c r="W34" i="14"/>
  <c r="X38" i="14" l="1"/>
  <c r="Y36" i="14"/>
  <c r="AA37" i="14"/>
  <c r="V39" i="14"/>
  <c r="M57" i="12"/>
  <c r="M49" i="12"/>
  <c r="K42" i="12"/>
  <c r="L35" i="12"/>
  <c r="X33" i="14"/>
  <c r="I61" i="12"/>
  <c r="M56" i="12"/>
  <c r="AB7" i="14"/>
  <c r="AB27" i="14"/>
  <c r="M48" i="12"/>
  <c r="K34" i="12"/>
  <c r="W58" i="14"/>
  <c r="W50" i="14"/>
  <c r="AA53" i="14"/>
  <c r="AA61" i="14"/>
  <c r="V55" i="14"/>
  <c r="V63" i="14"/>
  <c r="L36" i="12"/>
  <c r="L43" i="12"/>
  <c r="K58" i="12"/>
  <c r="AK34" i="7"/>
  <c r="X34" i="14"/>
  <c r="L57" i="12"/>
  <c r="L53" i="12"/>
  <c r="Y60" i="14"/>
  <c r="Y52" i="14"/>
  <c r="M41" i="12"/>
  <c r="L39" i="12"/>
  <c r="Y8" i="14"/>
  <c r="Y28" i="14"/>
  <c r="W9" i="14"/>
  <c r="W29" i="14"/>
  <c r="Y3" i="14"/>
  <c r="Y23" i="14"/>
  <c r="M55" i="12"/>
  <c r="M54" i="12"/>
  <c r="Z6" i="14"/>
  <c r="Z26" i="14"/>
  <c r="L37" i="12"/>
  <c r="Y51" i="14"/>
  <c r="Y59" i="14"/>
  <c r="Z5" i="14"/>
  <c r="Z25" i="14"/>
  <c r="L46" i="12"/>
  <c r="Y4" i="14"/>
  <c r="Y24" i="14"/>
  <c r="X54" i="14"/>
  <c r="X62" i="14"/>
  <c r="AB37" i="14" l="1"/>
  <c r="W39" i="14"/>
  <c r="J61" i="12"/>
  <c r="AB53" i="14"/>
  <c r="AC53" i="14" s="1"/>
  <c r="AB61" i="14"/>
  <c r="AC61" i="14" s="1"/>
  <c r="Z4" i="14"/>
  <c r="Z24" i="14"/>
  <c r="L42" i="12"/>
  <c r="Y34" i="14"/>
  <c r="L58" i="12"/>
  <c r="M47" i="12"/>
  <c r="C2" i="20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X9" i="14"/>
  <c r="X29" i="14"/>
  <c r="L34" i="12"/>
  <c r="Z35" i="14"/>
  <c r="Y38" i="14"/>
  <c r="M37" i="12"/>
  <c r="M46" i="12"/>
  <c r="M43" i="12"/>
  <c r="AA5" i="14"/>
  <c r="AA25" i="14"/>
  <c r="Z36" i="14"/>
  <c r="Y33" i="14"/>
  <c r="M35" i="12"/>
  <c r="M53" i="12"/>
  <c r="X50" i="14"/>
  <c r="X58" i="14"/>
  <c r="Z3" i="14"/>
  <c r="Z23" i="14"/>
  <c r="M36" i="12"/>
  <c r="W55" i="14"/>
  <c r="W63" i="14"/>
  <c r="L47" i="12"/>
  <c r="X49" i="14"/>
  <c r="X57" i="14"/>
  <c r="Z8" i="14"/>
  <c r="Z28" i="14"/>
  <c r="M39" i="12"/>
  <c r="A2" i="20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Z33" i="14" l="1"/>
  <c r="Z49" i="14" s="1"/>
  <c r="Y50" i="14"/>
  <c r="Y58" i="14"/>
  <c r="M42" i="12"/>
  <c r="Y49" i="14"/>
  <c r="Y57" i="14"/>
  <c r="AB5" i="14"/>
  <c r="AB25" i="14"/>
  <c r="AA8" i="14"/>
  <c r="AA28" i="14"/>
  <c r="AA4" i="14"/>
  <c r="AA34" i="14" s="1"/>
  <c r="AA24" i="14"/>
  <c r="AA35" i="14"/>
  <c r="K61" i="12"/>
  <c r="M34" i="12"/>
  <c r="Z52" i="14"/>
  <c r="Z60" i="14"/>
  <c r="Z34" i="14"/>
  <c r="M58" i="12"/>
  <c r="Y54" i="14"/>
  <c r="Y62" i="14"/>
  <c r="X39" i="14"/>
  <c r="B2" i="20"/>
  <c r="B3" i="20" s="1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Z59" i="14"/>
  <c r="Z51" i="14"/>
  <c r="Z38" i="14"/>
  <c r="AA3" i="14"/>
  <c r="AA23" i="14"/>
  <c r="AB6" i="14"/>
  <c r="AB26" i="14"/>
  <c r="AA6" i="14"/>
  <c r="AA26" i="14"/>
  <c r="Z57" i="14"/>
  <c r="B2" i="9" a="1"/>
  <c r="Y9" i="14"/>
  <c r="Y29" i="14"/>
  <c r="Y39" i="14" l="1"/>
  <c r="X13" i="9"/>
  <c r="P13" i="9"/>
  <c r="H13" i="9"/>
  <c r="AD12" i="9"/>
  <c r="V12" i="9"/>
  <c r="N12" i="9"/>
  <c r="F12" i="9"/>
  <c r="AB11" i="9"/>
  <c r="T11" i="9"/>
  <c r="L11" i="9"/>
  <c r="D11" i="9"/>
  <c r="Z10" i="9"/>
  <c r="R10" i="9"/>
  <c r="J10" i="9"/>
  <c r="B10" i="9"/>
  <c r="X9" i="9"/>
  <c r="P9" i="9"/>
  <c r="H9" i="9"/>
  <c r="AD8" i="9"/>
  <c r="V8" i="9"/>
  <c r="N8" i="9"/>
  <c r="F8" i="9"/>
  <c r="AB7" i="9"/>
  <c r="T7" i="9"/>
  <c r="L7" i="9"/>
  <c r="D7" i="9"/>
  <c r="Z6" i="9"/>
  <c r="R6" i="9"/>
  <c r="J6" i="9"/>
  <c r="B6" i="9"/>
  <c r="AC13" i="9"/>
  <c r="T13" i="9"/>
  <c r="K13" i="9"/>
  <c r="B13" i="9"/>
  <c r="W12" i="9"/>
  <c r="M12" i="9"/>
  <c r="D12" i="9"/>
  <c r="Y11" i="9"/>
  <c r="P11" i="9"/>
  <c r="G11" i="9"/>
  <c r="AB10" i="9"/>
  <c r="S10" i="9"/>
  <c r="I10" i="9"/>
  <c r="AD9" i="9"/>
  <c r="U9" i="9"/>
  <c r="L9" i="9"/>
  <c r="C9" i="9"/>
  <c r="X8" i="9"/>
  <c r="O8" i="9"/>
  <c r="E8" i="9"/>
  <c r="Z7" i="9"/>
  <c r="Q7" i="9"/>
  <c r="H7" i="9"/>
  <c r="AC6" i="9"/>
  <c r="T6" i="9"/>
  <c r="K6" i="9"/>
  <c r="AE5" i="9"/>
  <c r="W5" i="9"/>
  <c r="O5" i="9"/>
  <c r="G5" i="9"/>
  <c r="AC4" i="9"/>
  <c r="U4" i="9"/>
  <c r="M4" i="9"/>
  <c r="E4" i="9"/>
  <c r="AA3" i="9"/>
  <c r="S3" i="9"/>
  <c r="K3" i="9"/>
  <c r="C3" i="9"/>
  <c r="Y2" i="9"/>
  <c r="Q2" i="9"/>
  <c r="I2" i="9"/>
  <c r="B2" i="9"/>
  <c r="AB13" i="9"/>
  <c r="S13" i="9"/>
  <c r="J13" i="9"/>
  <c r="AE12" i="9"/>
  <c r="U12" i="9"/>
  <c r="L12" i="9"/>
  <c r="C12" i="9"/>
  <c r="X11" i="9"/>
  <c r="O11" i="9"/>
  <c r="F11" i="9"/>
  <c r="AA10" i="9"/>
  <c r="Q10" i="9"/>
  <c r="H10" i="9"/>
  <c r="AC9" i="9"/>
  <c r="T9" i="9"/>
  <c r="K9" i="9"/>
  <c r="B9" i="9"/>
  <c r="W8" i="9"/>
  <c r="M8" i="9"/>
  <c r="D8" i="9"/>
  <c r="Y7" i="9"/>
  <c r="P7" i="9"/>
  <c r="G7" i="9"/>
  <c r="AB6" i="9"/>
  <c r="S6" i="9"/>
  <c r="I6" i="9"/>
  <c r="AD5" i="9"/>
  <c r="V5" i="9"/>
  <c r="N5" i="9"/>
  <c r="F5" i="9"/>
  <c r="AB4" i="9"/>
  <c r="T4" i="9"/>
  <c r="L4" i="9"/>
  <c r="D4" i="9"/>
  <c r="Z3" i="9"/>
  <c r="R3" i="9"/>
  <c r="J3" i="9"/>
  <c r="B3" i="9"/>
  <c r="X2" i="9"/>
  <c r="P2" i="9"/>
  <c r="H2" i="9"/>
  <c r="AA13" i="9"/>
  <c r="R13" i="9"/>
  <c r="I13" i="9"/>
  <c r="AC12" i="9"/>
  <c r="T12" i="9"/>
  <c r="K12" i="9"/>
  <c r="B12" i="9"/>
  <c r="W11" i="9"/>
  <c r="N11" i="9"/>
  <c r="E11" i="9"/>
  <c r="Y10" i="9"/>
  <c r="P10" i="9"/>
  <c r="G10" i="9"/>
  <c r="AB9" i="9"/>
  <c r="S9" i="9"/>
  <c r="J9" i="9"/>
  <c r="AE8" i="9"/>
  <c r="U8" i="9"/>
  <c r="L8" i="9"/>
  <c r="C8" i="9"/>
  <c r="X7" i="9"/>
  <c r="O7" i="9"/>
  <c r="F7" i="9"/>
  <c r="AA6" i="9"/>
  <c r="Q6" i="9"/>
  <c r="H6" i="9"/>
  <c r="AC5" i="9"/>
  <c r="U5" i="9"/>
  <c r="M5" i="9"/>
  <c r="E5" i="9"/>
  <c r="AA4" i="9"/>
  <c r="S4" i="9"/>
  <c r="K4" i="9"/>
  <c r="C4" i="9"/>
  <c r="Y3" i="9"/>
  <c r="Q3" i="9"/>
  <c r="I3" i="9"/>
  <c r="AE2" i="9"/>
  <c r="W2" i="9"/>
  <c r="O2" i="9"/>
  <c r="G2" i="9"/>
  <c r="Z13" i="9"/>
  <c r="Q13" i="9"/>
  <c r="G13" i="9"/>
  <c r="AB12" i="9"/>
  <c r="S12" i="9"/>
  <c r="J12" i="9"/>
  <c r="AE11" i="9"/>
  <c r="V11" i="9"/>
  <c r="M11" i="9"/>
  <c r="C11" i="9"/>
  <c r="X10" i="9"/>
  <c r="O10" i="9"/>
  <c r="F10" i="9"/>
  <c r="AA9" i="9"/>
  <c r="R9" i="9"/>
  <c r="I9" i="9"/>
  <c r="AC8" i="9"/>
  <c r="T8" i="9"/>
  <c r="K8" i="9"/>
  <c r="B8" i="9"/>
  <c r="W7" i="9"/>
  <c r="N7" i="9"/>
  <c r="E7" i="9"/>
  <c r="Y6" i="9"/>
  <c r="P6" i="9"/>
  <c r="G6" i="9"/>
  <c r="AB5" i="9"/>
  <c r="T5" i="9"/>
  <c r="L5" i="9"/>
  <c r="D5" i="9"/>
  <c r="Z4" i="9"/>
  <c r="R4" i="9"/>
  <c r="J4" i="9"/>
  <c r="B4" i="9"/>
  <c r="X3" i="9"/>
  <c r="P3" i="9"/>
  <c r="H3" i="9"/>
  <c r="AD2" i="9"/>
  <c r="V2" i="9"/>
  <c r="N2" i="9"/>
  <c r="F2" i="9"/>
  <c r="Y13" i="9"/>
  <c r="O13" i="9"/>
  <c r="F13" i="9"/>
  <c r="AA12" i="9"/>
  <c r="R12" i="9"/>
  <c r="I12" i="9"/>
  <c r="AD11" i="9"/>
  <c r="U11" i="9"/>
  <c r="K11" i="9"/>
  <c r="B11" i="9"/>
  <c r="W10" i="9"/>
  <c r="N10" i="9"/>
  <c r="E10" i="9"/>
  <c r="Z9" i="9"/>
  <c r="Q9" i="9"/>
  <c r="G9" i="9"/>
  <c r="AB8" i="9"/>
  <c r="S8" i="9"/>
  <c r="J8" i="9"/>
  <c r="AE7" i="9"/>
  <c r="V7" i="9"/>
  <c r="M7" i="9"/>
  <c r="C7" i="9"/>
  <c r="X6" i="9"/>
  <c r="O6" i="9"/>
  <c r="F6" i="9"/>
  <c r="AA5" i="9"/>
  <c r="S5" i="9"/>
  <c r="K5" i="9"/>
  <c r="C5" i="9"/>
  <c r="Y4" i="9"/>
  <c r="Q4" i="9"/>
  <c r="I4" i="9"/>
  <c r="AE3" i="9"/>
  <c r="W3" i="9"/>
  <c r="O3" i="9"/>
  <c r="G3" i="9"/>
  <c r="AC2" i="9"/>
  <c r="U2" i="9"/>
  <c r="M2" i="9"/>
  <c r="E2" i="9"/>
  <c r="W13" i="9"/>
  <c r="N13" i="9"/>
  <c r="E13" i="9"/>
  <c r="Z12" i="9"/>
  <c r="Q12" i="9"/>
  <c r="H12" i="9"/>
  <c r="AC11" i="9"/>
  <c r="S11" i="9"/>
  <c r="J11" i="9"/>
  <c r="AE10" i="9"/>
  <c r="V10" i="9"/>
  <c r="M10" i="9"/>
  <c r="D10" i="9"/>
  <c r="Y9" i="9"/>
  <c r="O9" i="9"/>
  <c r="F9" i="9"/>
  <c r="AA8" i="9"/>
  <c r="R8" i="9"/>
  <c r="I8" i="9"/>
  <c r="AD7" i="9"/>
  <c r="U7" i="9"/>
  <c r="K7" i="9"/>
  <c r="B7" i="9"/>
  <c r="W6" i="9"/>
  <c r="N6" i="9"/>
  <c r="E6" i="9"/>
  <c r="Z5" i="9"/>
  <c r="R5" i="9"/>
  <c r="J5" i="9"/>
  <c r="B5" i="9"/>
  <c r="X4" i="9"/>
  <c r="P4" i="9"/>
  <c r="H4" i="9"/>
  <c r="AD3" i="9"/>
  <c r="V3" i="9"/>
  <c r="N3" i="9"/>
  <c r="F3" i="9"/>
  <c r="AB2" i="9"/>
  <c r="T2" i="9"/>
  <c r="L2" i="9"/>
  <c r="D2" i="9"/>
  <c r="AD13" i="9"/>
  <c r="U13" i="9"/>
  <c r="L13" i="9"/>
  <c r="C13" i="9"/>
  <c r="X12" i="9"/>
  <c r="O12" i="9"/>
  <c r="E12" i="9"/>
  <c r="Z11" i="9"/>
  <c r="Q11" i="9"/>
  <c r="H11" i="9"/>
  <c r="AC10" i="9"/>
  <c r="T10" i="9"/>
  <c r="K10" i="9"/>
  <c r="AE9" i="9"/>
  <c r="V9" i="9"/>
  <c r="M9" i="9"/>
  <c r="D9" i="9"/>
  <c r="Y8" i="9"/>
  <c r="P8" i="9"/>
  <c r="G8" i="9"/>
  <c r="AA7" i="9"/>
  <c r="R7" i="9"/>
  <c r="I7" i="9"/>
  <c r="AD6" i="9"/>
  <c r="U6" i="9"/>
  <c r="L6" i="9"/>
  <c r="C6" i="9"/>
  <c r="X5" i="9"/>
  <c r="P5" i="9"/>
  <c r="H5" i="9"/>
  <c r="AD4" i="9"/>
  <c r="V4" i="9"/>
  <c r="N4" i="9"/>
  <c r="F4" i="9"/>
  <c r="AB3" i="9"/>
  <c r="T3" i="9"/>
  <c r="L3" i="9"/>
  <c r="D3" i="9"/>
  <c r="Z2" i="9"/>
  <c r="R2" i="9"/>
  <c r="J2" i="9"/>
  <c r="AE13" i="9"/>
  <c r="R11" i="9"/>
  <c r="E9" i="9"/>
  <c r="V6" i="9"/>
  <c r="O4" i="9"/>
  <c r="K2" i="9"/>
  <c r="M13" i="9"/>
  <c r="AD10" i="9"/>
  <c r="Q8" i="9"/>
  <c r="D6" i="9"/>
  <c r="AC3" i="9"/>
  <c r="D13" i="9"/>
  <c r="U10" i="9"/>
  <c r="H8" i="9"/>
  <c r="Y5" i="9"/>
  <c r="U3" i="9"/>
  <c r="Y12" i="9"/>
  <c r="L10" i="9"/>
  <c r="AC7" i="9"/>
  <c r="Q5" i="9"/>
  <c r="M3" i="9"/>
  <c r="P12" i="9"/>
  <c r="C10" i="9"/>
  <c r="S7" i="9"/>
  <c r="I5" i="9"/>
  <c r="E3" i="9"/>
  <c r="G12" i="9"/>
  <c r="W9" i="9"/>
  <c r="J7" i="9"/>
  <c r="AE4" i="9"/>
  <c r="AA2" i="9"/>
  <c r="W4" i="9"/>
  <c r="V13" i="9"/>
  <c r="G4" i="9"/>
  <c r="AA11" i="9"/>
  <c r="S2" i="9"/>
  <c r="I11" i="9"/>
  <c r="C2" i="9"/>
  <c r="N9" i="9"/>
  <c r="Z8" i="9"/>
  <c r="AE6" i="9"/>
  <c r="M6" i="9"/>
  <c r="X55" i="14"/>
  <c r="X63" i="14"/>
  <c r="AB36" i="14"/>
  <c r="AB3" i="14"/>
  <c r="AB23" i="14"/>
  <c r="AA33" i="14"/>
  <c r="AA38" i="14"/>
  <c r="AB4" i="14"/>
  <c r="AB24" i="14"/>
  <c r="AB8" i="14"/>
  <c r="AB38" i="14" s="1"/>
  <c r="AB28" i="14"/>
  <c r="Z9" i="14"/>
  <c r="Z29" i="14"/>
  <c r="AB35" i="14"/>
  <c r="Z50" i="14"/>
  <c r="Z58" i="14"/>
  <c r="AA50" i="14"/>
  <c r="AA58" i="14"/>
  <c r="Y55" i="14"/>
  <c r="Y63" i="14"/>
  <c r="Z54" i="14"/>
  <c r="Z62" i="14"/>
  <c r="AA36" i="14"/>
  <c r="AA59" i="14"/>
  <c r="AA51" i="14"/>
  <c r="L61" i="12"/>
  <c r="Z39" i="14" l="1"/>
  <c r="Z63" i="14" s="1"/>
  <c r="AA9" i="14"/>
  <c r="AA29" i="14"/>
  <c r="AB52" i="14"/>
  <c r="AC52" i="14" s="1"/>
  <c r="AB60" i="14"/>
  <c r="AC60" i="14" s="1"/>
  <c r="AB51" i="14"/>
  <c r="AC51" i="14" s="1"/>
  <c r="AB59" i="14"/>
  <c r="AC59" i="14" s="1"/>
  <c r="AB33" i="14"/>
  <c r="AA52" i="14"/>
  <c r="AA60" i="14"/>
  <c r="AB62" i="14"/>
  <c r="AC62" i="14" s="1"/>
  <c r="AB54" i="14"/>
  <c r="AC54" i="14" s="1"/>
  <c r="AA49" i="14"/>
  <c r="AA57" i="14"/>
  <c r="M61" i="12"/>
  <c r="AA54" i="14"/>
  <c r="AA62" i="14"/>
  <c r="AB34" i="14"/>
  <c r="Z55" i="14" l="1"/>
  <c r="AA39" i="14"/>
  <c r="AA63" i="14"/>
  <c r="AA55" i="14"/>
  <c r="AB9" i="14"/>
  <c r="AB29" i="14"/>
  <c r="AB58" i="14"/>
  <c r="AC58" i="14" s="1"/>
  <c r="AB50" i="14"/>
  <c r="AC50" i="14" s="1"/>
  <c r="AB49" i="14"/>
  <c r="AC49" i="14" s="1"/>
  <c r="AB57" i="14"/>
  <c r="AC57" i="14" s="1"/>
  <c r="AB39" i="14" l="1"/>
  <c r="AB55" i="14" l="1"/>
  <c r="AC55" i="14" s="1"/>
  <c r="AB63" i="14"/>
  <c r="AC63" i="14" s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scheme val="minor"/>
          </rPr>
          <t>(common industry standard)
	-Gunawan Gunawan</t>
        </r>
      </text>
    </comment>
    <comment ref="A11" authorId="0" shapeId="0">
      <text>
        <r>
          <rPr>
            <sz val="10"/>
            <color rgb="FF000000"/>
            <rFont val="Arial"/>
            <family val="2"/>
            <scheme val="minor"/>
          </rPr>
          <t>typical for a mix of fossil fuels
	-Gunawan Gunawan</t>
        </r>
      </text>
    </comment>
  </commentList>
</comments>
</file>

<file path=xl/sharedStrings.xml><?xml version="1.0" encoding="utf-8"?>
<sst xmlns="http://schemas.openxmlformats.org/spreadsheetml/2006/main" count="4283" uniqueCount="284">
  <si>
    <t>Clinker Factor</t>
  </si>
  <si>
    <t>Cement Type</t>
  </si>
  <si>
    <t>Clinker Consumption</t>
  </si>
  <si>
    <t>Cement Production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</si>
  <si>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</si>
  <si>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</si>
  <si>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</si>
  <si>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</si>
  <si>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</si>
  <si>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</si>
  <si>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</si>
  <si>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</si>
  <si>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</si>
  <si>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</si>
  <si>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</si>
  <si>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</si>
  <si>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NAR1 GU/Dynamix/EzPro/PCC (Transisi)</t>
  </si>
  <si>
    <t>NAR2 GU/Dynamix/EzPro/PCC</t>
  </si>
  <si>
    <t>NAR consolidate GU/Dynamix/EzPro/PCC</t>
  </si>
  <si>
    <t>CIL GU/Dynamix/EzPro/PCC</t>
  </si>
  <si>
    <t>TQ1 GU/Dynamix/EzPro/PCC (Transisi)</t>
  </si>
  <si>
    <t>TQ2 GU/Dynamix/EzPro/PCC (Transisi)</t>
  </si>
  <si>
    <t>TQ2 GU/Dynamix/EzPro/PCC (Murni)</t>
  </si>
  <si>
    <t>TQ Consolidated GU/Dynamix/EzPro/PCC</t>
  </si>
  <si>
    <t>NAR1 Type 5/DuPro+ HSR</t>
  </si>
  <si>
    <t>TQ2 Type 5/DuPro+ HSR</t>
  </si>
  <si>
    <t>SBI Type 5/DuPro+ HSR Consolidated</t>
  </si>
  <si>
    <t>NAR1 RFP (Type 1 SNI)/SprintPro</t>
  </si>
  <si>
    <t>TQ1 RFP (Type 1 SNI)/SprintPro</t>
  </si>
  <si>
    <t>NAR2 RFP (Type 1 SNI)/SprintPro</t>
  </si>
  <si>
    <t>SBI RFP (Type 1 SNI)/SprintPro Consolidated</t>
  </si>
  <si>
    <t>NAR1 OWC/SuperTermo</t>
  </si>
  <si>
    <t>NAR1 OPC (Type 1 General)/UltraPro (DLH, DJabes &amp; non-DJabes)</t>
  </si>
  <si>
    <t>NAR1 OPC (Type 1 General)/UltraPro - SG</t>
  </si>
  <si>
    <t>TQ1 OPC (Type 1 General)/UltraPro - SG</t>
  </si>
  <si>
    <t>SBI OPC (Type 1 General)/UltraPro Consolidated</t>
  </si>
  <si>
    <t>NAR1 Power Max/PowerPro</t>
  </si>
  <si>
    <t>LHO GU/Dynamix/EzPro/PCC</t>
  </si>
  <si>
    <t>LHO OPC (Type 1 General)/UltraPro</t>
  </si>
  <si>
    <t>SBI Type 1 OPC (Type 1 General)/UltraPro Consolidated (NAR1, TQ &amp; LHO)</t>
  </si>
  <si>
    <t>SBI Type OPC (Type1 + Type V + Type II + RFP) Consolidated (NAR1, TQ &amp; LHO)</t>
  </si>
  <si>
    <t>SBI Consolidated</t>
  </si>
  <si>
    <t>PCC Reguler SBI Consol + LHO (exclude PCC NAR1, TQ1, TQ2 Transisi, Power max)</t>
  </si>
  <si>
    <t>PCC SBI Consol + LHO (all)</t>
  </si>
  <si>
    <t>Product Cluster</t>
  </si>
  <si>
    <t>Bag/Bulk</t>
  </si>
  <si>
    <t>Old Brand</t>
  </si>
  <si>
    <t>New Brand</t>
  </si>
  <si>
    <t>PCC
Semen Portland Komposit</t>
  </si>
  <si>
    <t>Convenient</t>
  </si>
  <si>
    <t>Bulk</t>
  </si>
  <si>
    <t>Ready Flow</t>
  </si>
  <si>
    <t>EzPro</t>
  </si>
  <si>
    <t>Bag</t>
  </si>
  <si>
    <t>Serba Guna</t>
  </si>
  <si>
    <t>Dynamix</t>
  </si>
  <si>
    <t>Semen Andalas</t>
  </si>
  <si>
    <t>Semen Padang</t>
  </si>
  <si>
    <t>Semen Gresik</t>
  </si>
  <si>
    <t>Semen Tonasa</t>
  </si>
  <si>
    <t>Accelerate</t>
  </si>
  <si>
    <t>Power Max</t>
  </si>
  <si>
    <t>Dynamix Extra Power</t>
  </si>
  <si>
    <t>PwrPro</t>
  </si>
  <si>
    <t>Hydraulic Cement Type HE</t>
  </si>
  <si>
    <t>-</t>
  </si>
  <si>
    <t>OPC
Semen Portland Jenis I</t>
  </si>
  <si>
    <t>Strong</t>
  </si>
  <si>
    <t>Smooth Fibre (SF)</t>
  </si>
  <si>
    <t>UltraPro</t>
  </si>
  <si>
    <t>Extra Strong</t>
  </si>
  <si>
    <t>Ready Flow Plus (RFP)</t>
  </si>
  <si>
    <t>SprintPro</t>
  </si>
  <si>
    <t>OPC
Semen Portland Jenis II</t>
  </si>
  <si>
    <t>Special Type: Extreme</t>
  </si>
  <si>
    <t>Durable</t>
  </si>
  <si>
    <t>DuPro+ MSR</t>
  </si>
  <si>
    <t>OPC
Semen Portland Jenis V</t>
  </si>
  <si>
    <t>Extra Durable</t>
  </si>
  <si>
    <t>DuPro+ HSR</t>
  </si>
  <si>
    <t>OWC Class G HSR
Semen Pemboran (Oil Well Cement)</t>
  </si>
  <si>
    <t>Special Type: Oil &amp; Gas</t>
  </si>
  <si>
    <t>Bag/Jumbo/Bulk</t>
  </si>
  <si>
    <t>Drill Well Plus</t>
  </si>
  <si>
    <t>SuperTermo</t>
  </si>
  <si>
    <t>SuperWell Thermo</t>
  </si>
  <si>
    <t>PPC (Type IP-U)
Semen Portland Pozzolan</t>
  </si>
  <si>
    <t>Green Cement</t>
  </si>
  <si>
    <t>Semen Masonry</t>
  </si>
  <si>
    <t>Wall Max</t>
  </si>
  <si>
    <t>UNTUK MENGUPDATE, DRAG FORMULA BULAN SEBELUMNYA</t>
  </si>
  <si>
    <t>Clinker Factor Production</t>
  </si>
  <si>
    <t>OPC SBI &amp; OPC SI (untuk splitting nya paling kanann geser teross)</t>
  </si>
  <si>
    <t>NAR1 - GU/Dynamix/EzPro/PCC</t>
  </si>
  <si>
    <t>OPC (Type 1 General)/UltraPro (OPC SBI + OPC SI)</t>
  </si>
  <si>
    <t>RFP (Type 1 SNI)/SprintPro</t>
  </si>
  <si>
    <t>OWC/SuperTermo</t>
  </si>
  <si>
    <t>Type 5/DuPro+ HSR</t>
  </si>
  <si>
    <t>Power Max/PowerPro</t>
  </si>
  <si>
    <t>Consolidation NAR1</t>
  </si>
  <si>
    <t>Non OPC (selain UltraPro, SprintPro &amp; DuPro)</t>
  </si>
  <si>
    <t>Porsi (%) Cement Non OPC</t>
  </si>
  <si>
    <t>Month</t>
  </si>
  <si>
    <t>% Clinker Factor</t>
  </si>
  <si>
    <t>Check Clinker to Cement</t>
  </si>
  <si>
    <t>Check Cement Prod</t>
  </si>
  <si>
    <t>MTD</t>
  </si>
  <si>
    <t>YTD</t>
  </si>
  <si>
    <t>NAR2 - GU/Dynamix/EzPro/PCC</t>
  </si>
  <si>
    <t>NAR2 - SprintPro</t>
  </si>
  <si>
    <t>Consolidation GU/Dynamix/EzPro/PCC NAR</t>
  </si>
  <si>
    <t>Consolidation NAR</t>
  </si>
  <si>
    <t>Consolidation NAR2</t>
  </si>
  <si>
    <t>NAR2 - PwrPro</t>
  </si>
  <si>
    <t>CIL - GU/Dynamix/EzPro/PCC</t>
  </si>
  <si>
    <t>TQ1 - GU/Dynamix/EzPro/PCC</t>
  </si>
  <si>
    <t>OPC (Type 1 General)/UltraPro</t>
  </si>
  <si>
    <t>OPC (Type V) - export TCC</t>
  </si>
  <si>
    <t>Consolidation TQ1</t>
  </si>
  <si>
    <t>Non OPC (selain UltraPro, SprintPro, Type V)</t>
  </si>
  <si>
    <t>Non PCC (selain EzPro/Dynamix)</t>
  </si>
  <si>
    <t>PCC Transisi</t>
  </si>
  <si>
    <t>OPC (Type V - Domestic/Smelter Gresik)/Type II</t>
  </si>
  <si>
    <t>Consolidation TQ2</t>
  </si>
  <si>
    <t>Consolidation TQ</t>
  </si>
  <si>
    <t>Check Gap</t>
  </si>
  <si>
    <t>Check total CF PCC TQ2</t>
  </si>
  <si>
    <t>PCC Total TQ2</t>
  </si>
  <si>
    <t>Cli cons</t>
  </si>
  <si>
    <t>Cmt Prod</t>
  </si>
  <si>
    <t>Cli Cons</t>
  </si>
  <si>
    <t>Consolidation LHO</t>
  </si>
  <si>
    <t>Consolidation SBI</t>
  </si>
  <si>
    <t>PCC SBI (EzPro/Dynamix/Andalas) without PCC Transisi NAR1, TQ1/2</t>
  </si>
  <si>
    <t>Non PCC SBI</t>
  </si>
  <si>
    <t>PCC SBI (EzPro/Dynamix, GU/Andalas)</t>
  </si>
  <si>
    <t>CHECK</t>
  </si>
  <si>
    <t>Check non OPC/Blended Cmt</t>
  </si>
  <si>
    <t>Notes:</t>
  </si>
  <si>
    <t>OPC SBI (UP, SP, DP, TV TQ) exc LHO &gt;&gt; for ASI</t>
  </si>
  <si>
    <t>Non OPC SBI exc LHO &gt;&gt; for ASI</t>
  </si>
  <si>
    <t>- OPC adalah UltraPro/OPC Type I, SprintPro/RFP &amp; DuPro/OPC Type V</t>
  </si>
  <si>
    <t>- PCC adalah EzPro/Dynamix &amp; GU/Andalas tanpa PCC NAR1 &amp; PCC TQ1</t>
  </si>
  <si>
    <t>check</t>
  </si>
  <si>
    <t>Plant</t>
  </si>
  <si>
    <t>NAR1</t>
  </si>
  <si>
    <t>NAR2</t>
  </si>
  <si>
    <t>CIL</t>
  </si>
  <si>
    <t>TQ1</t>
  </si>
  <si>
    <t>TQ2</t>
  </si>
  <si>
    <t>LHO</t>
  </si>
  <si>
    <t>SBI</t>
  </si>
  <si>
    <t>Non PCC (selain EzPro/Dynamix &amp; PowerPro)</t>
  </si>
  <si>
    <t>OPC (Type 1 General) SBI</t>
  </si>
  <si>
    <t>OPC (Type 1 General) SI</t>
  </si>
  <si>
    <t>OPC (Type V (Trial)) - export TCC</t>
  </si>
  <si>
    <t>TQ2 (murni) - GU/Dynamix/EzPro/PCC</t>
  </si>
  <si>
    <t>PCC Murni + Transisi</t>
  </si>
  <si>
    <t>LHO - GU/Andalas</t>
  </si>
  <si>
    <t>OPC SBI (UltraPro, SprintPro, DuPro, Type V TQ)</t>
  </si>
  <si>
    <t>Non OPC SBI</t>
  </si>
  <si>
    <t>PCC SBI (EzPro/Dynamix, PowerPro &amp; GU/Andalas) without PCC NAR1 &amp; TQ1</t>
  </si>
  <si>
    <t>PCC SBI (EzPro/Dynamix, PowerPro &amp; GU/Andalas)</t>
  </si>
  <si>
    <t>Porsi (%) Cement OPC</t>
  </si>
  <si>
    <t>Porsi (%) Cement Non PCC</t>
  </si>
  <si>
    <t>Porsi (%) Cement PCC*</t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</si>
  <si>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</si>
  <si>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</si>
  <si>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</si>
  <si>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</si>
  <si>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t>TQ2 GU/Dynamix/EzPro/PCC (Murni) &gt;&gt; termasuk Transisi (untuk forecast, data tidak tersplit)</t>
  </si>
  <si>
    <t>LHO - GU/PCC Andalas &gt;&gt; for ASI</t>
  </si>
  <si>
    <t>OPC (Type 1 General)/UltraPro &gt;&gt; for ASI</t>
  </si>
  <si>
    <t>Non OPC or Blended Cement (EzPro/Dynamix/Andalas &amp; PwrPro) &gt;&gt; for ASI</t>
  </si>
  <si>
    <t>after Goal Seek</t>
  </si>
  <si>
    <t>RKAP FY 2025</t>
  </si>
  <si>
    <t>gap CF to RKAP</t>
  </si>
  <si>
    <t>Clinker Cons</t>
  </si>
  <si>
    <t>Cement Prod</t>
  </si>
  <si>
    <t>gap Cli Cons to RKAP</t>
  </si>
  <si>
    <t>GOAL SEEK</t>
  </si>
  <si>
    <t>to be Changed (Cli Cons)</t>
  </si>
  <si>
    <t>Cli Cons to be</t>
  </si>
  <si>
    <t>CF</t>
  </si>
  <si>
    <t>+: inc / (-): dec</t>
  </si>
  <si>
    <t>bisa di click button incr/decr shg mengubah cli cons</t>
  </si>
  <si>
    <t>Cement</t>
  </si>
  <si>
    <t>GS Porsi Cmt</t>
  </si>
  <si>
    <t>bisa di click button to incr/decr cement volume dgn CF tetap</t>
  </si>
  <si>
    <t>Dynamix/EzPro/PCC (Transisi)</t>
  </si>
  <si>
    <t>OPC (Type 1 General)/UltraPro (DLH, DJabes &amp; non-DJabes)</t>
  </si>
  <si>
    <t>Yes</t>
  </si>
  <si>
    <t>OPC (Type 1 General)/UltraPro - SG</t>
  </si>
  <si>
    <t>Dynamix/EzPro/PCC</t>
  </si>
  <si>
    <t>CIL Dynamix/EzPro/PCC</t>
  </si>
  <si>
    <t>Dynamix/EzPro/PCC (Murni)</t>
  </si>
  <si>
    <t>SBI Consolidation</t>
  </si>
  <si>
    <t>Target CF SLL</t>
  </si>
  <si>
    <t>TARGET SLL</t>
  </si>
  <si>
    <t>&lt;&lt; By Changing Cell &gt;&gt;</t>
  </si>
  <si>
    <t>&lt;&lt; ref: To Value &gt;&gt;</t>
  </si>
  <si>
    <t>&lt;&lt; Set Cell &gt;&gt;</t>
  </si>
  <si>
    <t>No</t>
  </si>
  <si>
    <t>Semen PCC transisi max 5%</t>
  </si>
  <si>
    <t>non PCC meet RKAP</t>
  </si>
  <si>
    <t>PCC</t>
  </si>
  <si>
    <t>Porsi masing2 tipe semen terhadap total semen</t>
  </si>
  <si>
    <t>CO2 emission/kg cmt equivalent</t>
  </si>
  <si>
    <t>Target Holcim Global 477</t>
  </si>
  <si>
    <t>STEC
(MJ/t clinker)</t>
  </si>
  <si>
    <t>TSR
(%)</t>
  </si>
  <si>
    <t>CO₂ (kg CO₂/ton cli) - TRADITIONAL</t>
  </si>
  <si>
    <t>Fuel Emission Factor (kg CO₂/MJ):</t>
  </si>
  <si>
    <t>STEC FORECAST</t>
  </si>
  <si>
    <t>TSR FORECAST</t>
  </si>
  <si>
    <t>Check</t>
  </si>
  <si>
    <t>Clinker Emission Factor (kg CO₂/kg clinker):</t>
  </si>
  <si>
    <t>Average calcination factor ASI data</t>
  </si>
  <si>
    <t>CO2 from Clinker (kg CO₂/ton cement) - PROCESS</t>
  </si>
  <si>
    <t>CO2 from Fuel Combustion (kg CO₂/ton clinker) - TRADITIONAL</t>
  </si>
  <si>
    <t>CO2 from Fuel Combustion (kg CO₂/ton cement) - TRADITIONAL</t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</si>
  <si>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</si>
  <si>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</si>
  <si>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t>SD Report version (NAR1)</t>
  </si>
  <si>
    <t>SD Report version (NAR2)</t>
  </si>
  <si>
    <t>SD Report version (CIL)</t>
  </si>
  <si>
    <t>SD Report version (TQ1)</t>
  </si>
  <si>
    <t>SD Report version (TQ2)</t>
  </si>
  <si>
    <t>SD Report version (LHO)</t>
  </si>
  <si>
    <t>SD Report version (SBI)</t>
  </si>
  <si>
    <t>gap NAR1</t>
  </si>
  <si>
    <t>gap NAR2</t>
  </si>
  <si>
    <t>gap CIL</t>
  </si>
  <si>
    <t>gap TQ1</t>
  </si>
  <si>
    <t>gap TQ2</t>
  </si>
  <si>
    <t>gap LHO</t>
  </si>
  <si>
    <t>gap SBI</t>
  </si>
  <si>
    <t>factor NAR1</t>
  </si>
  <si>
    <t>factor NAR2</t>
  </si>
  <si>
    <t>factor CIL</t>
  </si>
  <si>
    <t>factor TQ1</t>
  </si>
  <si>
    <t>factor TQ2</t>
  </si>
  <si>
    <t>factor LHO</t>
  </si>
  <si>
    <t>factor SBI</t>
  </si>
  <si>
    <t>Periode</t>
  </si>
  <si>
    <t>NAR1 PCC (Transisi)</t>
  </si>
  <si>
    <t>NAR1 OPC</t>
  </si>
  <si>
    <t>NAR1 OPC - SG</t>
  </si>
  <si>
    <t>NAR1 RFP</t>
  </si>
  <si>
    <t>NAR1 OWC</t>
  </si>
  <si>
    <t>NAR1 Type V</t>
  </si>
  <si>
    <t>NAR1 PwrPro</t>
  </si>
  <si>
    <t>NAR2 PCC Regular</t>
  </si>
  <si>
    <t>NAR2 RFP</t>
  </si>
  <si>
    <t>NAR2 PwrPro</t>
  </si>
  <si>
    <t>TQ1 PCC (Transisi)</t>
  </si>
  <si>
    <t>TQ1 OPC - SG</t>
  </si>
  <si>
    <t>TQ1 RFP</t>
  </si>
  <si>
    <t>TQ1 Type V</t>
  </si>
  <si>
    <t>TQ2 PCC Regular</t>
  </si>
  <si>
    <t>TQ2 Type V</t>
  </si>
  <si>
    <t>TQ2 RFP</t>
  </si>
  <si>
    <t>TQ2 OPC</t>
  </si>
  <si>
    <t>TQ2 PCC (Transisi)</t>
  </si>
  <si>
    <t>LHO PCC Regular</t>
  </si>
  <si>
    <t>LHO OPC</t>
  </si>
  <si>
    <t>% Pengurangan Cement NAR1 PCC (Transisi)</t>
  </si>
  <si>
    <t>% Pengurangan Cement TQ1 PCC (Transisi)</t>
  </si>
  <si>
    <t>% Pengurangan Cement TQ2 PCC (Transisi)</t>
  </si>
  <si>
    <t>Actual/Forecast</t>
  </si>
  <si>
    <t>Actual/Forecast (Estimated)</t>
  </si>
  <si>
    <t>After Goal Seek</t>
  </si>
  <si>
    <t>STEC</t>
  </si>
  <si>
    <t>TSR</t>
  </si>
  <si>
    <t>Total CO2</t>
  </si>
  <si>
    <t>Total CO2 (kg CO₂/ton cement)</t>
  </si>
  <si>
    <t>Goal Seek</t>
  </si>
  <si>
    <t>CIL PCC</t>
  </si>
  <si>
    <t>Actual Clinker Consumption</t>
  </si>
  <si>
    <t>Actual Cement Production</t>
  </si>
  <si>
    <t>Actual CF</t>
  </si>
  <si>
    <t>Budget Clinker Consumption</t>
  </si>
  <si>
    <t>Budget Cement Production</t>
  </si>
  <si>
    <t>Budget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</si>
</sst>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"/>
    <numFmt numFmtId="165" formatCode="_-* #,##0.00_-;\-* #,##0.00_-;_-* &quot;-&quot;_-;_-@"/>
    <numFmt numFmtId="166" formatCode="#,##0.00_ ;\-#,##0.00\ "/>
    <numFmt numFmtId="167" formatCode="_-* #,##0.00_-;\-* #,##0.00_-;_-* &quot;-&quot;??_-;_-@"/>
    <numFmt numFmtId="168" formatCode="mmm&quot; &quot;yyyy"/>
    <numFmt numFmtId="169" formatCode="mmm\-d"/>
    <numFmt numFmtId="170" formatCode="mmmm\-d"/>
    <numFmt numFmtId="171" formatCode="0.0%"/>
    <numFmt numFmtId="172" formatCode="_(#,##0.0_);\(#,##0.0\)"/>
    <numFmt numFmtId="173" formatCode="0.0000"/>
  </numFmts>
  <fonts count="25" x14ac:knownFonts="1">
    <font>
      <sz val="10"/>
      <color rgb="FF000000"/>
      <name val="Arial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B45F06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2DCDB"/>
        <bgColor rgb="FFF2DCDB"/>
      </patternFill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right"/>
    </xf>
    <xf numFmtId="0" fontId="4" fillId="4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7" borderId="20" xfId="0" applyFont="1" applyFill="1" applyBorder="1" applyAlignment="1">
      <alignment horizontal="center"/>
    </xf>
    <xf numFmtId="0" fontId="5" fillId="7" borderId="20" xfId="0" quotePrefix="1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7" borderId="4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8" borderId="4" xfId="0" quotePrefix="1" applyFont="1" applyFill="1" applyBorder="1" applyAlignment="1">
      <alignment horizontal="center"/>
    </xf>
    <xf numFmtId="0" fontId="6" fillId="0" borderId="26" xfId="0" applyFont="1" applyBorder="1"/>
    <xf numFmtId="0" fontId="6" fillId="0" borderId="26" xfId="0" applyFont="1" applyBorder="1" applyAlignment="1">
      <alignment horizontal="center"/>
    </xf>
    <xf numFmtId="0" fontId="2" fillId="0" borderId="0" xfId="0" applyFont="1"/>
    <xf numFmtId="0" fontId="9" fillId="0" borderId="0" xfId="0" applyFont="1"/>
    <xf numFmtId="0" fontId="8" fillId="0" borderId="0" xfId="0" applyFont="1" applyAlignment="1"/>
    <xf numFmtId="37" fontId="5" fillId="0" borderId="12" xfId="0" applyNumberFormat="1" applyFont="1" applyBorder="1"/>
    <xf numFmtId="2" fontId="5" fillId="0" borderId="0" xfId="0" applyNumberFormat="1" applyFont="1"/>
    <xf numFmtId="164" fontId="5" fillId="0" borderId="0" xfId="0" applyNumberFormat="1" applyFont="1"/>
    <xf numFmtId="37" fontId="5" fillId="0" borderId="12" xfId="0" applyNumberFormat="1" applyFont="1" applyBorder="1" applyAlignment="1"/>
    <xf numFmtId="165" fontId="5" fillId="0" borderId="0" xfId="0" applyNumberFormat="1" applyFont="1"/>
    <xf numFmtId="37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7" fontId="5" fillId="0" borderId="0" xfId="0" applyNumberFormat="1" applyFont="1" applyAlignment="1"/>
    <xf numFmtId="3" fontId="5" fillId="0" borderId="0" xfId="0" applyNumberFormat="1" applyFont="1"/>
    <xf numFmtId="4" fontId="5" fillId="0" borderId="0" xfId="0" applyNumberFormat="1" applyFont="1"/>
    <xf numFmtId="166" fontId="5" fillId="0" borderId="0" xfId="0" applyNumberFormat="1" applyFont="1"/>
    <xf numFmtId="0" fontId="6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5" xfId="0" applyFont="1" applyBorder="1" applyAlignment="1"/>
    <xf numFmtId="37" fontId="5" fillId="9" borderId="12" xfId="0" applyNumberFormat="1" applyFont="1" applyFill="1" applyBorder="1" applyAlignment="1"/>
    <xf numFmtId="37" fontId="5" fillId="10" borderId="12" xfId="0" applyNumberFormat="1" applyFont="1" applyFill="1" applyBorder="1" applyAlignment="1"/>
    <xf numFmtId="39" fontId="5" fillId="0" borderId="12" xfId="0" applyNumberFormat="1" applyFont="1" applyBorder="1" applyAlignment="1"/>
    <xf numFmtId="39" fontId="5" fillId="0" borderId="13" xfId="0" applyNumberFormat="1" applyFont="1" applyBorder="1" applyAlignment="1"/>
    <xf numFmtId="37" fontId="5" fillId="9" borderId="35" xfId="0" applyNumberFormat="1" applyFont="1" applyFill="1" applyBorder="1" applyAlignment="1"/>
    <xf numFmtId="37" fontId="5" fillId="0" borderId="35" xfId="0" applyNumberFormat="1" applyFont="1" applyBorder="1"/>
    <xf numFmtId="37" fontId="5" fillId="0" borderId="13" xfId="0" applyNumberFormat="1" applyFont="1" applyBorder="1" applyAlignment="1"/>
    <xf numFmtId="2" fontId="5" fillId="0" borderId="0" xfId="0" applyNumberFormat="1" applyFont="1" applyAlignment="1"/>
    <xf numFmtId="164" fontId="5" fillId="0" borderId="0" xfId="0" applyNumberFormat="1" applyFont="1" applyAlignment="1"/>
    <xf numFmtId="37" fontId="5" fillId="9" borderId="17" xfId="0" applyNumberFormat="1" applyFont="1" applyFill="1" applyBorder="1" applyAlignment="1"/>
    <xf numFmtId="37" fontId="5" fillId="0" borderId="17" xfId="0" applyNumberFormat="1" applyFont="1" applyBorder="1" applyAlignment="1"/>
    <xf numFmtId="37" fontId="5" fillId="10" borderId="17" xfId="0" applyNumberFormat="1" applyFont="1" applyFill="1" applyBorder="1" applyAlignment="1"/>
    <xf numFmtId="39" fontId="5" fillId="0" borderId="17" xfId="0" applyNumberFormat="1" applyFont="1" applyBorder="1" applyAlignment="1"/>
    <xf numFmtId="39" fontId="5" fillId="0" borderId="18" xfId="0" applyNumberFormat="1" applyFont="1" applyBorder="1" applyAlignment="1"/>
    <xf numFmtId="37" fontId="5" fillId="9" borderId="36" xfId="0" applyNumberFormat="1" applyFont="1" applyFill="1" applyBorder="1" applyAlignment="1"/>
    <xf numFmtId="37" fontId="5" fillId="0" borderId="36" xfId="0" applyNumberFormat="1" applyFont="1" applyBorder="1"/>
    <xf numFmtId="37" fontId="5" fillId="0" borderId="17" xfId="0" applyNumberFormat="1" applyFont="1" applyBorder="1"/>
    <xf numFmtId="37" fontId="5" fillId="0" borderId="18" xfId="0" applyNumberFormat="1" applyFont="1" applyBorder="1" applyAlignment="1"/>
    <xf numFmtId="0" fontId="6" fillId="0" borderId="37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165" fontId="5" fillId="0" borderId="0" xfId="0" applyNumberFormat="1" applyFont="1" applyAlignment="1"/>
    <xf numFmtId="167" fontId="5" fillId="0" borderId="0" xfId="0" applyNumberFormat="1" applyFont="1"/>
    <xf numFmtId="167" fontId="5" fillId="0" borderId="0" xfId="0" applyNumberFormat="1" applyFont="1" applyAlignment="1"/>
    <xf numFmtId="2" fontId="10" fillId="0" borderId="0" xfId="0" applyNumberFormat="1" applyFont="1" applyAlignment="1"/>
    <xf numFmtId="0" fontId="6" fillId="2" borderId="29" xfId="0" applyFont="1" applyFill="1" applyBorder="1" applyAlignment="1"/>
    <xf numFmtId="37" fontId="11" fillId="9" borderId="35" xfId="0" applyNumberFormat="1" applyFont="1" applyFill="1" applyBorder="1" applyAlignment="1"/>
    <xf numFmtId="37" fontId="11" fillId="9" borderId="36" xfId="0" applyNumberFormat="1" applyFont="1" applyFill="1" applyBorder="1" applyAlignment="1"/>
    <xf numFmtId="0" fontId="6" fillId="11" borderId="29" xfId="0" applyFont="1" applyFill="1" applyBorder="1" applyAlignment="1"/>
    <xf numFmtId="0" fontId="6" fillId="0" borderId="37" xfId="0" applyFont="1" applyBorder="1" applyAlignment="1">
      <alignment horizontal="center"/>
    </xf>
    <xf numFmtId="0" fontId="6" fillId="0" borderId="33" xfId="0" applyFont="1" applyBorder="1" applyAlignment="1"/>
    <xf numFmtId="0" fontId="6" fillId="0" borderId="31" xfId="0" applyFont="1" applyBorder="1"/>
    <xf numFmtId="0" fontId="6" fillId="0" borderId="30" xfId="0" applyFont="1" applyBorder="1" applyAlignment="1"/>
    <xf numFmtId="0" fontId="6" fillId="0" borderId="32" xfId="0" applyFont="1" applyBorder="1"/>
    <xf numFmtId="37" fontId="5" fillId="9" borderId="35" xfId="0" applyNumberFormat="1" applyFont="1" applyFill="1" applyBorder="1"/>
    <xf numFmtId="37" fontId="5" fillId="10" borderId="12" xfId="0" applyNumberFormat="1" applyFont="1" applyFill="1" applyBorder="1"/>
    <xf numFmtId="37" fontId="5" fillId="9" borderId="36" xfId="0" applyNumberFormat="1" applyFont="1" applyFill="1" applyBorder="1"/>
    <xf numFmtId="37" fontId="5" fillId="10" borderId="17" xfId="0" applyNumberFormat="1" applyFont="1" applyFill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1" fontId="5" fillId="0" borderId="12" xfId="0" applyNumberFormat="1" applyFont="1" applyBorder="1" applyAlignment="1"/>
    <xf numFmtId="168" fontId="4" fillId="0" borderId="0" xfId="0" applyNumberFormat="1" applyFont="1" applyAlignment="1">
      <alignment horizontal="center"/>
    </xf>
    <xf numFmtId="4" fontId="2" fillId="0" borderId="0" xfId="0" applyNumberFormat="1" applyFont="1"/>
    <xf numFmtId="0" fontId="12" fillId="0" borderId="0" xfId="0" applyFont="1"/>
    <xf numFmtId="3" fontId="2" fillId="0" borderId="0" xfId="0" applyNumberFormat="1" applyFont="1" applyAlignment="1"/>
    <xf numFmtId="9" fontId="2" fillId="0" borderId="0" xfId="0" applyNumberFormat="1" applyFont="1" applyAlignment="1"/>
    <xf numFmtId="169" fontId="2" fillId="0" borderId="0" xfId="0" applyNumberFormat="1" applyFont="1" applyAlignment="1"/>
    <xf numFmtId="170" fontId="2" fillId="0" borderId="0" xfId="0" applyNumberFormat="1" applyFont="1" applyAlignment="1"/>
    <xf numFmtId="0" fontId="13" fillId="1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2" fillId="13" borderId="0" xfId="0" applyFont="1" applyFill="1" applyAlignment="1"/>
    <xf numFmtId="39" fontId="15" fillId="13" borderId="0" xfId="0" applyNumberFormat="1" applyFont="1" applyFill="1"/>
    <xf numFmtId="39" fontId="15" fillId="14" borderId="0" xfId="0" applyNumberFormat="1" applyFont="1" applyFill="1"/>
    <xf numFmtId="1" fontId="2" fillId="0" borderId="0" xfId="0" applyNumberFormat="1" applyFont="1"/>
    <xf numFmtId="0" fontId="2" fillId="13" borderId="0" xfId="0" applyFont="1" applyFill="1"/>
    <xf numFmtId="37" fontId="9" fillId="0" borderId="0" xfId="0" applyNumberFormat="1" applyFont="1"/>
    <xf numFmtId="37" fontId="2" fillId="13" borderId="0" xfId="0" applyNumberFormat="1" applyFont="1" applyFill="1"/>
    <xf numFmtId="39" fontId="2" fillId="0" borderId="0" xfId="0" applyNumberFormat="1" applyFont="1"/>
    <xf numFmtId="37" fontId="2" fillId="0" borderId="0" xfId="0" applyNumberFormat="1" applyFont="1" applyAlignment="1"/>
    <xf numFmtId="0" fontId="12" fillId="0" borderId="0" xfId="0" applyFont="1" applyAlignment="1"/>
    <xf numFmtId="37" fontId="2" fillId="0" borderId="0" xfId="0" applyNumberFormat="1" applyFont="1"/>
    <xf numFmtId="3" fontId="16" fillId="0" borderId="0" xfId="0" applyNumberFormat="1" applyFont="1" applyAlignment="1"/>
    <xf numFmtId="171" fontId="1" fillId="0" borderId="0" xfId="0" applyNumberFormat="1" applyFont="1"/>
    <xf numFmtId="37" fontId="2" fillId="2" borderId="0" xfId="0" applyNumberFormat="1" applyFont="1" applyFill="1"/>
    <xf numFmtId="0" fontId="2" fillId="2" borderId="0" xfId="0" applyFont="1" applyFill="1" applyAlignment="1"/>
    <xf numFmtId="39" fontId="2" fillId="0" borderId="0" xfId="0" applyNumberFormat="1" applyFont="1" applyAlignment="1"/>
    <xf numFmtId="0" fontId="16" fillId="0" borderId="0" xfId="0" applyFont="1" applyAlignment="1"/>
    <xf numFmtId="3" fontId="2" fillId="0" borderId="0" xfId="0" applyNumberFormat="1" applyFont="1"/>
    <xf numFmtId="37" fontId="2" fillId="15" borderId="0" xfId="0" applyNumberFormat="1" applyFont="1" applyFill="1"/>
    <xf numFmtId="39" fontId="2" fillId="15" borderId="0" xfId="0" applyNumberFormat="1" applyFont="1" applyFill="1"/>
    <xf numFmtId="39" fontId="2" fillId="16" borderId="0" xfId="0" applyNumberFormat="1" applyFont="1" applyFill="1" applyAlignment="1"/>
    <xf numFmtId="0" fontId="17" fillId="0" borderId="0" xfId="0" applyFont="1" applyAlignment="1"/>
    <xf numFmtId="3" fontId="17" fillId="0" borderId="0" xfId="0" applyNumberFormat="1" applyFont="1" applyAlignment="1"/>
    <xf numFmtId="37" fontId="2" fillId="17" borderId="0" xfId="0" applyNumberFormat="1" applyFont="1" applyFill="1"/>
    <xf numFmtId="39" fontId="2" fillId="17" borderId="0" xfId="0" applyNumberFormat="1" applyFont="1" applyFill="1"/>
    <xf numFmtId="39" fontId="2" fillId="18" borderId="0" xfId="0" applyNumberFormat="1" applyFont="1" applyFill="1"/>
    <xf numFmtId="0" fontId="18" fillId="13" borderId="0" xfId="0" applyFont="1" applyFill="1" applyAlignment="1"/>
    <xf numFmtId="172" fontId="2" fillId="0" borderId="0" xfId="0" applyNumberFormat="1" applyFont="1"/>
    <xf numFmtId="1" fontId="1" fillId="0" borderId="0" xfId="0" applyNumberFormat="1" applyFont="1"/>
    <xf numFmtId="39" fontId="19" fillId="13" borderId="0" xfId="0" applyNumberFormat="1" applyFont="1" applyFill="1"/>
    <xf numFmtId="2" fontId="2" fillId="13" borderId="0" xfId="0" applyNumberFormat="1" applyFont="1" applyFill="1"/>
    <xf numFmtId="0" fontId="2" fillId="0" borderId="38" xfId="0" applyFont="1" applyBorder="1"/>
    <xf numFmtId="0" fontId="2" fillId="0" borderId="38" xfId="0" applyFont="1" applyBorder="1" applyAlignment="1"/>
    <xf numFmtId="39" fontId="20" fillId="19" borderId="38" xfId="0" applyNumberFormat="1" applyFont="1" applyFill="1" applyBorder="1" applyAlignment="1"/>
    <xf numFmtId="37" fontId="19" fillId="19" borderId="38" xfId="0" applyNumberFormat="1" applyFont="1" applyFill="1" applyBorder="1"/>
    <xf numFmtId="2" fontId="19" fillId="19" borderId="38" xfId="0" applyNumberFormat="1" applyFont="1" applyFill="1" applyBorder="1"/>
    <xf numFmtId="10" fontId="21" fillId="16" borderId="38" xfId="0" applyNumberFormat="1" applyFont="1" applyFill="1" applyBorder="1"/>
    <xf numFmtId="37" fontId="19" fillId="16" borderId="38" xfId="0" applyNumberFormat="1" applyFont="1" applyFill="1" applyBorder="1"/>
    <xf numFmtId="37" fontId="19" fillId="20" borderId="38" xfId="0" applyNumberFormat="1" applyFont="1" applyFill="1" applyBorder="1"/>
    <xf numFmtId="39" fontId="19" fillId="19" borderId="38" xfId="0" applyNumberFormat="1" applyFont="1" applyFill="1" applyBorder="1"/>
    <xf numFmtId="39" fontId="2" fillId="0" borderId="38" xfId="0" applyNumberFormat="1" applyFont="1" applyBorder="1"/>
    <xf numFmtId="39" fontId="12" fillId="13" borderId="0" xfId="0" applyNumberFormat="1" applyFont="1" applyFill="1"/>
    <xf numFmtId="2" fontId="2" fillId="0" borderId="0" xfId="0" applyNumberFormat="1" applyFont="1"/>
    <xf numFmtId="0" fontId="2" fillId="0" borderId="0" xfId="0" applyFont="1"/>
    <xf numFmtId="39" fontId="20" fillId="19" borderId="0" xfId="0" applyNumberFormat="1" applyFont="1" applyFill="1" applyAlignment="1"/>
    <xf numFmtId="37" fontId="19" fillId="19" borderId="0" xfId="0" applyNumberFormat="1" applyFont="1" applyFill="1"/>
    <xf numFmtId="10" fontId="15" fillId="16" borderId="0" xfId="0" applyNumberFormat="1" applyFont="1" applyFill="1"/>
    <xf numFmtId="37" fontId="19" fillId="16" borderId="0" xfId="0" applyNumberFormat="1" applyFont="1" applyFill="1"/>
    <xf numFmtId="37" fontId="19" fillId="20" borderId="0" xfId="0" applyNumberFormat="1" applyFont="1" applyFill="1"/>
    <xf numFmtId="39" fontId="19" fillId="19" borderId="0" xfId="0" applyNumberFormat="1" applyFont="1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4" fillId="21" borderId="0" xfId="0" applyNumberFormat="1" applyFont="1" applyFill="1"/>
    <xf numFmtId="4" fontId="5" fillId="21" borderId="0" xfId="0" applyNumberFormat="1" applyFont="1" applyFill="1"/>
    <xf numFmtId="0" fontId="22" fillId="0" borderId="0" xfId="0" applyFont="1" applyAlignment="1">
      <alignment wrapText="1"/>
    </xf>
    <xf numFmtId="173" fontId="22" fillId="0" borderId="0" xfId="0" applyNumberFormat="1" applyFont="1" applyAlignment="1">
      <alignment horizontal="right"/>
    </xf>
    <xf numFmtId="3" fontId="22" fillId="0" borderId="0" xfId="0" applyNumberFormat="1" applyFont="1" applyAlignment="1"/>
    <xf numFmtId="0" fontId="22" fillId="0" borderId="0" xfId="0" applyFont="1" applyAlignment="1"/>
    <xf numFmtId="4" fontId="22" fillId="0" borderId="0" xfId="0" applyNumberFormat="1" applyFont="1" applyAlignment="1"/>
    <xf numFmtId="0" fontId="2" fillId="0" borderId="0" xfId="0" applyFont="1" applyAlignment="1">
      <alignment horizontal="left"/>
    </xf>
    <xf numFmtId="39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73" fontId="9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3" fillId="12" borderId="0" xfId="0" applyFont="1" applyFill="1" applyAlignment="1">
      <alignment horizontal="left"/>
    </xf>
    <xf numFmtId="0" fontId="13" fillId="1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/>
    <xf numFmtId="0" fontId="2" fillId="1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/>
    <xf numFmtId="0" fontId="5" fillId="7" borderId="22" xfId="0" applyFont="1" applyFill="1" applyBorder="1" applyAlignment="1">
      <alignment horizontal="center" vertical="center"/>
    </xf>
    <xf numFmtId="0" fontId="7" fillId="0" borderId="23" xfId="0" applyFont="1" applyBorder="1"/>
    <xf numFmtId="0" fontId="7" fillId="0" borderId="24" xfId="0" applyFont="1" applyBorder="1"/>
    <xf numFmtId="0" fontId="5" fillId="0" borderId="6" xfId="0" applyFont="1" applyBorder="1" applyAlignment="1">
      <alignment horizontal="center" vertical="center" wrapText="1"/>
    </xf>
    <xf numFmtId="0" fontId="7" fillId="0" borderId="16" xfId="0" applyFont="1" applyBorder="1"/>
    <xf numFmtId="0" fontId="5" fillId="0" borderId="5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5" xfId="0" applyFont="1" applyBorder="1"/>
    <xf numFmtId="0" fontId="5" fillId="7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14" xfId="0" applyFont="1" applyBorder="1"/>
    <xf numFmtId="0" fontId="5" fillId="7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0" fillId="0" borderId="0" xfId="0" applyFont="1" applyAlignment="1"/>
    <xf numFmtId="0" fontId="6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52">
    <dxf>
      <fill>
        <patternFill patternType="solid">
          <fgColor rgb="FFB7E1CD"/>
          <bgColor rgb="FFB7E1CD"/>
        </patternFill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PCC Regular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6F-44F9-9753-16C6BD2E8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645203"/>
        <c:axId val="1073630684"/>
      </c:barChart>
      <c:catAx>
        <c:axId val="104964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3630684"/>
        <c:crosses val="autoZero"/>
        <c:auto val="1"/>
        <c:lblAlgn val="ctr"/>
        <c:lblOffset val="100"/>
        <c:noMultiLvlLbl val="1"/>
      </c:catAx>
      <c:valAx>
        <c:axId val="1073630684"/>
        <c:scaling>
          <c:orientation val="minMax"/>
          <c:max val="6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964520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Type V (DuPro)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0E-44D2-8F5E-094E5D8EE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739564"/>
        <c:axId val="1527649872"/>
      </c:barChart>
      <c:catAx>
        <c:axId val="435739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7649872"/>
        <c:crosses val="autoZero"/>
        <c:auto val="1"/>
        <c:lblAlgn val="ctr"/>
        <c:lblOffset val="100"/>
        <c:noMultiLvlLbl val="1"/>
      </c:catAx>
      <c:valAx>
        <c:axId val="152764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57395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RFP (SprintPro)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DE-4EB5-8443-1176780A4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875465"/>
        <c:axId val="579401796"/>
      </c:barChart>
      <c:catAx>
        <c:axId val="1739875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9401796"/>
        <c:crosses val="autoZero"/>
        <c:auto val="1"/>
        <c:lblAlgn val="ctr"/>
        <c:lblOffset val="100"/>
        <c:noMultiLvlLbl val="1"/>
      </c:catAx>
      <c:valAx>
        <c:axId val="579401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98754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OPC Type I (UltraPro)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673-44FF-923F-5DD5EECD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2438948"/>
        <c:axId val="1048926480"/>
      </c:barChart>
      <c:catAx>
        <c:axId val="1702438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8926480"/>
        <c:crosses val="autoZero"/>
        <c:auto val="1"/>
        <c:lblAlgn val="ctr"/>
        <c:lblOffset val="100"/>
        <c:noMultiLvlLbl val="1"/>
      </c:catAx>
      <c:valAx>
        <c:axId val="1048926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243894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28575</xdr:rowOff>
    </xdr:from>
    <xdr:ext cx="11449050" cy="3533775"/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323850</xdr:colOff>
      <xdr:row>20</xdr:row>
      <xdr:rowOff>28575</xdr:rowOff>
    </xdr:from>
    <xdr:ext cx="11449050" cy="3533775"/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323850</xdr:colOff>
      <xdr:row>39</xdr:row>
      <xdr:rowOff>28575</xdr:rowOff>
    </xdr:from>
    <xdr:ext cx="11449050" cy="3533775"/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323850</xdr:colOff>
      <xdr:row>58</xdr:row>
      <xdr:rowOff>28575</xdr:rowOff>
    </xdr:from>
    <xdr:ext cx="11449050" cy="3533775"/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38100</xdr:rowOff>
    </xdr:from>
    <xdr:ext cx="4838700" cy="4295775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4876800" cy="340995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1000"/>
  <sheetViews>
    <sheetView workbookViewId="0"/>
  </sheetViews>
  <sheetFormatPr defaultColWidth="12.6328125" defaultRowHeight="15.75" customHeight="1" x14ac:dyDescent="0.25"/>
  <cols>
    <col min="1" max="1" width="7.6328125" customWidth="1"/>
    <col min="2" max="2" width="29" customWidth="1"/>
    <col min="3" max="3" width="14.7265625" customWidth="1"/>
    <col min="4" max="4" width="15.36328125" customWidth="1"/>
    <col min="5" max="5" width="20" customWidth="1"/>
    <col min="6" max="6" width="18" customWidth="1"/>
    <col min="7" max="26" width="7.6328125" customWidth="1"/>
  </cols>
  <sheetData>
    <row r="1" spans="2:6" ht="14.25" customHeight="1" x14ac:dyDescent="0.25"/>
    <row r="2" spans="2:6" ht="14.25" customHeight="1" x14ac:dyDescent="0.35">
      <c r="B2" s="11" t="s">
        <v>1</v>
      </c>
      <c r="C2" s="12" t="s">
        <v>44</v>
      </c>
      <c r="D2" s="13" t="s">
        <v>45</v>
      </c>
      <c r="E2" s="13" t="s">
        <v>46</v>
      </c>
      <c r="F2" s="14" t="s">
        <v>47</v>
      </c>
    </row>
    <row r="3" spans="2:6" ht="14.25" customHeight="1" x14ac:dyDescent="0.35">
      <c r="B3" s="206" t="s">
        <v>48</v>
      </c>
      <c r="C3" s="210" t="s">
        <v>49</v>
      </c>
      <c r="D3" s="15" t="s">
        <v>50</v>
      </c>
      <c r="E3" s="15" t="s">
        <v>51</v>
      </c>
      <c r="F3" s="16" t="s">
        <v>52</v>
      </c>
    </row>
    <row r="4" spans="2:6" ht="14.25" customHeight="1" x14ac:dyDescent="0.35">
      <c r="B4" s="207"/>
      <c r="C4" s="211"/>
      <c r="D4" s="213" t="s">
        <v>53</v>
      </c>
      <c r="E4" s="17" t="s">
        <v>54</v>
      </c>
      <c r="F4" s="18" t="s">
        <v>55</v>
      </c>
    </row>
    <row r="5" spans="2:6" ht="14.25" customHeight="1" x14ac:dyDescent="0.35">
      <c r="B5" s="207"/>
      <c r="C5" s="211"/>
      <c r="D5" s="211"/>
      <c r="E5" s="17" t="s">
        <v>56</v>
      </c>
      <c r="F5" s="18" t="s">
        <v>56</v>
      </c>
    </row>
    <row r="6" spans="2:6" ht="14.25" customHeight="1" x14ac:dyDescent="0.35">
      <c r="B6" s="207"/>
      <c r="C6" s="211"/>
      <c r="D6" s="211"/>
      <c r="E6" s="17" t="s">
        <v>57</v>
      </c>
      <c r="F6" s="18" t="s">
        <v>57</v>
      </c>
    </row>
    <row r="7" spans="2:6" ht="14.25" customHeight="1" x14ac:dyDescent="0.35">
      <c r="B7" s="207"/>
      <c r="C7" s="211"/>
      <c r="D7" s="211"/>
      <c r="E7" s="17" t="s">
        <v>58</v>
      </c>
      <c r="F7" s="18" t="s">
        <v>58</v>
      </c>
    </row>
    <row r="8" spans="2:6" ht="14.25" customHeight="1" x14ac:dyDescent="0.35">
      <c r="B8" s="207"/>
      <c r="C8" s="212"/>
      <c r="D8" s="212"/>
      <c r="E8" s="17" t="s">
        <v>59</v>
      </c>
      <c r="F8" s="18" t="s">
        <v>59</v>
      </c>
    </row>
    <row r="9" spans="2:6" ht="14.25" customHeight="1" x14ac:dyDescent="0.35">
      <c r="B9" s="207"/>
      <c r="C9" s="214" t="s">
        <v>60</v>
      </c>
      <c r="D9" s="17" t="s">
        <v>53</v>
      </c>
      <c r="E9" s="17" t="s">
        <v>61</v>
      </c>
      <c r="F9" s="18" t="s">
        <v>62</v>
      </c>
    </row>
    <row r="10" spans="2:6" ht="14.25" customHeight="1" x14ac:dyDescent="0.35">
      <c r="B10" s="208"/>
      <c r="C10" s="205"/>
      <c r="D10" s="19" t="s">
        <v>50</v>
      </c>
      <c r="E10" s="19" t="s">
        <v>61</v>
      </c>
      <c r="F10" s="20" t="s">
        <v>63</v>
      </c>
    </row>
    <row r="11" spans="2:6" ht="14.25" customHeight="1" x14ac:dyDescent="0.35">
      <c r="B11" s="21" t="s">
        <v>64</v>
      </c>
      <c r="C11" s="22"/>
      <c r="D11" s="23" t="s">
        <v>50</v>
      </c>
      <c r="E11" s="24" t="s">
        <v>65</v>
      </c>
      <c r="F11" s="25" t="s">
        <v>63</v>
      </c>
    </row>
    <row r="12" spans="2:6" ht="14.25" customHeight="1" x14ac:dyDescent="0.35">
      <c r="B12" s="206" t="s">
        <v>66</v>
      </c>
      <c r="C12" s="210" t="s">
        <v>67</v>
      </c>
      <c r="D12" s="15" t="s">
        <v>50</v>
      </c>
      <c r="E12" s="15" t="s">
        <v>68</v>
      </c>
      <c r="F12" s="201" t="s">
        <v>69</v>
      </c>
    </row>
    <row r="13" spans="2:6" ht="14.25" customHeight="1" x14ac:dyDescent="0.35">
      <c r="B13" s="207"/>
      <c r="C13" s="211"/>
      <c r="D13" s="17" t="s">
        <v>50</v>
      </c>
      <c r="E13" s="17" t="s">
        <v>56</v>
      </c>
      <c r="F13" s="202"/>
    </row>
    <row r="14" spans="2:6" ht="14.25" customHeight="1" x14ac:dyDescent="0.35">
      <c r="B14" s="207"/>
      <c r="C14" s="211"/>
      <c r="D14" s="17" t="s">
        <v>50</v>
      </c>
      <c r="E14" s="17" t="s">
        <v>57</v>
      </c>
      <c r="F14" s="202"/>
    </row>
    <row r="15" spans="2:6" ht="14.25" customHeight="1" x14ac:dyDescent="0.35">
      <c r="B15" s="207"/>
      <c r="C15" s="211"/>
      <c r="D15" s="17" t="s">
        <v>50</v>
      </c>
      <c r="E15" s="17" t="s">
        <v>58</v>
      </c>
      <c r="F15" s="202"/>
    </row>
    <row r="16" spans="2:6" ht="14.25" customHeight="1" x14ac:dyDescent="0.35">
      <c r="B16" s="207"/>
      <c r="C16" s="212"/>
      <c r="D16" s="17" t="s">
        <v>50</v>
      </c>
      <c r="E16" s="17" t="s">
        <v>59</v>
      </c>
      <c r="F16" s="203"/>
    </row>
    <row r="17" spans="2:6" ht="14.25" customHeight="1" x14ac:dyDescent="0.35">
      <c r="B17" s="208"/>
      <c r="C17" s="22" t="s">
        <v>70</v>
      </c>
      <c r="D17" s="19" t="s">
        <v>50</v>
      </c>
      <c r="E17" s="19" t="s">
        <v>71</v>
      </c>
      <c r="F17" s="20" t="s">
        <v>72</v>
      </c>
    </row>
    <row r="18" spans="2:6" ht="14.25" customHeight="1" x14ac:dyDescent="0.25">
      <c r="B18" s="26" t="s">
        <v>73</v>
      </c>
      <c r="C18" s="204" t="s">
        <v>74</v>
      </c>
      <c r="D18" s="27" t="s">
        <v>50</v>
      </c>
      <c r="E18" s="27" t="s">
        <v>75</v>
      </c>
      <c r="F18" s="28" t="s">
        <v>76</v>
      </c>
    </row>
    <row r="19" spans="2:6" ht="14.25" customHeight="1" x14ac:dyDescent="0.25">
      <c r="B19" s="26" t="s">
        <v>77</v>
      </c>
      <c r="C19" s="205"/>
      <c r="D19" s="29" t="s">
        <v>50</v>
      </c>
      <c r="E19" s="29" t="s">
        <v>78</v>
      </c>
      <c r="F19" s="28" t="s">
        <v>79</v>
      </c>
    </row>
    <row r="20" spans="2:6" ht="29.25" customHeight="1" x14ac:dyDescent="0.25">
      <c r="B20" s="206" t="s">
        <v>80</v>
      </c>
      <c r="C20" s="204" t="s">
        <v>81</v>
      </c>
      <c r="D20" s="209" t="s">
        <v>82</v>
      </c>
      <c r="E20" s="30" t="s">
        <v>83</v>
      </c>
      <c r="F20" s="31" t="s">
        <v>84</v>
      </c>
    </row>
    <row r="21" spans="2:6" ht="14.25" customHeight="1" x14ac:dyDescent="0.25">
      <c r="B21" s="208"/>
      <c r="C21" s="205"/>
      <c r="D21" s="205"/>
      <c r="E21" s="27" t="s">
        <v>85</v>
      </c>
      <c r="F21" s="32" t="s">
        <v>84</v>
      </c>
    </row>
    <row r="22" spans="2:6" ht="14.25" hidden="1" customHeight="1" x14ac:dyDescent="0.25">
      <c r="B22" s="26" t="s">
        <v>86</v>
      </c>
      <c r="C22" s="33"/>
      <c r="D22" s="29" t="s">
        <v>50</v>
      </c>
      <c r="E22" s="29" t="s">
        <v>87</v>
      </c>
      <c r="F22" s="34" t="s">
        <v>65</v>
      </c>
    </row>
    <row r="23" spans="2:6" ht="14.25" hidden="1" customHeight="1" x14ac:dyDescent="0.35">
      <c r="B23" s="35" t="s">
        <v>88</v>
      </c>
      <c r="C23" s="36"/>
      <c r="D23" s="37" t="s">
        <v>53</v>
      </c>
      <c r="E23" s="37" t="s">
        <v>89</v>
      </c>
      <c r="F23" s="38" t="s">
        <v>65</v>
      </c>
    </row>
    <row r="24" spans="2:6" ht="14.25" customHeight="1" x14ac:dyDescent="0.35">
      <c r="D24" s="39"/>
      <c r="E24" s="39"/>
      <c r="F24" s="40"/>
    </row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1">
    <mergeCell ref="B3:B10"/>
    <mergeCell ref="C3:C8"/>
    <mergeCell ref="D4:D8"/>
    <mergeCell ref="C9:C10"/>
    <mergeCell ref="C12:C16"/>
    <mergeCell ref="F12:F16"/>
    <mergeCell ref="C18:C19"/>
    <mergeCell ref="B12:B17"/>
    <mergeCell ref="B20:B21"/>
    <mergeCell ref="C20:C21"/>
    <mergeCell ref="D20:D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M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328125" defaultRowHeight="15.75" customHeight="1" x14ac:dyDescent="0.25"/>
  <cols>
    <col min="1" max="1" width="7.6328125" customWidth="1"/>
    <col min="2" max="91" width="11.08984375" customWidth="1"/>
  </cols>
  <sheetData>
    <row r="1" spans="1:91" ht="14.25" customHeight="1" x14ac:dyDescent="0.3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>
        <v>33</v>
      </c>
      <c r="AH1" s="10">
        <v>34</v>
      </c>
      <c r="AI1" s="10">
        <v>35</v>
      </c>
      <c r="AJ1" s="10">
        <v>36</v>
      </c>
      <c r="AK1" s="10">
        <v>37</v>
      </c>
      <c r="AL1" s="10">
        <v>38</v>
      </c>
      <c r="AM1" s="10">
        <v>39</v>
      </c>
      <c r="AN1" s="10">
        <v>40</v>
      </c>
      <c r="AO1" s="10">
        <v>41</v>
      </c>
      <c r="AP1" s="10">
        <v>42</v>
      </c>
      <c r="AQ1" s="10">
        <v>43</v>
      </c>
      <c r="AR1" s="10">
        <v>44</v>
      </c>
      <c r="AS1" s="10">
        <v>45</v>
      </c>
      <c r="AT1" s="10">
        <v>46</v>
      </c>
      <c r="AU1" s="10">
        <v>47</v>
      </c>
      <c r="AV1" s="10">
        <v>48</v>
      </c>
      <c r="AW1" s="10">
        <v>49</v>
      </c>
      <c r="AX1" s="10">
        <v>50</v>
      </c>
      <c r="AY1" s="10">
        <v>51</v>
      </c>
      <c r="AZ1" s="10">
        <v>52</v>
      </c>
      <c r="BA1" s="10">
        <v>53</v>
      </c>
      <c r="BB1" s="10">
        <v>54</v>
      </c>
      <c r="BC1" s="10">
        <v>55</v>
      </c>
      <c r="BD1" s="10">
        <v>56</v>
      </c>
      <c r="BE1" s="10">
        <v>57</v>
      </c>
      <c r="BF1" s="10">
        <v>58</v>
      </c>
      <c r="BG1" s="10">
        <v>59</v>
      </c>
      <c r="BH1" s="10">
        <v>60</v>
      </c>
      <c r="BI1" s="10">
        <v>61</v>
      </c>
      <c r="BJ1" s="10">
        <v>62</v>
      </c>
      <c r="BK1" s="10">
        <v>63</v>
      </c>
      <c r="BL1" s="10">
        <v>64</v>
      </c>
      <c r="BM1" s="10">
        <v>65</v>
      </c>
      <c r="BN1" s="10">
        <v>66</v>
      </c>
      <c r="BO1" s="10">
        <v>67</v>
      </c>
      <c r="BP1" s="10">
        <v>68</v>
      </c>
      <c r="BQ1" s="10">
        <v>69</v>
      </c>
      <c r="BR1" s="10">
        <v>70</v>
      </c>
      <c r="BS1" s="10">
        <v>71</v>
      </c>
      <c r="BT1" s="10">
        <v>72</v>
      </c>
      <c r="BU1" s="10">
        <v>73</v>
      </c>
      <c r="BV1" s="10">
        <v>74</v>
      </c>
      <c r="BW1" s="10">
        <v>75</v>
      </c>
      <c r="BX1" s="10">
        <v>76</v>
      </c>
      <c r="BY1" s="10">
        <v>77</v>
      </c>
      <c r="BZ1" s="10">
        <v>78</v>
      </c>
      <c r="CA1" s="10">
        <v>79</v>
      </c>
      <c r="CB1" s="10">
        <v>80</v>
      </c>
      <c r="CC1" s="10">
        <v>81</v>
      </c>
      <c r="CD1" s="10">
        <v>82</v>
      </c>
      <c r="CE1" s="10">
        <v>83</v>
      </c>
      <c r="CF1" s="10">
        <v>84</v>
      </c>
      <c r="CG1" s="50"/>
      <c r="CH1" s="50"/>
      <c r="CI1" s="50"/>
      <c r="CJ1" s="50"/>
      <c r="CK1" s="50"/>
      <c r="CL1" s="50"/>
      <c r="CM1" s="50"/>
    </row>
    <row r="2" spans="1:91" ht="14.25" customHeight="1" x14ac:dyDescent="0.35">
      <c r="A2" s="56" t="s">
        <v>91</v>
      </c>
      <c r="B2" s="50"/>
      <c r="C2" s="50"/>
      <c r="D2" s="50"/>
      <c r="E2" s="50"/>
      <c r="F2" s="50"/>
      <c r="G2" s="50"/>
      <c r="H2" s="10" t="s">
        <v>92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</row>
    <row r="3" spans="1:91" ht="14.25" customHeight="1" x14ac:dyDescent="0.35">
      <c r="A3" s="56" t="s">
        <v>93</v>
      </c>
      <c r="B3" s="50"/>
      <c r="C3" s="50"/>
      <c r="D3" s="50"/>
      <c r="E3" s="50"/>
      <c r="F3" s="50"/>
      <c r="G3" s="50"/>
      <c r="H3" s="56" t="s">
        <v>116</v>
      </c>
      <c r="I3" s="50"/>
      <c r="J3" s="50"/>
      <c r="K3" s="50"/>
      <c r="L3" s="50"/>
      <c r="M3" s="50"/>
      <c r="N3" s="56" t="s">
        <v>95</v>
      </c>
      <c r="O3" s="50"/>
      <c r="P3" s="50"/>
      <c r="Q3" s="50"/>
      <c r="R3" s="50"/>
      <c r="S3" s="50"/>
      <c r="T3" s="56" t="s">
        <v>96</v>
      </c>
      <c r="U3" s="50"/>
      <c r="V3" s="50"/>
      <c r="W3" s="50"/>
      <c r="X3" s="50"/>
      <c r="Y3" s="50"/>
      <c r="Z3" s="56" t="s">
        <v>97</v>
      </c>
      <c r="AA3" s="50"/>
      <c r="AB3" s="50"/>
      <c r="AC3" s="50"/>
      <c r="AD3" s="50"/>
      <c r="AE3" s="50"/>
      <c r="AF3" s="56" t="s">
        <v>98</v>
      </c>
      <c r="AG3" s="50"/>
      <c r="AH3" s="50"/>
      <c r="AI3" s="50"/>
      <c r="AJ3" s="50"/>
      <c r="AK3" s="50"/>
      <c r="AL3" s="56" t="s">
        <v>89</v>
      </c>
      <c r="AM3" s="50"/>
      <c r="AN3" s="50"/>
      <c r="AO3" s="50"/>
      <c r="AP3" s="50"/>
      <c r="AQ3" s="50"/>
      <c r="AR3" s="56" t="s">
        <v>87</v>
      </c>
      <c r="AS3" s="50"/>
      <c r="AT3" s="50"/>
      <c r="AU3" s="50"/>
      <c r="AV3" s="50"/>
      <c r="AW3" s="50"/>
      <c r="AX3" s="56" t="s">
        <v>99</v>
      </c>
      <c r="AY3" s="50"/>
      <c r="AZ3" s="50"/>
      <c r="BA3" s="50"/>
      <c r="BB3" s="50"/>
      <c r="BC3" s="50"/>
      <c r="BD3" s="56" t="s">
        <v>100</v>
      </c>
      <c r="BE3" s="50"/>
      <c r="BF3" s="50"/>
      <c r="BG3" s="50"/>
      <c r="BH3" s="50"/>
      <c r="BI3" s="50"/>
      <c r="BJ3" s="56" t="s">
        <v>152</v>
      </c>
      <c r="BK3" s="50"/>
      <c r="BL3" s="50"/>
      <c r="BM3" s="50"/>
      <c r="BN3" s="50"/>
      <c r="BO3" s="50"/>
      <c r="BP3" s="50"/>
      <c r="BQ3" s="10" t="s">
        <v>101</v>
      </c>
      <c r="BR3" s="50"/>
      <c r="BS3" s="50"/>
      <c r="BT3" s="50"/>
      <c r="BU3" s="56" t="s">
        <v>153</v>
      </c>
      <c r="BV3" s="50"/>
      <c r="BW3" s="50"/>
      <c r="BX3" s="50"/>
      <c r="BY3" s="50"/>
      <c r="BZ3" s="50"/>
      <c r="CA3" s="56" t="s">
        <v>154</v>
      </c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</row>
    <row r="4" spans="1:91" ht="14.25" customHeight="1" x14ac:dyDescent="0.35">
      <c r="A4" s="57" t="s">
        <v>102</v>
      </c>
      <c r="B4" s="58" t="s">
        <v>2</v>
      </c>
      <c r="C4" s="59"/>
      <c r="D4" s="58" t="s">
        <v>3</v>
      </c>
      <c r="E4" s="59"/>
      <c r="F4" s="58" t="s">
        <v>103</v>
      </c>
      <c r="G4" s="60"/>
      <c r="H4" s="61" t="s">
        <v>2</v>
      </c>
      <c r="I4" s="59"/>
      <c r="J4" s="58" t="s">
        <v>3</v>
      </c>
      <c r="K4" s="59"/>
      <c r="L4" s="58" t="s">
        <v>103</v>
      </c>
      <c r="M4" s="60"/>
      <c r="N4" s="61" t="s">
        <v>2</v>
      </c>
      <c r="O4" s="59"/>
      <c r="P4" s="58" t="s">
        <v>3</v>
      </c>
      <c r="Q4" s="59"/>
      <c r="R4" s="58" t="s">
        <v>103</v>
      </c>
      <c r="S4" s="60"/>
      <c r="T4" s="61" t="s">
        <v>2</v>
      </c>
      <c r="U4" s="59"/>
      <c r="V4" s="58" t="s">
        <v>3</v>
      </c>
      <c r="W4" s="59"/>
      <c r="X4" s="58" t="s">
        <v>103</v>
      </c>
      <c r="Y4" s="60"/>
      <c r="Z4" s="61" t="s">
        <v>2</v>
      </c>
      <c r="AA4" s="59"/>
      <c r="AB4" s="58" t="s">
        <v>3</v>
      </c>
      <c r="AC4" s="59"/>
      <c r="AD4" s="58" t="s">
        <v>103</v>
      </c>
      <c r="AE4" s="60"/>
      <c r="AF4" s="61" t="s">
        <v>2</v>
      </c>
      <c r="AG4" s="59"/>
      <c r="AH4" s="58" t="s">
        <v>3</v>
      </c>
      <c r="AI4" s="59"/>
      <c r="AJ4" s="58" t="s">
        <v>103</v>
      </c>
      <c r="AK4" s="60"/>
      <c r="AL4" s="61" t="s">
        <v>2</v>
      </c>
      <c r="AM4" s="59"/>
      <c r="AN4" s="58" t="s">
        <v>3</v>
      </c>
      <c r="AO4" s="59"/>
      <c r="AP4" s="58" t="s">
        <v>103</v>
      </c>
      <c r="AQ4" s="60"/>
      <c r="AR4" s="61" t="s">
        <v>2</v>
      </c>
      <c r="AS4" s="59"/>
      <c r="AT4" s="58" t="s">
        <v>3</v>
      </c>
      <c r="AU4" s="59"/>
      <c r="AV4" s="58" t="s">
        <v>103</v>
      </c>
      <c r="AW4" s="60"/>
      <c r="AX4" s="61" t="s">
        <v>2</v>
      </c>
      <c r="AY4" s="59"/>
      <c r="AZ4" s="58" t="s">
        <v>3</v>
      </c>
      <c r="BA4" s="59"/>
      <c r="BB4" s="58" t="s">
        <v>103</v>
      </c>
      <c r="BC4" s="60"/>
      <c r="BD4" s="61" t="s">
        <v>2</v>
      </c>
      <c r="BE4" s="59"/>
      <c r="BF4" s="58" t="s">
        <v>3</v>
      </c>
      <c r="BG4" s="59"/>
      <c r="BH4" s="58" t="s">
        <v>103</v>
      </c>
      <c r="BI4" s="60"/>
      <c r="BJ4" s="61" t="s">
        <v>2</v>
      </c>
      <c r="BK4" s="59"/>
      <c r="BL4" s="58" t="s">
        <v>3</v>
      </c>
      <c r="BM4" s="59"/>
      <c r="BN4" s="58" t="s">
        <v>103</v>
      </c>
      <c r="BO4" s="60"/>
      <c r="BP4" s="50"/>
      <c r="BQ4" s="50"/>
      <c r="BR4" s="50"/>
      <c r="BS4" s="50"/>
      <c r="BT4" s="50"/>
      <c r="BU4" s="61" t="s">
        <v>2</v>
      </c>
      <c r="BV4" s="59"/>
      <c r="BW4" s="58" t="s">
        <v>3</v>
      </c>
      <c r="BX4" s="59"/>
      <c r="BY4" s="58" t="s">
        <v>103</v>
      </c>
      <c r="BZ4" s="60"/>
      <c r="CA4" s="61" t="s">
        <v>2</v>
      </c>
      <c r="CB4" s="59"/>
      <c r="CC4" s="58" t="s">
        <v>3</v>
      </c>
      <c r="CD4" s="59"/>
      <c r="CE4" s="58" t="s">
        <v>103</v>
      </c>
      <c r="CF4" s="60"/>
      <c r="CG4" s="50"/>
      <c r="CH4" s="50"/>
      <c r="CI4" s="10" t="s">
        <v>104</v>
      </c>
      <c r="CJ4" s="50"/>
      <c r="CK4" s="50"/>
      <c r="CL4" s="10" t="s">
        <v>105</v>
      </c>
      <c r="CM4" s="50"/>
    </row>
    <row r="5" spans="1:91" ht="14.25" customHeight="1" x14ac:dyDescent="0.35">
      <c r="A5" s="62"/>
      <c r="B5" s="63" t="s">
        <v>106</v>
      </c>
      <c r="C5" s="63" t="s">
        <v>107</v>
      </c>
      <c r="D5" s="63" t="s">
        <v>106</v>
      </c>
      <c r="E5" s="63" t="s">
        <v>107</v>
      </c>
      <c r="F5" s="63" t="s">
        <v>106</v>
      </c>
      <c r="G5" s="64" t="s">
        <v>107</v>
      </c>
      <c r="H5" s="65" t="s">
        <v>106</v>
      </c>
      <c r="I5" s="63" t="s">
        <v>107</v>
      </c>
      <c r="J5" s="63" t="s">
        <v>106</v>
      </c>
      <c r="K5" s="63" t="s">
        <v>107</v>
      </c>
      <c r="L5" s="63" t="s">
        <v>106</v>
      </c>
      <c r="M5" s="64" t="s">
        <v>107</v>
      </c>
      <c r="N5" s="65" t="s">
        <v>106</v>
      </c>
      <c r="O5" s="63" t="s">
        <v>107</v>
      </c>
      <c r="P5" s="63" t="s">
        <v>106</v>
      </c>
      <c r="Q5" s="63" t="s">
        <v>107</v>
      </c>
      <c r="R5" s="63" t="s">
        <v>106</v>
      </c>
      <c r="S5" s="64" t="s">
        <v>107</v>
      </c>
      <c r="T5" s="65" t="s">
        <v>106</v>
      </c>
      <c r="U5" s="63" t="s">
        <v>107</v>
      </c>
      <c r="V5" s="63" t="s">
        <v>106</v>
      </c>
      <c r="W5" s="63" t="s">
        <v>107</v>
      </c>
      <c r="X5" s="63" t="s">
        <v>106</v>
      </c>
      <c r="Y5" s="64" t="s">
        <v>107</v>
      </c>
      <c r="Z5" s="65" t="s">
        <v>106</v>
      </c>
      <c r="AA5" s="63" t="s">
        <v>107</v>
      </c>
      <c r="AB5" s="63" t="s">
        <v>106</v>
      </c>
      <c r="AC5" s="63" t="s">
        <v>107</v>
      </c>
      <c r="AD5" s="63" t="s">
        <v>106</v>
      </c>
      <c r="AE5" s="64" t="s">
        <v>107</v>
      </c>
      <c r="AF5" s="65" t="s">
        <v>106</v>
      </c>
      <c r="AG5" s="63" t="s">
        <v>107</v>
      </c>
      <c r="AH5" s="63" t="s">
        <v>106</v>
      </c>
      <c r="AI5" s="63" t="s">
        <v>107</v>
      </c>
      <c r="AJ5" s="63" t="s">
        <v>106</v>
      </c>
      <c r="AK5" s="64" t="s">
        <v>107</v>
      </c>
      <c r="AL5" s="65" t="s">
        <v>106</v>
      </c>
      <c r="AM5" s="63" t="s">
        <v>107</v>
      </c>
      <c r="AN5" s="63" t="s">
        <v>106</v>
      </c>
      <c r="AO5" s="63" t="s">
        <v>107</v>
      </c>
      <c r="AP5" s="63" t="s">
        <v>106</v>
      </c>
      <c r="AQ5" s="64" t="s">
        <v>107</v>
      </c>
      <c r="AR5" s="65" t="s">
        <v>106</v>
      </c>
      <c r="AS5" s="63" t="s">
        <v>107</v>
      </c>
      <c r="AT5" s="63" t="s">
        <v>106</v>
      </c>
      <c r="AU5" s="63" t="s">
        <v>107</v>
      </c>
      <c r="AV5" s="63" t="s">
        <v>106</v>
      </c>
      <c r="AW5" s="64" t="s">
        <v>107</v>
      </c>
      <c r="AX5" s="65" t="s">
        <v>106</v>
      </c>
      <c r="AY5" s="63" t="s">
        <v>107</v>
      </c>
      <c r="AZ5" s="63" t="s">
        <v>106</v>
      </c>
      <c r="BA5" s="63" t="s">
        <v>107</v>
      </c>
      <c r="BB5" s="63" t="s">
        <v>106</v>
      </c>
      <c r="BC5" s="64" t="s">
        <v>107</v>
      </c>
      <c r="BD5" s="65" t="s">
        <v>106</v>
      </c>
      <c r="BE5" s="63" t="s">
        <v>107</v>
      </c>
      <c r="BF5" s="63" t="s">
        <v>106</v>
      </c>
      <c r="BG5" s="63" t="s">
        <v>107</v>
      </c>
      <c r="BH5" s="63" t="s">
        <v>106</v>
      </c>
      <c r="BI5" s="64" t="s">
        <v>107</v>
      </c>
      <c r="BJ5" s="65" t="s">
        <v>106</v>
      </c>
      <c r="BK5" s="63" t="s">
        <v>107</v>
      </c>
      <c r="BL5" s="63" t="s">
        <v>106</v>
      </c>
      <c r="BM5" s="63" t="s">
        <v>107</v>
      </c>
      <c r="BN5" s="63" t="s">
        <v>106</v>
      </c>
      <c r="BO5" s="64" t="s">
        <v>107</v>
      </c>
      <c r="BP5" s="50"/>
      <c r="BQ5" s="66" t="s">
        <v>106</v>
      </c>
      <c r="BR5" s="66" t="s">
        <v>107</v>
      </c>
      <c r="BS5" s="50"/>
      <c r="BT5" s="50"/>
      <c r="BU5" s="65" t="s">
        <v>106</v>
      </c>
      <c r="BV5" s="63" t="s">
        <v>107</v>
      </c>
      <c r="BW5" s="63" t="s">
        <v>106</v>
      </c>
      <c r="BX5" s="63" t="s">
        <v>107</v>
      </c>
      <c r="BY5" s="63" t="s">
        <v>106</v>
      </c>
      <c r="BZ5" s="64" t="s">
        <v>107</v>
      </c>
      <c r="CA5" s="65" t="s">
        <v>106</v>
      </c>
      <c r="CB5" s="63" t="s">
        <v>107</v>
      </c>
      <c r="CC5" s="63" t="s">
        <v>106</v>
      </c>
      <c r="CD5" s="63" t="s">
        <v>107</v>
      </c>
      <c r="CE5" s="63" t="s">
        <v>106</v>
      </c>
      <c r="CF5" s="64" t="s">
        <v>107</v>
      </c>
      <c r="CG5" s="50"/>
      <c r="CH5" s="50"/>
      <c r="CI5" s="50"/>
      <c r="CJ5" s="50"/>
      <c r="CK5" s="50"/>
      <c r="CL5" s="50"/>
      <c r="CM5" s="50"/>
    </row>
    <row r="6" spans="1:91" ht="14.25" customHeight="1" x14ac:dyDescent="0.35">
      <c r="A6" s="67" t="s">
        <v>4</v>
      </c>
      <c r="B6" s="68">
        <v>5606</v>
      </c>
      <c r="C6" s="47">
        <v>5606</v>
      </c>
      <c r="D6" s="69">
        <v>6595</v>
      </c>
      <c r="E6" s="47">
        <v>6595</v>
      </c>
      <c r="F6" s="70">
        <v>85</v>
      </c>
      <c r="G6" s="71">
        <v>85</v>
      </c>
      <c r="H6" s="72">
        <v>57206</v>
      </c>
      <c r="I6" s="47">
        <v>57206</v>
      </c>
      <c r="J6" s="69">
        <v>63534</v>
      </c>
      <c r="K6" s="47">
        <v>63534</v>
      </c>
      <c r="L6" s="70">
        <v>90.04</v>
      </c>
      <c r="M6" s="71">
        <v>90.04</v>
      </c>
      <c r="N6" s="72">
        <v>74574</v>
      </c>
      <c r="O6" s="47">
        <v>74574</v>
      </c>
      <c r="P6" s="69">
        <v>84550</v>
      </c>
      <c r="Q6" s="47">
        <v>84550</v>
      </c>
      <c r="R6" s="70">
        <v>88.2</v>
      </c>
      <c r="S6" s="71">
        <v>88.2</v>
      </c>
      <c r="T6" s="72">
        <v>1771</v>
      </c>
      <c r="U6" s="47">
        <v>1771</v>
      </c>
      <c r="V6" s="69">
        <v>1837</v>
      </c>
      <c r="W6" s="47">
        <v>1837</v>
      </c>
      <c r="X6" s="70">
        <v>96.4</v>
      </c>
      <c r="Y6" s="71">
        <v>96.4</v>
      </c>
      <c r="Z6" s="72">
        <v>2129</v>
      </c>
      <c r="AA6" s="47">
        <v>2129</v>
      </c>
      <c r="AB6" s="69">
        <v>2270</v>
      </c>
      <c r="AC6" s="47">
        <v>2270</v>
      </c>
      <c r="AD6" s="70">
        <v>93.8</v>
      </c>
      <c r="AE6" s="71">
        <v>93.8</v>
      </c>
      <c r="AF6" s="72">
        <v>8883</v>
      </c>
      <c r="AG6" s="47">
        <v>8883</v>
      </c>
      <c r="AH6" s="69">
        <v>12689</v>
      </c>
      <c r="AI6" s="47">
        <v>12689</v>
      </c>
      <c r="AJ6" s="70">
        <v>70</v>
      </c>
      <c r="AK6" s="71">
        <v>70</v>
      </c>
      <c r="AL6" s="73"/>
      <c r="AM6" s="47">
        <v>0</v>
      </c>
      <c r="AN6" s="44"/>
      <c r="AO6" s="47">
        <v>0</v>
      </c>
      <c r="AP6" s="47">
        <v>0</v>
      </c>
      <c r="AQ6" s="74">
        <v>0</v>
      </c>
      <c r="AR6" s="73"/>
      <c r="AS6" s="47">
        <v>0</v>
      </c>
      <c r="AT6" s="44"/>
      <c r="AU6" s="47">
        <v>0</v>
      </c>
      <c r="AV6" s="47">
        <v>0</v>
      </c>
      <c r="AW6" s="74">
        <v>0</v>
      </c>
      <c r="AX6" s="72">
        <v>150169</v>
      </c>
      <c r="AY6" s="47">
        <v>150169</v>
      </c>
      <c r="AZ6" s="69">
        <v>171476</v>
      </c>
      <c r="BA6" s="47">
        <v>171476</v>
      </c>
      <c r="BB6" s="70">
        <v>87.57</v>
      </c>
      <c r="BC6" s="71">
        <v>87.57</v>
      </c>
      <c r="BD6" s="72">
        <v>16260</v>
      </c>
      <c r="BE6" s="47">
        <v>16260</v>
      </c>
      <c r="BF6" s="69">
        <v>21122</v>
      </c>
      <c r="BG6" s="47">
        <v>21122</v>
      </c>
      <c r="BH6" s="70">
        <v>76.98</v>
      </c>
      <c r="BI6" s="71">
        <v>76.98</v>
      </c>
      <c r="BJ6" s="72">
        <v>144563</v>
      </c>
      <c r="BK6" s="47">
        <v>144563</v>
      </c>
      <c r="BL6" s="69">
        <v>164881</v>
      </c>
      <c r="BM6" s="47">
        <v>164881</v>
      </c>
      <c r="BN6" s="70">
        <v>87.68</v>
      </c>
      <c r="BO6" s="71">
        <v>87.68</v>
      </c>
      <c r="BP6" s="50"/>
      <c r="BQ6" s="75">
        <v>12.32</v>
      </c>
      <c r="BR6" s="75">
        <v>12.32</v>
      </c>
      <c r="BS6" s="50"/>
      <c r="BT6" s="50"/>
      <c r="BU6" s="72">
        <v>14025</v>
      </c>
      <c r="BV6" s="47">
        <v>14025</v>
      </c>
      <c r="BW6" s="69">
        <v>14685</v>
      </c>
      <c r="BX6" s="47">
        <v>14685</v>
      </c>
      <c r="BY6" s="70">
        <v>95.5</v>
      </c>
      <c r="BZ6" s="71">
        <v>95.5</v>
      </c>
      <c r="CA6" s="72">
        <v>43182</v>
      </c>
      <c r="CB6" s="47">
        <v>43182</v>
      </c>
      <c r="CC6" s="69">
        <v>48848</v>
      </c>
      <c r="CD6" s="47">
        <v>48848</v>
      </c>
      <c r="CE6" s="70">
        <v>88.4</v>
      </c>
      <c r="CF6" s="71">
        <v>88.4</v>
      </c>
      <c r="CG6" s="50"/>
      <c r="CH6" s="50"/>
      <c r="CI6" s="76">
        <v>150169</v>
      </c>
      <c r="CJ6" s="76" t="s">
        <v>65</v>
      </c>
      <c r="CK6" s="50"/>
      <c r="CL6" s="76">
        <v>171476</v>
      </c>
      <c r="CM6" s="76" t="s">
        <v>65</v>
      </c>
    </row>
    <row r="7" spans="1:91" ht="14.25" customHeight="1" x14ac:dyDescent="0.35">
      <c r="A7" s="67" t="s">
        <v>5</v>
      </c>
      <c r="B7" s="68">
        <v>5872</v>
      </c>
      <c r="C7" s="47">
        <v>11478</v>
      </c>
      <c r="D7" s="69">
        <v>6909</v>
      </c>
      <c r="E7" s="47">
        <v>13504</v>
      </c>
      <c r="F7" s="70">
        <v>85</v>
      </c>
      <c r="G7" s="71">
        <v>85</v>
      </c>
      <c r="H7" s="72">
        <v>59972</v>
      </c>
      <c r="I7" s="47">
        <v>117179</v>
      </c>
      <c r="J7" s="69">
        <v>66605</v>
      </c>
      <c r="K7" s="47">
        <v>130139</v>
      </c>
      <c r="L7" s="70">
        <v>90.04</v>
      </c>
      <c r="M7" s="71">
        <v>90.04</v>
      </c>
      <c r="N7" s="72">
        <v>78179</v>
      </c>
      <c r="O7" s="47">
        <v>152752</v>
      </c>
      <c r="P7" s="69">
        <v>88638</v>
      </c>
      <c r="Q7" s="47">
        <v>173189</v>
      </c>
      <c r="R7" s="70">
        <v>88.2</v>
      </c>
      <c r="S7" s="71">
        <v>88.2</v>
      </c>
      <c r="T7" s="72">
        <v>1857</v>
      </c>
      <c r="U7" s="47">
        <v>3628</v>
      </c>
      <c r="V7" s="69">
        <v>1926</v>
      </c>
      <c r="W7" s="47">
        <v>3764</v>
      </c>
      <c r="X7" s="70">
        <v>96.4</v>
      </c>
      <c r="Y7" s="71">
        <v>96.4</v>
      </c>
      <c r="Z7" s="72">
        <v>2232</v>
      </c>
      <c r="AA7" s="47">
        <v>4362</v>
      </c>
      <c r="AB7" s="69">
        <v>2380</v>
      </c>
      <c r="AC7" s="47">
        <v>4650</v>
      </c>
      <c r="AD7" s="70">
        <v>93.8</v>
      </c>
      <c r="AE7" s="71">
        <v>93.8</v>
      </c>
      <c r="AF7" s="72">
        <v>9219</v>
      </c>
      <c r="AG7" s="47">
        <v>18101</v>
      </c>
      <c r="AH7" s="69">
        <v>13170</v>
      </c>
      <c r="AI7" s="47">
        <v>25859</v>
      </c>
      <c r="AJ7" s="70">
        <v>70</v>
      </c>
      <c r="AK7" s="71">
        <v>70</v>
      </c>
      <c r="AL7" s="73"/>
      <c r="AM7" s="47">
        <v>0</v>
      </c>
      <c r="AN7" s="44"/>
      <c r="AO7" s="47">
        <v>0</v>
      </c>
      <c r="AP7" s="47">
        <v>0</v>
      </c>
      <c r="AQ7" s="74">
        <v>0</v>
      </c>
      <c r="AR7" s="73"/>
      <c r="AS7" s="47">
        <v>0</v>
      </c>
      <c r="AT7" s="44"/>
      <c r="AU7" s="47">
        <v>0</v>
      </c>
      <c r="AV7" s="47">
        <v>0</v>
      </c>
      <c r="AW7" s="74">
        <v>0</v>
      </c>
      <c r="AX7" s="72">
        <v>157332</v>
      </c>
      <c r="AY7" s="47">
        <v>307501</v>
      </c>
      <c r="AZ7" s="69">
        <v>179628</v>
      </c>
      <c r="BA7" s="47">
        <v>351105</v>
      </c>
      <c r="BB7" s="70">
        <v>87.59</v>
      </c>
      <c r="BC7" s="71">
        <v>87.58</v>
      </c>
      <c r="BD7" s="72">
        <v>16948</v>
      </c>
      <c r="BE7" s="47">
        <v>33208</v>
      </c>
      <c r="BF7" s="69">
        <v>22005</v>
      </c>
      <c r="BG7" s="47">
        <v>43127</v>
      </c>
      <c r="BH7" s="70">
        <v>77.02</v>
      </c>
      <c r="BI7" s="71">
        <v>77</v>
      </c>
      <c r="BJ7" s="72">
        <v>151459</v>
      </c>
      <c r="BK7" s="47">
        <v>296022</v>
      </c>
      <c r="BL7" s="69">
        <v>172720</v>
      </c>
      <c r="BM7" s="47">
        <v>337601</v>
      </c>
      <c r="BN7" s="70">
        <v>87.69</v>
      </c>
      <c r="BO7" s="71">
        <v>87.68</v>
      </c>
      <c r="BP7" s="50"/>
      <c r="BQ7" s="75">
        <v>12.25</v>
      </c>
      <c r="BR7" s="75">
        <v>12.28</v>
      </c>
      <c r="BS7" s="50"/>
      <c r="BT7" s="50"/>
      <c r="BU7" s="72">
        <v>14703</v>
      </c>
      <c r="BV7" s="47">
        <v>28727</v>
      </c>
      <c r="BW7" s="69">
        <v>15395</v>
      </c>
      <c r="BX7" s="47">
        <v>30081</v>
      </c>
      <c r="BY7" s="70">
        <v>95.5</v>
      </c>
      <c r="BZ7" s="71">
        <v>95.5</v>
      </c>
      <c r="CA7" s="72">
        <v>45270</v>
      </c>
      <c r="CB7" s="47">
        <v>88452</v>
      </c>
      <c r="CC7" s="69">
        <v>51210</v>
      </c>
      <c r="CD7" s="47">
        <v>100058</v>
      </c>
      <c r="CE7" s="70">
        <v>88.4</v>
      </c>
      <c r="CF7" s="71">
        <v>88.4</v>
      </c>
      <c r="CG7" s="50"/>
      <c r="CH7" s="50"/>
      <c r="CI7" s="76">
        <v>157332</v>
      </c>
      <c r="CJ7" s="76" t="s">
        <v>65</v>
      </c>
      <c r="CK7" s="50"/>
      <c r="CL7" s="76">
        <v>179628</v>
      </c>
      <c r="CM7" s="76" t="s">
        <v>65</v>
      </c>
    </row>
    <row r="8" spans="1:91" ht="14.25" customHeight="1" x14ac:dyDescent="0.35">
      <c r="A8" s="67" t="s">
        <v>6</v>
      </c>
      <c r="B8" s="68">
        <v>3447</v>
      </c>
      <c r="C8" s="47">
        <v>14926</v>
      </c>
      <c r="D8" s="69">
        <v>4055</v>
      </c>
      <c r="E8" s="47">
        <v>17559</v>
      </c>
      <c r="F8" s="70">
        <v>85</v>
      </c>
      <c r="G8" s="71">
        <v>85</v>
      </c>
      <c r="H8" s="72">
        <v>35124</v>
      </c>
      <c r="I8" s="47">
        <v>152302</v>
      </c>
      <c r="J8" s="69">
        <v>39009</v>
      </c>
      <c r="K8" s="47">
        <v>169148</v>
      </c>
      <c r="L8" s="70">
        <v>90.04</v>
      </c>
      <c r="M8" s="71">
        <v>90.04</v>
      </c>
      <c r="N8" s="72">
        <v>45787</v>
      </c>
      <c r="O8" s="47">
        <v>198539</v>
      </c>
      <c r="P8" s="69">
        <v>51913</v>
      </c>
      <c r="Q8" s="47">
        <v>225101</v>
      </c>
      <c r="R8" s="70">
        <v>88.2</v>
      </c>
      <c r="S8" s="71">
        <v>88.2</v>
      </c>
      <c r="T8" s="72">
        <v>1088</v>
      </c>
      <c r="U8" s="47">
        <v>4716</v>
      </c>
      <c r="V8" s="69">
        <v>1128</v>
      </c>
      <c r="W8" s="47">
        <v>4892</v>
      </c>
      <c r="X8" s="70">
        <v>96.4</v>
      </c>
      <c r="Y8" s="71">
        <v>96.4</v>
      </c>
      <c r="Z8" s="72">
        <v>1307</v>
      </c>
      <c r="AA8" s="47">
        <v>5669</v>
      </c>
      <c r="AB8" s="69">
        <v>1394</v>
      </c>
      <c r="AC8" s="47">
        <v>6044</v>
      </c>
      <c r="AD8" s="70">
        <v>93.8</v>
      </c>
      <c r="AE8" s="71">
        <v>93.8</v>
      </c>
      <c r="AF8" s="72">
        <v>5560</v>
      </c>
      <c r="AG8" s="47">
        <v>23661</v>
      </c>
      <c r="AH8" s="69">
        <v>7943</v>
      </c>
      <c r="AI8" s="47">
        <v>33802</v>
      </c>
      <c r="AJ8" s="70">
        <v>70</v>
      </c>
      <c r="AK8" s="71">
        <v>70</v>
      </c>
      <c r="AL8" s="73"/>
      <c r="AM8" s="47">
        <v>0</v>
      </c>
      <c r="AN8" s="44"/>
      <c r="AO8" s="47">
        <v>0</v>
      </c>
      <c r="AP8" s="47">
        <v>0</v>
      </c>
      <c r="AQ8" s="74">
        <v>0</v>
      </c>
      <c r="AR8" s="73"/>
      <c r="AS8" s="47">
        <v>0</v>
      </c>
      <c r="AT8" s="44"/>
      <c r="AU8" s="47">
        <v>0</v>
      </c>
      <c r="AV8" s="47">
        <v>0</v>
      </c>
      <c r="AW8" s="74">
        <v>0</v>
      </c>
      <c r="AX8" s="72">
        <v>92313</v>
      </c>
      <c r="AY8" s="47">
        <v>399813</v>
      </c>
      <c r="AZ8" s="69">
        <v>105441</v>
      </c>
      <c r="BA8" s="47">
        <v>456546</v>
      </c>
      <c r="BB8" s="70">
        <v>87.55</v>
      </c>
      <c r="BC8" s="71">
        <v>87.57</v>
      </c>
      <c r="BD8" s="72">
        <v>10095</v>
      </c>
      <c r="BE8" s="47">
        <v>43303</v>
      </c>
      <c r="BF8" s="69">
        <v>13126</v>
      </c>
      <c r="BG8" s="47">
        <v>56253</v>
      </c>
      <c r="BH8" s="70">
        <v>76.900000000000006</v>
      </c>
      <c r="BI8" s="71">
        <v>76.98</v>
      </c>
      <c r="BJ8" s="72">
        <v>88865</v>
      </c>
      <c r="BK8" s="47">
        <v>384888</v>
      </c>
      <c r="BL8" s="69">
        <v>101386</v>
      </c>
      <c r="BM8" s="47">
        <v>438987</v>
      </c>
      <c r="BN8" s="70">
        <v>87.65</v>
      </c>
      <c r="BO8" s="71">
        <v>87.68</v>
      </c>
      <c r="BP8" s="50"/>
      <c r="BQ8" s="75">
        <v>12.45</v>
      </c>
      <c r="BR8" s="75">
        <v>12.32</v>
      </c>
      <c r="BS8" s="50"/>
      <c r="BT8" s="50"/>
      <c r="BU8" s="72">
        <v>8611</v>
      </c>
      <c r="BV8" s="47">
        <v>37338</v>
      </c>
      <c r="BW8" s="69">
        <v>9017</v>
      </c>
      <c r="BX8" s="47">
        <v>39097</v>
      </c>
      <c r="BY8" s="70">
        <v>95.5</v>
      </c>
      <c r="BZ8" s="71">
        <v>95.5</v>
      </c>
      <c r="CA8" s="72">
        <v>26513</v>
      </c>
      <c r="CB8" s="47">
        <v>114965</v>
      </c>
      <c r="CC8" s="69">
        <v>29992</v>
      </c>
      <c r="CD8" s="47">
        <v>130050</v>
      </c>
      <c r="CE8" s="70">
        <v>88.4</v>
      </c>
      <c r="CF8" s="71">
        <v>88.4</v>
      </c>
      <c r="CG8" s="50"/>
      <c r="CH8" s="50"/>
      <c r="CI8" s="76">
        <v>92313</v>
      </c>
      <c r="CJ8" s="76" t="s">
        <v>65</v>
      </c>
      <c r="CK8" s="50"/>
      <c r="CL8" s="76">
        <v>105441</v>
      </c>
      <c r="CM8" s="76" t="s">
        <v>65</v>
      </c>
    </row>
    <row r="9" spans="1:91" ht="14.25" customHeight="1" x14ac:dyDescent="0.35">
      <c r="A9" s="67" t="s">
        <v>7</v>
      </c>
      <c r="B9" s="68">
        <v>5597</v>
      </c>
      <c r="C9" s="47">
        <v>20523</v>
      </c>
      <c r="D9" s="69">
        <v>6585</v>
      </c>
      <c r="E9" s="47">
        <v>24144</v>
      </c>
      <c r="F9" s="70">
        <v>85</v>
      </c>
      <c r="G9" s="71">
        <v>85</v>
      </c>
      <c r="H9" s="72">
        <v>57113</v>
      </c>
      <c r="I9" s="47">
        <v>209416</v>
      </c>
      <c r="J9" s="69">
        <v>63430</v>
      </c>
      <c r="K9" s="47">
        <v>232578</v>
      </c>
      <c r="L9" s="70">
        <v>90.04</v>
      </c>
      <c r="M9" s="71">
        <v>90.04</v>
      </c>
      <c r="N9" s="72">
        <v>74452</v>
      </c>
      <c r="O9" s="47">
        <v>272991</v>
      </c>
      <c r="P9" s="69">
        <v>84413</v>
      </c>
      <c r="Q9" s="47">
        <v>309514</v>
      </c>
      <c r="R9" s="70">
        <v>88.2</v>
      </c>
      <c r="S9" s="71">
        <v>88.2</v>
      </c>
      <c r="T9" s="72">
        <v>1768</v>
      </c>
      <c r="U9" s="47">
        <v>6484</v>
      </c>
      <c r="V9" s="69">
        <v>1834</v>
      </c>
      <c r="W9" s="47">
        <v>6726</v>
      </c>
      <c r="X9" s="70">
        <v>96.4</v>
      </c>
      <c r="Y9" s="71">
        <v>96.4</v>
      </c>
      <c r="Z9" s="72">
        <v>2126</v>
      </c>
      <c r="AA9" s="47">
        <v>7795</v>
      </c>
      <c r="AB9" s="69">
        <v>2266</v>
      </c>
      <c r="AC9" s="47">
        <v>8310</v>
      </c>
      <c r="AD9" s="70">
        <v>93.8</v>
      </c>
      <c r="AE9" s="71">
        <v>93.8</v>
      </c>
      <c r="AF9" s="72">
        <v>8873</v>
      </c>
      <c r="AG9" s="47">
        <v>32534</v>
      </c>
      <c r="AH9" s="69">
        <v>12675</v>
      </c>
      <c r="AI9" s="47">
        <v>46477</v>
      </c>
      <c r="AJ9" s="70">
        <v>70</v>
      </c>
      <c r="AK9" s="71">
        <v>70</v>
      </c>
      <c r="AL9" s="73"/>
      <c r="AM9" s="47">
        <v>0</v>
      </c>
      <c r="AN9" s="44"/>
      <c r="AO9" s="47">
        <v>0</v>
      </c>
      <c r="AP9" s="47">
        <v>0</v>
      </c>
      <c r="AQ9" s="74">
        <v>0</v>
      </c>
      <c r="AR9" s="73"/>
      <c r="AS9" s="47">
        <v>0</v>
      </c>
      <c r="AT9" s="44"/>
      <c r="AU9" s="47">
        <v>0</v>
      </c>
      <c r="AV9" s="47">
        <v>0</v>
      </c>
      <c r="AW9" s="74">
        <v>0</v>
      </c>
      <c r="AX9" s="72">
        <v>149929</v>
      </c>
      <c r="AY9" s="47">
        <v>549743</v>
      </c>
      <c r="AZ9" s="69">
        <v>171204</v>
      </c>
      <c r="BA9" s="47">
        <v>627750</v>
      </c>
      <c r="BB9" s="70">
        <v>87.57</v>
      </c>
      <c r="BC9" s="71">
        <v>87.57</v>
      </c>
      <c r="BD9" s="72">
        <v>16238</v>
      </c>
      <c r="BE9" s="47">
        <v>59541</v>
      </c>
      <c r="BF9" s="69">
        <v>21094</v>
      </c>
      <c r="BG9" s="47">
        <v>77348</v>
      </c>
      <c r="BH9" s="70">
        <v>76.98</v>
      </c>
      <c r="BI9" s="71">
        <v>76.98</v>
      </c>
      <c r="BJ9" s="72">
        <v>144332</v>
      </c>
      <c r="BK9" s="47">
        <v>529220</v>
      </c>
      <c r="BL9" s="69">
        <v>164619</v>
      </c>
      <c r="BM9" s="47">
        <v>603605</v>
      </c>
      <c r="BN9" s="70">
        <v>87.68</v>
      </c>
      <c r="BO9" s="71">
        <v>87.68</v>
      </c>
      <c r="BP9" s="50"/>
      <c r="BQ9" s="75">
        <v>12.32</v>
      </c>
      <c r="BR9" s="75">
        <v>12.32</v>
      </c>
      <c r="BS9" s="50"/>
      <c r="BT9" s="50"/>
      <c r="BU9" s="72">
        <v>14002</v>
      </c>
      <c r="BV9" s="47">
        <v>51339</v>
      </c>
      <c r="BW9" s="69">
        <v>14661</v>
      </c>
      <c r="BX9" s="47">
        <v>53759</v>
      </c>
      <c r="BY9" s="70">
        <v>95.5</v>
      </c>
      <c r="BZ9" s="71">
        <v>95.5</v>
      </c>
      <c r="CA9" s="72">
        <v>43112</v>
      </c>
      <c r="CB9" s="47">
        <v>158076</v>
      </c>
      <c r="CC9" s="69">
        <v>48769</v>
      </c>
      <c r="CD9" s="47">
        <v>178819</v>
      </c>
      <c r="CE9" s="70">
        <v>88.4</v>
      </c>
      <c r="CF9" s="71">
        <v>88.4</v>
      </c>
      <c r="CG9" s="50"/>
      <c r="CH9" s="50"/>
      <c r="CI9" s="76">
        <v>149929</v>
      </c>
      <c r="CJ9" s="76" t="s">
        <v>65</v>
      </c>
      <c r="CK9" s="50"/>
      <c r="CL9" s="76">
        <v>171204</v>
      </c>
      <c r="CM9" s="76" t="s">
        <v>65</v>
      </c>
    </row>
    <row r="10" spans="1:91" ht="14.25" customHeight="1" x14ac:dyDescent="0.35">
      <c r="A10" s="67" t="s">
        <v>8</v>
      </c>
      <c r="B10" s="68">
        <v>7389</v>
      </c>
      <c r="C10" s="47">
        <v>27912</v>
      </c>
      <c r="D10" s="69">
        <v>8693</v>
      </c>
      <c r="E10" s="47">
        <v>32838</v>
      </c>
      <c r="F10" s="70">
        <v>85</v>
      </c>
      <c r="G10" s="71">
        <v>85</v>
      </c>
      <c r="H10" s="72">
        <v>70584</v>
      </c>
      <c r="I10" s="47">
        <v>279999</v>
      </c>
      <c r="J10" s="69">
        <v>78098</v>
      </c>
      <c r="K10" s="47">
        <v>310676</v>
      </c>
      <c r="L10" s="70">
        <v>90.38</v>
      </c>
      <c r="M10" s="71">
        <v>90.13</v>
      </c>
      <c r="N10" s="72">
        <v>104047</v>
      </c>
      <c r="O10" s="47">
        <v>377038</v>
      </c>
      <c r="P10" s="69">
        <v>117967</v>
      </c>
      <c r="Q10" s="47">
        <v>427481</v>
      </c>
      <c r="R10" s="70">
        <v>88.2</v>
      </c>
      <c r="S10" s="71">
        <v>88.2</v>
      </c>
      <c r="T10" s="72">
        <v>2625</v>
      </c>
      <c r="U10" s="47">
        <v>9109</v>
      </c>
      <c r="V10" s="69">
        <v>2723</v>
      </c>
      <c r="W10" s="47">
        <v>9449</v>
      </c>
      <c r="X10" s="70">
        <v>96.4</v>
      </c>
      <c r="Y10" s="71">
        <v>96.4</v>
      </c>
      <c r="Z10" s="72">
        <v>2497</v>
      </c>
      <c r="AA10" s="47">
        <v>10292</v>
      </c>
      <c r="AB10" s="69">
        <v>2662</v>
      </c>
      <c r="AC10" s="47">
        <v>10972</v>
      </c>
      <c r="AD10" s="70">
        <v>93.8</v>
      </c>
      <c r="AE10" s="71">
        <v>93.8</v>
      </c>
      <c r="AF10" s="72">
        <v>11121</v>
      </c>
      <c r="AG10" s="47">
        <v>43655</v>
      </c>
      <c r="AH10" s="69">
        <v>15886</v>
      </c>
      <c r="AI10" s="47">
        <v>62364</v>
      </c>
      <c r="AJ10" s="70">
        <v>70</v>
      </c>
      <c r="AK10" s="71">
        <v>70</v>
      </c>
      <c r="AL10" s="73"/>
      <c r="AM10" s="47">
        <v>0</v>
      </c>
      <c r="AN10" s="44"/>
      <c r="AO10" s="47">
        <v>0</v>
      </c>
      <c r="AP10" s="47">
        <v>0</v>
      </c>
      <c r="AQ10" s="74">
        <v>0</v>
      </c>
      <c r="AR10" s="73"/>
      <c r="AS10" s="47">
        <v>0</v>
      </c>
      <c r="AT10" s="44"/>
      <c r="AU10" s="47">
        <v>0</v>
      </c>
      <c r="AV10" s="47">
        <v>0</v>
      </c>
      <c r="AW10" s="74">
        <v>0</v>
      </c>
      <c r="AX10" s="72">
        <v>198262</v>
      </c>
      <c r="AY10" s="47">
        <v>748005</v>
      </c>
      <c r="AZ10" s="69">
        <v>226030</v>
      </c>
      <c r="BA10" s="47">
        <v>853779</v>
      </c>
      <c r="BB10" s="70">
        <v>87.72</v>
      </c>
      <c r="BC10" s="71">
        <v>87.61</v>
      </c>
      <c r="BD10" s="72">
        <v>21135</v>
      </c>
      <c r="BE10" s="47">
        <v>80676</v>
      </c>
      <c r="BF10" s="69">
        <v>27303</v>
      </c>
      <c r="BG10" s="47">
        <v>104651</v>
      </c>
      <c r="BH10" s="70">
        <v>77.41</v>
      </c>
      <c r="BI10" s="71">
        <v>77.09</v>
      </c>
      <c r="BJ10" s="72">
        <v>190873</v>
      </c>
      <c r="BK10" s="47">
        <v>720093</v>
      </c>
      <c r="BL10" s="69">
        <v>217336</v>
      </c>
      <c r="BM10" s="47">
        <v>820941</v>
      </c>
      <c r="BN10" s="70">
        <v>87.82</v>
      </c>
      <c r="BO10" s="71">
        <v>87.72</v>
      </c>
      <c r="BP10" s="50"/>
      <c r="BQ10" s="75">
        <v>12.08</v>
      </c>
      <c r="BR10" s="75">
        <v>12.26</v>
      </c>
      <c r="BS10" s="50"/>
      <c r="BT10" s="50"/>
      <c r="BU10" s="72">
        <v>20783</v>
      </c>
      <c r="BV10" s="47">
        <v>72122</v>
      </c>
      <c r="BW10" s="69">
        <v>21762</v>
      </c>
      <c r="BX10" s="47">
        <v>75521</v>
      </c>
      <c r="BY10" s="70">
        <v>95.5</v>
      </c>
      <c r="BZ10" s="71">
        <v>95.5</v>
      </c>
      <c r="CA10" s="72">
        <v>49801</v>
      </c>
      <c r="CB10" s="47">
        <v>207877</v>
      </c>
      <c r="CC10" s="69">
        <v>56336</v>
      </c>
      <c r="CD10" s="47">
        <v>235155</v>
      </c>
      <c r="CE10" s="70">
        <v>88.4</v>
      </c>
      <c r="CF10" s="71">
        <v>88.4</v>
      </c>
      <c r="CG10" s="50"/>
      <c r="CH10" s="50"/>
      <c r="CI10" s="76">
        <v>198262</v>
      </c>
      <c r="CJ10" s="76" t="s">
        <v>65</v>
      </c>
      <c r="CK10" s="50"/>
      <c r="CL10" s="76">
        <v>226030</v>
      </c>
      <c r="CM10" s="76" t="s">
        <v>65</v>
      </c>
    </row>
    <row r="11" spans="1:91" ht="14.25" customHeight="1" x14ac:dyDescent="0.35">
      <c r="A11" s="67" t="s">
        <v>9</v>
      </c>
      <c r="B11" s="68">
        <v>7166</v>
      </c>
      <c r="C11" s="47">
        <v>35078</v>
      </c>
      <c r="D11" s="69">
        <v>8431</v>
      </c>
      <c r="E11" s="47">
        <v>41268</v>
      </c>
      <c r="F11" s="70">
        <v>85</v>
      </c>
      <c r="G11" s="71">
        <v>85</v>
      </c>
      <c r="H11" s="72">
        <v>67508</v>
      </c>
      <c r="I11" s="47">
        <v>347508</v>
      </c>
      <c r="J11" s="69">
        <v>74695</v>
      </c>
      <c r="K11" s="47">
        <v>385371</v>
      </c>
      <c r="L11" s="70">
        <v>90.38</v>
      </c>
      <c r="M11" s="71">
        <v>90.17</v>
      </c>
      <c r="N11" s="72">
        <v>102082</v>
      </c>
      <c r="O11" s="47">
        <v>479121</v>
      </c>
      <c r="P11" s="69">
        <v>115740</v>
      </c>
      <c r="Q11" s="47">
        <v>543221</v>
      </c>
      <c r="R11" s="70">
        <v>88.2</v>
      </c>
      <c r="S11" s="71">
        <v>88.2</v>
      </c>
      <c r="T11" s="72">
        <v>2510</v>
      </c>
      <c r="U11" s="47">
        <v>11620</v>
      </c>
      <c r="V11" s="69">
        <v>2604</v>
      </c>
      <c r="W11" s="47">
        <v>12053</v>
      </c>
      <c r="X11" s="70">
        <v>96.4</v>
      </c>
      <c r="Y11" s="71">
        <v>96.4</v>
      </c>
      <c r="Z11" s="72">
        <v>2388</v>
      </c>
      <c r="AA11" s="47">
        <v>12679</v>
      </c>
      <c r="AB11" s="69">
        <v>2546</v>
      </c>
      <c r="AC11" s="47">
        <v>13518</v>
      </c>
      <c r="AD11" s="70">
        <v>93.8</v>
      </c>
      <c r="AE11" s="71">
        <v>93.8</v>
      </c>
      <c r="AF11" s="72">
        <v>10630</v>
      </c>
      <c r="AG11" s="47">
        <v>54285</v>
      </c>
      <c r="AH11" s="69">
        <v>15186</v>
      </c>
      <c r="AI11" s="47">
        <v>77550</v>
      </c>
      <c r="AJ11" s="70">
        <v>70</v>
      </c>
      <c r="AK11" s="71">
        <v>70</v>
      </c>
      <c r="AL11" s="73"/>
      <c r="AM11" s="47">
        <v>0</v>
      </c>
      <c r="AN11" s="44"/>
      <c r="AO11" s="47">
        <v>0</v>
      </c>
      <c r="AP11" s="47">
        <v>0</v>
      </c>
      <c r="AQ11" s="74">
        <v>0</v>
      </c>
      <c r="AR11" s="73"/>
      <c r="AS11" s="47">
        <v>0</v>
      </c>
      <c r="AT11" s="44"/>
      <c r="AU11" s="47">
        <v>0</v>
      </c>
      <c r="AV11" s="47">
        <v>0</v>
      </c>
      <c r="AW11" s="74">
        <v>0</v>
      </c>
      <c r="AX11" s="72">
        <v>192285</v>
      </c>
      <c r="AY11" s="47">
        <v>940290</v>
      </c>
      <c r="AZ11" s="69">
        <v>219202</v>
      </c>
      <c r="BA11" s="47">
        <v>1072981</v>
      </c>
      <c r="BB11" s="70">
        <v>87.72</v>
      </c>
      <c r="BC11" s="71">
        <v>87.63</v>
      </c>
      <c r="BD11" s="72">
        <v>20307</v>
      </c>
      <c r="BE11" s="47">
        <v>100983</v>
      </c>
      <c r="BF11" s="69">
        <v>26221</v>
      </c>
      <c r="BG11" s="47">
        <v>130872</v>
      </c>
      <c r="BH11" s="70">
        <v>77.44</v>
      </c>
      <c r="BI11" s="71">
        <v>77.16</v>
      </c>
      <c r="BJ11" s="72">
        <v>185119</v>
      </c>
      <c r="BK11" s="47">
        <v>905212</v>
      </c>
      <c r="BL11" s="69">
        <v>210771</v>
      </c>
      <c r="BM11" s="47">
        <v>1031712</v>
      </c>
      <c r="BN11" s="70">
        <v>87.83</v>
      </c>
      <c r="BO11" s="71">
        <v>87.74</v>
      </c>
      <c r="BP11" s="50"/>
      <c r="BQ11" s="75">
        <v>11.96</v>
      </c>
      <c r="BR11" s="75">
        <v>12.2</v>
      </c>
      <c r="BS11" s="50"/>
      <c r="BT11" s="50"/>
      <c r="BU11" s="72">
        <v>19877</v>
      </c>
      <c r="BV11" s="47">
        <v>91999</v>
      </c>
      <c r="BW11" s="69">
        <v>20814</v>
      </c>
      <c r="BX11" s="47">
        <v>96334</v>
      </c>
      <c r="BY11" s="70">
        <v>95.5</v>
      </c>
      <c r="BZ11" s="71">
        <v>95.5</v>
      </c>
      <c r="CA11" s="72">
        <v>47631</v>
      </c>
      <c r="CB11" s="47">
        <v>255508</v>
      </c>
      <c r="CC11" s="69">
        <v>53881</v>
      </c>
      <c r="CD11" s="47">
        <v>289037</v>
      </c>
      <c r="CE11" s="70">
        <v>88.4</v>
      </c>
      <c r="CF11" s="71">
        <v>88.4</v>
      </c>
      <c r="CG11" s="50"/>
      <c r="CH11" s="50"/>
      <c r="CI11" s="76">
        <v>192285</v>
      </c>
      <c r="CJ11" s="76" t="s">
        <v>65</v>
      </c>
      <c r="CK11" s="50"/>
      <c r="CL11" s="76">
        <v>219202</v>
      </c>
      <c r="CM11" s="76" t="s">
        <v>65</v>
      </c>
    </row>
    <row r="12" spans="1:91" ht="14.25" customHeight="1" x14ac:dyDescent="0.35">
      <c r="A12" s="67" t="s">
        <v>10</v>
      </c>
      <c r="B12" s="68">
        <v>7376</v>
      </c>
      <c r="C12" s="47">
        <v>42454</v>
      </c>
      <c r="D12" s="69">
        <v>8678</v>
      </c>
      <c r="E12" s="47">
        <v>49946</v>
      </c>
      <c r="F12" s="70">
        <v>85</v>
      </c>
      <c r="G12" s="71">
        <v>85</v>
      </c>
      <c r="H12" s="72">
        <v>72946</v>
      </c>
      <c r="I12" s="47">
        <v>420453</v>
      </c>
      <c r="J12" s="69">
        <v>80712</v>
      </c>
      <c r="K12" s="47">
        <v>466082</v>
      </c>
      <c r="L12" s="70">
        <v>90.38</v>
      </c>
      <c r="M12" s="71">
        <v>90.21</v>
      </c>
      <c r="N12" s="72">
        <v>101978</v>
      </c>
      <c r="O12" s="47">
        <v>581098</v>
      </c>
      <c r="P12" s="69">
        <v>115621</v>
      </c>
      <c r="Q12" s="47">
        <v>658842</v>
      </c>
      <c r="R12" s="70">
        <v>88.2</v>
      </c>
      <c r="S12" s="71">
        <v>88.2</v>
      </c>
      <c r="T12" s="72">
        <v>2713</v>
      </c>
      <c r="U12" s="47">
        <v>14332</v>
      </c>
      <c r="V12" s="69">
        <v>2814</v>
      </c>
      <c r="W12" s="47">
        <v>14867</v>
      </c>
      <c r="X12" s="70">
        <v>96.4</v>
      </c>
      <c r="Y12" s="71">
        <v>96.4</v>
      </c>
      <c r="Z12" s="72">
        <v>1343</v>
      </c>
      <c r="AA12" s="47">
        <v>14023</v>
      </c>
      <c r="AB12" s="69">
        <v>1432</v>
      </c>
      <c r="AC12" s="47">
        <v>14950</v>
      </c>
      <c r="AD12" s="70">
        <v>93.8</v>
      </c>
      <c r="AE12" s="71">
        <v>93.8</v>
      </c>
      <c r="AF12" s="72">
        <v>11454</v>
      </c>
      <c r="AG12" s="47">
        <v>65739</v>
      </c>
      <c r="AH12" s="69">
        <v>16363</v>
      </c>
      <c r="AI12" s="47">
        <v>93912</v>
      </c>
      <c r="AJ12" s="70">
        <v>70</v>
      </c>
      <c r="AK12" s="71">
        <v>70</v>
      </c>
      <c r="AL12" s="73"/>
      <c r="AM12" s="47">
        <v>0</v>
      </c>
      <c r="AN12" s="44"/>
      <c r="AO12" s="47">
        <v>0</v>
      </c>
      <c r="AP12" s="47">
        <v>0</v>
      </c>
      <c r="AQ12" s="74">
        <v>0</v>
      </c>
      <c r="AR12" s="73"/>
      <c r="AS12" s="47">
        <v>0</v>
      </c>
      <c r="AT12" s="44"/>
      <c r="AU12" s="47">
        <v>0</v>
      </c>
      <c r="AV12" s="47">
        <v>0</v>
      </c>
      <c r="AW12" s="74">
        <v>0</v>
      </c>
      <c r="AX12" s="72">
        <v>197810</v>
      </c>
      <c r="AY12" s="47">
        <v>1138100</v>
      </c>
      <c r="AZ12" s="69">
        <v>225619</v>
      </c>
      <c r="BA12" s="47">
        <v>1298600</v>
      </c>
      <c r="BB12" s="70">
        <v>87.67</v>
      </c>
      <c r="BC12" s="71">
        <v>87.64</v>
      </c>
      <c r="BD12" s="72">
        <v>21543</v>
      </c>
      <c r="BE12" s="47">
        <v>122525</v>
      </c>
      <c r="BF12" s="69">
        <v>27854</v>
      </c>
      <c r="BG12" s="47">
        <v>158726</v>
      </c>
      <c r="BH12" s="70">
        <v>77.34</v>
      </c>
      <c r="BI12" s="71">
        <v>77.19</v>
      </c>
      <c r="BJ12" s="72">
        <v>190434</v>
      </c>
      <c r="BK12" s="47">
        <v>1095646</v>
      </c>
      <c r="BL12" s="69">
        <v>216941</v>
      </c>
      <c r="BM12" s="47">
        <v>1248654</v>
      </c>
      <c r="BN12" s="70">
        <v>87.78</v>
      </c>
      <c r="BO12" s="71">
        <v>87.75</v>
      </c>
      <c r="BP12" s="50"/>
      <c r="BQ12" s="75">
        <v>12.35</v>
      </c>
      <c r="BR12" s="75">
        <v>12.22</v>
      </c>
      <c r="BS12" s="50"/>
      <c r="BT12" s="50"/>
      <c r="BU12" s="72">
        <v>21478</v>
      </c>
      <c r="BV12" s="47">
        <v>113477</v>
      </c>
      <c r="BW12" s="69">
        <v>22490</v>
      </c>
      <c r="BX12" s="47">
        <v>118824</v>
      </c>
      <c r="BY12" s="70">
        <v>95.5</v>
      </c>
      <c r="BZ12" s="71">
        <v>95.5</v>
      </c>
      <c r="CA12" s="72">
        <v>51468</v>
      </c>
      <c r="CB12" s="47">
        <v>306976</v>
      </c>
      <c r="CC12" s="69">
        <v>58221</v>
      </c>
      <c r="CD12" s="47">
        <v>347258</v>
      </c>
      <c r="CE12" s="70">
        <v>88.4</v>
      </c>
      <c r="CF12" s="71">
        <v>88.4</v>
      </c>
      <c r="CG12" s="50"/>
      <c r="CH12" s="50"/>
      <c r="CI12" s="76">
        <v>197810</v>
      </c>
      <c r="CJ12" s="76" t="s">
        <v>65</v>
      </c>
      <c r="CK12" s="50"/>
      <c r="CL12" s="76">
        <v>225619</v>
      </c>
      <c r="CM12" s="76" t="s">
        <v>65</v>
      </c>
    </row>
    <row r="13" spans="1:91" ht="14.25" customHeight="1" x14ac:dyDescent="0.35">
      <c r="A13" s="67" t="s">
        <v>11</v>
      </c>
      <c r="B13" s="68">
        <v>7390</v>
      </c>
      <c r="C13" s="47">
        <v>49844</v>
      </c>
      <c r="D13" s="69">
        <v>8694</v>
      </c>
      <c r="E13" s="47">
        <v>58640</v>
      </c>
      <c r="F13" s="70">
        <v>85</v>
      </c>
      <c r="G13" s="71">
        <v>85</v>
      </c>
      <c r="H13" s="72">
        <v>70570</v>
      </c>
      <c r="I13" s="47">
        <v>491024</v>
      </c>
      <c r="J13" s="69">
        <v>78083</v>
      </c>
      <c r="K13" s="47">
        <v>544166</v>
      </c>
      <c r="L13" s="70">
        <v>90.38</v>
      </c>
      <c r="M13" s="71">
        <v>90.23</v>
      </c>
      <c r="N13" s="72">
        <v>104067</v>
      </c>
      <c r="O13" s="47">
        <v>685165</v>
      </c>
      <c r="P13" s="69">
        <v>117990</v>
      </c>
      <c r="Q13" s="47">
        <v>776831</v>
      </c>
      <c r="R13" s="70">
        <v>88.2</v>
      </c>
      <c r="S13" s="71">
        <v>88.2</v>
      </c>
      <c r="T13" s="72">
        <v>2624</v>
      </c>
      <c r="U13" s="47">
        <v>16957</v>
      </c>
      <c r="V13" s="69">
        <v>2722</v>
      </c>
      <c r="W13" s="47">
        <v>17590</v>
      </c>
      <c r="X13" s="70">
        <v>96.4</v>
      </c>
      <c r="Y13" s="71">
        <v>96.4</v>
      </c>
      <c r="Z13" s="72">
        <v>2496</v>
      </c>
      <c r="AA13" s="47">
        <v>16519</v>
      </c>
      <c r="AB13" s="69">
        <v>2661</v>
      </c>
      <c r="AC13" s="47">
        <v>17611</v>
      </c>
      <c r="AD13" s="70">
        <v>93.8</v>
      </c>
      <c r="AE13" s="71">
        <v>93.8</v>
      </c>
      <c r="AF13" s="72">
        <v>11118</v>
      </c>
      <c r="AG13" s="47">
        <v>76857</v>
      </c>
      <c r="AH13" s="69">
        <v>15883</v>
      </c>
      <c r="AI13" s="47">
        <v>109796</v>
      </c>
      <c r="AJ13" s="70">
        <v>70</v>
      </c>
      <c r="AK13" s="71">
        <v>70</v>
      </c>
      <c r="AL13" s="73"/>
      <c r="AM13" s="47">
        <v>0</v>
      </c>
      <c r="AN13" s="44"/>
      <c r="AO13" s="47">
        <v>0</v>
      </c>
      <c r="AP13" s="47">
        <v>0</v>
      </c>
      <c r="AQ13" s="74">
        <v>0</v>
      </c>
      <c r="AR13" s="73"/>
      <c r="AS13" s="47">
        <v>0</v>
      </c>
      <c r="AT13" s="44"/>
      <c r="AU13" s="47">
        <v>0</v>
      </c>
      <c r="AV13" s="47">
        <v>0</v>
      </c>
      <c r="AW13" s="74">
        <v>0</v>
      </c>
      <c r="AX13" s="72">
        <v>198266</v>
      </c>
      <c r="AY13" s="47">
        <v>1336365</v>
      </c>
      <c r="AZ13" s="69">
        <v>226033</v>
      </c>
      <c r="BA13" s="47">
        <v>1524633</v>
      </c>
      <c r="BB13" s="70">
        <v>87.72</v>
      </c>
      <c r="BC13" s="71">
        <v>87.65</v>
      </c>
      <c r="BD13" s="72">
        <v>21132</v>
      </c>
      <c r="BE13" s="47">
        <v>143657</v>
      </c>
      <c r="BF13" s="69">
        <v>27299</v>
      </c>
      <c r="BG13" s="47">
        <v>186025</v>
      </c>
      <c r="BH13" s="70">
        <v>77.41</v>
      </c>
      <c r="BI13" s="71">
        <v>77.22</v>
      </c>
      <c r="BJ13" s="72">
        <v>190876</v>
      </c>
      <c r="BK13" s="47">
        <v>1286522</v>
      </c>
      <c r="BL13" s="69">
        <v>217340</v>
      </c>
      <c r="BM13" s="47">
        <v>1465993</v>
      </c>
      <c r="BN13" s="70">
        <v>87.82</v>
      </c>
      <c r="BO13" s="71">
        <v>87.76</v>
      </c>
      <c r="BP13" s="50"/>
      <c r="BQ13" s="75">
        <v>12.08</v>
      </c>
      <c r="BR13" s="75">
        <v>12.2</v>
      </c>
      <c r="BS13" s="50"/>
      <c r="BT13" s="50"/>
      <c r="BU13" s="72">
        <v>20779</v>
      </c>
      <c r="BV13" s="47">
        <v>134256</v>
      </c>
      <c r="BW13" s="69">
        <v>21758</v>
      </c>
      <c r="BX13" s="47">
        <v>140582</v>
      </c>
      <c r="BY13" s="70">
        <v>95.5</v>
      </c>
      <c r="BZ13" s="71">
        <v>95.5</v>
      </c>
      <c r="CA13" s="72">
        <v>49792</v>
      </c>
      <c r="CB13" s="47">
        <v>356768</v>
      </c>
      <c r="CC13" s="69">
        <v>56325</v>
      </c>
      <c r="CD13" s="47">
        <v>403583</v>
      </c>
      <c r="CE13" s="70">
        <v>88.4</v>
      </c>
      <c r="CF13" s="71">
        <v>88.4</v>
      </c>
      <c r="CG13" s="50"/>
      <c r="CH13" s="50"/>
      <c r="CI13" s="76">
        <v>198266</v>
      </c>
      <c r="CJ13" s="76" t="s">
        <v>65</v>
      </c>
      <c r="CK13" s="50"/>
      <c r="CL13" s="76">
        <v>226033</v>
      </c>
      <c r="CM13" s="76" t="s">
        <v>65</v>
      </c>
    </row>
    <row r="14" spans="1:91" ht="14.25" customHeight="1" x14ac:dyDescent="0.35">
      <c r="A14" s="67" t="s">
        <v>12</v>
      </c>
      <c r="B14" s="68">
        <v>7152</v>
      </c>
      <c r="C14" s="47">
        <v>56996</v>
      </c>
      <c r="D14" s="69">
        <v>8414</v>
      </c>
      <c r="E14" s="47">
        <v>67054</v>
      </c>
      <c r="F14" s="70">
        <v>85</v>
      </c>
      <c r="G14" s="71">
        <v>85</v>
      </c>
      <c r="H14" s="72">
        <v>70581</v>
      </c>
      <c r="I14" s="47">
        <v>561605</v>
      </c>
      <c r="J14" s="69">
        <v>78095</v>
      </c>
      <c r="K14" s="47">
        <v>622261</v>
      </c>
      <c r="L14" s="70">
        <v>90.38</v>
      </c>
      <c r="M14" s="71">
        <v>90.25</v>
      </c>
      <c r="N14" s="72">
        <v>99001</v>
      </c>
      <c r="O14" s="47">
        <v>784167</v>
      </c>
      <c r="P14" s="69">
        <v>112246</v>
      </c>
      <c r="Q14" s="47">
        <v>889078</v>
      </c>
      <c r="R14" s="70">
        <v>88.2</v>
      </c>
      <c r="S14" s="71">
        <v>88.2</v>
      </c>
      <c r="T14" s="72">
        <v>2625</v>
      </c>
      <c r="U14" s="47">
        <v>19581</v>
      </c>
      <c r="V14" s="69">
        <v>2723</v>
      </c>
      <c r="W14" s="47">
        <v>20313</v>
      </c>
      <c r="X14" s="70">
        <v>96.4</v>
      </c>
      <c r="Y14" s="71">
        <v>96.4</v>
      </c>
      <c r="Z14" s="72">
        <v>1300</v>
      </c>
      <c r="AA14" s="47">
        <v>17819</v>
      </c>
      <c r="AB14" s="69">
        <v>1386</v>
      </c>
      <c r="AC14" s="47">
        <v>18997</v>
      </c>
      <c r="AD14" s="70">
        <v>93.8</v>
      </c>
      <c r="AE14" s="71">
        <v>93.8</v>
      </c>
      <c r="AF14" s="72">
        <v>11131</v>
      </c>
      <c r="AG14" s="47">
        <v>87988</v>
      </c>
      <c r="AH14" s="69">
        <v>15902</v>
      </c>
      <c r="AI14" s="47">
        <v>125697</v>
      </c>
      <c r="AJ14" s="70">
        <v>70</v>
      </c>
      <c r="AK14" s="71">
        <v>70</v>
      </c>
      <c r="AL14" s="73"/>
      <c r="AM14" s="47">
        <v>0</v>
      </c>
      <c r="AN14" s="44"/>
      <c r="AO14" s="47">
        <v>0</v>
      </c>
      <c r="AP14" s="47">
        <v>0</v>
      </c>
      <c r="AQ14" s="74">
        <v>0</v>
      </c>
      <c r="AR14" s="73"/>
      <c r="AS14" s="47">
        <v>0</v>
      </c>
      <c r="AT14" s="44"/>
      <c r="AU14" s="47">
        <v>0</v>
      </c>
      <c r="AV14" s="47">
        <v>0</v>
      </c>
      <c r="AW14" s="74">
        <v>0</v>
      </c>
      <c r="AX14" s="72">
        <v>191790</v>
      </c>
      <c r="AY14" s="47">
        <v>1528156</v>
      </c>
      <c r="AZ14" s="69">
        <v>218766</v>
      </c>
      <c r="BA14" s="47">
        <v>1743399</v>
      </c>
      <c r="BB14" s="70">
        <v>87.67</v>
      </c>
      <c r="BC14" s="71">
        <v>87.65</v>
      </c>
      <c r="BD14" s="72">
        <v>20908</v>
      </c>
      <c r="BE14" s="47">
        <v>164565</v>
      </c>
      <c r="BF14" s="69">
        <v>27038</v>
      </c>
      <c r="BG14" s="47">
        <v>213064</v>
      </c>
      <c r="BH14" s="70">
        <v>77.33</v>
      </c>
      <c r="BI14" s="71">
        <v>77.239999999999995</v>
      </c>
      <c r="BJ14" s="72">
        <v>184638</v>
      </c>
      <c r="BK14" s="47">
        <v>1471160</v>
      </c>
      <c r="BL14" s="69">
        <v>210352</v>
      </c>
      <c r="BM14" s="47">
        <v>1676345</v>
      </c>
      <c r="BN14" s="70">
        <v>87.78</v>
      </c>
      <c r="BO14" s="71">
        <v>87.76</v>
      </c>
      <c r="BP14" s="50"/>
      <c r="BQ14" s="75">
        <v>12.36</v>
      </c>
      <c r="BR14" s="75">
        <v>12.22</v>
      </c>
      <c r="BS14" s="50"/>
      <c r="BT14" s="50"/>
      <c r="BU14" s="72">
        <v>20782</v>
      </c>
      <c r="BV14" s="47">
        <v>155038</v>
      </c>
      <c r="BW14" s="69">
        <v>21761</v>
      </c>
      <c r="BX14" s="47">
        <v>162343</v>
      </c>
      <c r="BY14" s="70">
        <v>95.5</v>
      </c>
      <c r="BZ14" s="71">
        <v>95.5</v>
      </c>
      <c r="CA14" s="72">
        <v>49799</v>
      </c>
      <c r="CB14" s="47">
        <v>406567</v>
      </c>
      <c r="CC14" s="69">
        <v>56334</v>
      </c>
      <c r="CD14" s="47">
        <v>459918</v>
      </c>
      <c r="CE14" s="70">
        <v>88.4</v>
      </c>
      <c r="CF14" s="71">
        <v>88.4</v>
      </c>
      <c r="CG14" s="50"/>
      <c r="CH14" s="50"/>
      <c r="CI14" s="76">
        <v>191790</v>
      </c>
      <c r="CJ14" s="76" t="s">
        <v>65</v>
      </c>
      <c r="CK14" s="50"/>
      <c r="CL14" s="76">
        <v>218766</v>
      </c>
      <c r="CM14" s="76" t="s">
        <v>65</v>
      </c>
    </row>
    <row r="15" spans="1:91" ht="14.25" customHeight="1" x14ac:dyDescent="0.35">
      <c r="A15" s="67" t="s">
        <v>13</v>
      </c>
      <c r="B15" s="68">
        <v>7879</v>
      </c>
      <c r="C15" s="47">
        <v>64874</v>
      </c>
      <c r="D15" s="69">
        <v>9269</v>
      </c>
      <c r="E15" s="47">
        <v>76323</v>
      </c>
      <c r="F15" s="70">
        <v>85</v>
      </c>
      <c r="G15" s="71">
        <v>85</v>
      </c>
      <c r="H15" s="72">
        <v>77756</v>
      </c>
      <c r="I15" s="47">
        <v>639361</v>
      </c>
      <c r="J15" s="69">
        <v>86034</v>
      </c>
      <c r="K15" s="47">
        <v>708295</v>
      </c>
      <c r="L15" s="70">
        <v>90.38</v>
      </c>
      <c r="M15" s="71">
        <v>90.27</v>
      </c>
      <c r="N15" s="72">
        <v>89079</v>
      </c>
      <c r="O15" s="47">
        <v>873246</v>
      </c>
      <c r="P15" s="69">
        <v>100997</v>
      </c>
      <c r="Q15" s="47">
        <v>990075</v>
      </c>
      <c r="R15" s="70">
        <v>88.2</v>
      </c>
      <c r="S15" s="71">
        <v>88.2</v>
      </c>
      <c r="T15" s="72">
        <v>2892</v>
      </c>
      <c r="U15" s="47">
        <v>22473</v>
      </c>
      <c r="V15" s="69">
        <v>3000</v>
      </c>
      <c r="W15" s="47">
        <v>23312</v>
      </c>
      <c r="X15" s="70">
        <v>96.4</v>
      </c>
      <c r="Y15" s="71">
        <v>96.4</v>
      </c>
      <c r="Z15" s="72">
        <v>1249</v>
      </c>
      <c r="AA15" s="47">
        <v>19068</v>
      </c>
      <c r="AB15" s="69">
        <v>1332</v>
      </c>
      <c r="AC15" s="47">
        <v>20328</v>
      </c>
      <c r="AD15" s="70">
        <v>93.8</v>
      </c>
      <c r="AE15" s="71">
        <v>93.8</v>
      </c>
      <c r="AF15" s="72">
        <v>13925</v>
      </c>
      <c r="AG15" s="47">
        <v>101913</v>
      </c>
      <c r="AH15" s="69">
        <v>19892</v>
      </c>
      <c r="AI15" s="47">
        <v>145589</v>
      </c>
      <c r="AJ15" s="70">
        <v>70</v>
      </c>
      <c r="AK15" s="71">
        <v>70</v>
      </c>
      <c r="AL15" s="73"/>
      <c r="AM15" s="47">
        <v>0</v>
      </c>
      <c r="AN15" s="44"/>
      <c r="AO15" s="47">
        <v>0</v>
      </c>
      <c r="AP15" s="47">
        <v>0</v>
      </c>
      <c r="AQ15" s="74">
        <v>0</v>
      </c>
      <c r="AR15" s="73"/>
      <c r="AS15" s="47">
        <v>0</v>
      </c>
      <c r="AT15" s="44"/>
      <c r="AU15" s="47">
        <v>0</v>
      </c>
      <c r="AV15" s="47">
        <v>0</v>
      </c>
      <c r="AW15" s="74">
        <v>0</v>
      </c>
      <c r="AX15" s="72">
        <v>192779</v>
      </c>
      <c r="AY15" s="47">
        <v>1720935</v>
      </c>
      <c r="AZ15" s="69">
        <v>220523</v>
      </c>
      <c r="BA15" s="47">
        <v>1963922</v>
      </c>
      <c r="BB15" s="70">
        <v>87.42</v>
      </c>
      <c r="BC15" s="71">
        <v>87.63</v>
      </c>
      <c r="BD15" s="72">
        <v>24695</v>
      </c>
      <c r="BE15" s="47">
        <v>189260</v>
      </c>
      <c r="BF15" s="69">
        <v>32161</v>
      </c>
      <c r="BG15" s="47">
        <v>245225</v>
      </c>
      <c r="BH15" s="70">
        <v>76.790000000000006</v>
      </c>
      <c r="BI15" s="71">
        <v>77.180000000000007</v>
      </c>
      <c r="BJ15" s="72">
        <v>184900</v>
      </c>
      <c r="BK15" s="47">
        <v>1656060</v>
      </c>
      <c r="BL15" s="69">
        <v>211254</v>
      </c>
      <c r="BM15" s="47">
        <v>1887599</v>
      </c>
      <c r="BN15" s="70">
        <v>87.53</v>
      </c>
      <c r="BO15" s="71">
        <v>87.73</v>
      </c>
      <c r="BP15" s="50"/>
      <c r="BQ15" s="75">
        <v>14.58</v>
      </c>
      <c r="BR15" s="75">
        <v>12.49</v>
      </c>
      <c r="BS15" s="50"/>
      <c r="BT15" s="50"/>
      <c r="BU15" s="72">
        <v>22894</v>
      </c>
      <c r="BV15" s="47">
        <v>177932</v>
      </c>
      <c r="BW15" s="69">
        <v>23973</v>
      </c>
      <c r="BX15" s="47">
        <v>186317</v>
      </c>
      <c r="BY15" s="70">
        <v>95.5</v>
      </c>
      <c r="BZ15" s="71">
        <v>95.5</v>
      </c>
      <c r="CA15" s="72">
        <v>54862</v>
      </c>
      <c r="CB15" s="47">
        <v>461429</v>
      </c>
      <c r="CC15" s="69">
        <v>62061</v>
      </c>
      <c r="CD15" s="47">
        <v>521978</v>
      </c>
      <c r="CE15" s="70">
        <v>88.4</v>
      </c>
      <c r="CF15" s="71">
        <v>88.4</v>
      </c>
      <c r="CG15" s="50"/>
      <c r="CH15" s="50"/>
      <c r="CI15" s="76">
        <v>192779</v>
      </c>
      <c r="CJ15" s="76" t="s">
        <v>65</v>
      </c>
      <c r="CK15" s="50"/>
      <c r="CL15" s="76">
        <v>220523</v>
      </c>
      <c r="CM15" s="76" t="s">
        <v>65</v>
      </c>
    </row>
    <row r="16" spans="1:91" ht="14.25" customHeight="1" x14ac:dyDescent="0.35">
      <c r="A16" s="67" t="s">
        <v>14</v>
      </c>
      <c r="B16" s="68">
        <v>7537</v>
      </c>
      <c r="C16" s="47">
        <v>72411</v>
      </c>
      <c r="D16" s="69">
        <v>8867</v>
      </c>
      <c r="E16" s="47">
        <v>85190</v>
      </c>
      <c r="F16" s="70">
        <v>85</v>
      </c>
      <c r="G16" s="71">
        <v>85</v>
      </c>
      <c r="H16" s="72">
        <v>72917</v>
      </c>
      <c r="I16" s="47">
        <v>712278</v>
      </c>
      <c r="J16" s="69">
        <v>80577</v>
      </c>
      <c r="K16" s="47">
        <v>788871</v>
      </c>
      <c r="L16" s="70">
        <v>90.49</v>
      </c>
      <c r="M16" s="71">
        <v>90.29</v>
      </c>
      <c r="N16" s="72">
        <v>88299</v>
      </c>
      <c r="O16" s="47">
        <v>961545</v>
      </c>
      <c r="P16" s="69">
        <v>100112</v>
      </c>
      <c r="Q16" s="47">
        <v>1090187</v>
      </c>
      <c r="R16" s="70">
        <v>88.2</v>
      </c>
      <c r="S16" s="71">
        <v>88.2</v>
      </c>
      <c r="T16" s="72">
        <v>2867</v>
      </c>
      <c r="U16" s="47">
        <v>25340</v>
      </c>
      <c r="V16" s="69">
        <v>2974</v>
      </c>
      <c r="W16" s="47">
        <v>26286</v>
      </c>
      <c r="X16" s="70">
        <v>96.4</v>
      </c>
      <c r="Y16" s="71">
        <v>96.4</v>
      </c>
      <c r="Z16" s="72">
        <v>1238</v>
      </c>
      <c r="AA16" s="47">
        <v>20306</v>
      </c>
      <c r="AB16" s="69">
        <v>1320</v>
      </c>
      <c r="AC16" s="47">
        <v>21648</v>
      </c>
      <c r="AD16" s="70">
        <v>93.8</v>
      </c>
      <c r="AE16" s="71">
        <v>93.8</v>
      </c>
      <c r="AF16" s="72">
        <v>13784</v>
      </c>
      <c r="AG16" s="47">
        <v>115696</v>
      </c>
      <c r="AH16" s="69">
        <v>19691</v>
      </c>
      <c r="AI16" s="47">
        <v>165280</v>
      </c>
      <c r="AJ16" s="70">
        <v>70</v>
      </c>
      <c r="AK16" s="71">
        <v>70</v>
      </c>
      <c r="AL16" s="73"/>
      <c r="AM16" s="47">
        <v>0</v>
      </c>
      <c r="AN16" s="44"/>
      <c r="AO16" s="47">
        <v>0</v>
      </c>
      <c r="AP16" s="47">
        <v>0</v>
      </c>
      <c r="AQ16" s="74">
        <v>0</v>
      </c>
      <c r="AR16" s="73"/>
      <c r="AS16" s="47">
        <v>0</v>
      </c>
      <c r="AT16" s="44"/>
      <c r="AU16" s="47">
        <v>0</v>
      </c>
      <c r="AV16" s="47">
        <v>0</v>
      </c>
      <c r="AW16" s="74">
        <v>0</v>
      </c>
      <c r="AX16" s="72">
        <v>186641</v>
      </c>
      <c r="AY16" s="47">
        <v>1907576</v>
      </c>
      <c r="AZ16" s="69">
        <v>213540</v>
      </c>
      <c r="BA16" s="47">
        <v>2177462</v>
      </c>
      <c r="BB16" s="70">
        <v>87.4</v>
      </c>
      <c r="BC16" s="71">
        <v>87.61</v>
      </c>
      <c r="BD16" s="72">
        <v>24187</v>
      </c>
      <c r="BE16" s="47">
        <v>213447</v>
      </c>
      <c r="BF16" s="69">
        <v>31531</v>
      </c>
      <c r="BG16" s="47">
        <v>276756</v>
      </c>
      <c r="BH16" s="70">
        <v>76.709999999999994</v>
      </c>
      <c r="BI16" s="71">
        <v>77.12</v>
      </c>
      <c r="BJ16" s="72">
        <v>179105</v>
      </c>
      <c r="BK16" s="47">
        <v>1835165</v>
      </c>
      <c r="BL16" s="69">
        <v>204673</v>
      </c>
      <c r="BM16" s="47">
        <v>2092273</v>
      </c>
      <c r="BN16" s="70">
        <v>87.51</v>
      </c>
      <c r="BO16" s="71">
        <v>87.71</v>
      </c>
      <c r="BP16" s="50"/>
      <c r="BQ16" s="75">
        <v>14.77</v>
      </c>
      <c r="BR16" s="75">
        <v>12.71</v>
      </c>
      <c r="BS16" s="50"/>
      <c r="BT16" s="50"/>
      <c r="BU16" s="72">
        <v>22698</v>
      </c>
      <c r="BV16" s="47">
        <v>200630</v>
      </c>
      <c r="BW16" s="69">
        <v>23767</v>
      </c>
      <c r="BX16" s="47">
        <v>210084</v>
      </c>
      <c r="BY16" s="70">
        <v>95.5</v>
      </c>
      <c r="BZ16" s="71">
        <v>95.5</v>
      </c>
      <c r="CA16" s="72">
        <v>50219</v>
      </c>
      <c r="CB16" s="47">
        <v>511648</v>
      </c>
      <c r="CC16" s="69">
        <v>56809</v>
      </c>
      <c r="CD16" s="47">
        <v>578787</v>
      </c>
      <c r="CE16" s="70">
        <v>88.4</v>
      </c>
      <c r="CF16" s="71">
        <v>88.4</v>
      </c>
      <c r="CG16" s="50"/>
      <c r="CH16" s="50"/>
      <c r="CI16" s="76">
        <v>186641</v>
      </c>
      <c r="CJ16" s="76" t="s">
        <v>65</v>
      </c>
      <c r="CK16" s="50"/>
      <c r="CL16" s="76">
        <v>213540</v>
      </c>
      <c r="CM16" s="76" t="s">
        <v>65</v>
      </c>
    </row>
    <row r="17" spans="1:91" ht="14.25" customHeight="1" x14ac:dyDescent="0.35">
      <c r="A17" s="67" t="s">
        <v>15</v>
      </c>
      <c r="B17" s="77">
        <v>7976</v>
      </c>
      <c r="C17" s="78">
        <v>80387</v>
      </c>
      <c r="D17" s="79">
        <v>9384</v>
      </c>
      <c r="E17" s="78">
        <v>94573</v>
      </c>
      <c r="F17" s="80">
        <v>85</v>
      </c>
      <c r="G17" s="81">
        <v>85</v>
      </c>
      <c r="H17" s="82">
        <v>75632</v>
      </c>
      <c r="I17" s="78">
        <v>787910</v>
      </c>
      <c r="J17" s="79">
        <v>83746</v>
      </c>
      <c r="K17" s="78">
        <v>872617</v>
      </c>
      <c r="L17" s="80">
        <v>90.31</v>
      </c>
      <c r="M17" s="81">
        <v>90.29</v>
      </c>
      <c r="N17" s="82">
        <v>97492</v>
      </c>
      <c r="O17" s="78">
        <v>1059037</v>
      </c>
      <c r="P17" s="79">
        <v>110536</v>
      </c>
      <c r="Q17" s="78">
        <v>1200722</v>
      </c>
      <c r="R17" s="80">
        <v>88.2</v>
      </c>
      <c r="S17" s="81">
        <v>88.2</v>
      </c>
      <c r="T17" s="82">
        <v>2719</v>
      </c>
      <c r="U17" s="78">
        <v>28059</v>
      </c>
      <c r="V17" s="79">
        <v>2820</v>
      </c>
      <c r="W17" s="78">
        <v>29106</v>
      </c>
      <c r="X17" s="80">
        <v>96.4</v>
      </c>
      <c r="Y17" s="81">
        <v>96.4</v>
      </c>
      <c r="Z17" s="82">
        <v>2586</v>
      </c>
      <c r="AA17" s="78">
        <v>22892</v>
      </c>
      <c r="AB17" s="79">
        <v>2757</v>
      </c>
      <c r="AC17" s="78">
        <v>24406</v>
      </c>
      <c r="AD17" s="80">
        <v>93.8</v>
      </c>
      <c r="AE17" s="81">
        <v>93.8</v>
      </c>
      <c r="AF17" s="82">
        <v>13088</v>
      </c>
      <c r="AG17" s="78">
        <v>128784</v>
      </c>
      <c r="AH17" s="79">
        <v>18697</v>
      </c>
      <c r="AI17" s="78">
        <v>183977</v>
      </c>
      <c r="AJ17" s="80">
        <v>70</v>
      </c>
      <c r="AK17" s="81">
        <v>70</v>
      </c>
      <c r="AL17" s="83"/>
      <c r="AM17" s="78">
        <v>0</v>
      </c>
      <c r="AN17" s="84"/>
      <c r="AO17" s="78">
        <v>0</v>
      </c>
      <c r="AP17" s="78">
        <v>0</v>
      </c>
      <c r="AQ17" s="85">
        <v>0</v>
      </c>
      <c r="AR17" s="83"/>
      <c r="AS17" s="78">
        <v>0</v>
      </c>
      <c r="AT17" s="84"/>
      <c r="AU17" s="78">
        <v>0</v>
      </c>
      <c r="AV17" s="78">
        <v>0</v>
      </c>
      <c r="AW17" s="85">
        <v>0</v>
      </c>
      <c r="AX17" s="82">
        <v>199493</v>
      </c>
      <c r="AY17" s="78">
        <v>2107069</v>
      </c>
      <c r="AZ17" s="79">
        <v>227940</v>
      </c>
      <c r="BA17" s="78">
        <v>2405402</v>
      </c>
      <c r="BB17" s="80">
        <v>87.52</v>
      </c>
      <c r="BC17" s="81">
        <v>87.6</v>
      </c>
      <c r="BD17" s="82">
        <v>23783</v>
      </c>
      <c r="BE17" s="78">
        <v>237230</v>
      </c>
      <c r="BF17" s="79">
        <v>30901</v>
      </c>
      <c r="BG17" s="78">
        <v>307657</v>
      </c>
      <c r="BH17" s="80">
        <v>76.959999999999994</v>
      </c>
      <c r="BI17" s="81">
        <v>77.11</v>
      </c>
      <c r="BJ17" s="82">
        <v>191517</v>
      </c>
      <c r="BK17" s="78">
        <v>2026682</v>
      </c>
      <c r="BL17" s="79">
        <v>218556</v>
      </c>
      <c r="BM17" s="78">
        <v>2310829</v>
      </c>
      <c r="BN17" s="80">
        <v>87.63</v>
      </c>
      <c r="BO17" s="81">
        <v>87.7</v>
      </c>
      <c r="BP17" s="50"/>
      <c r="BQ17" s="75">
        <v>13.56</v>
      </c>
      <c r="BR17" s="75">
        <v>12.79</v>
      </c>
      <c r="BS17" s="50"/>
      <c r="BT17" s="50"/>
      <c r="BU17" s="82">
        <v>21527</v>
      </c>
      <c r="BV17" s="78">
        <v>222158</v>
      </c>
      <c r="BW17" s="79">
        <v>22542</v>
      </c>
      <c r="BX17" s="78">
        <v>232626</v>
      </c>
      <c r="BY17" s="80">
        <v>95.5</v>
      </c>
      <c r="BZ17" s="81">
        <v>95.5</v>
      </c>
      <c r="CA17" s="82">
        <v>54104</v>
      </c>
      <c r="CB17" s="78">
        <v>565752</v>
      </c>
      <c r="CC17" s="79">
        <v>61204</v>
      </c>
      <c r="CD17" s="78">
        <v>639991</v>
      </c>
      <c r="CE17" s="80">
        <v>88.4</v>
      </c>
      <c r="CF17" s="81">
        <v>88.4</v>
      </c>
      <c r="CG17" s="50"/>
      <c r="CH17" s="50"/>
      <c r="CI17" s="76">
        <v>199493</v>
      </c>
      <c r="CJ17" s="76" t="s">
        <v>65</v>
      </c>
      <c r="CK17" s="50"/>
      <c r="CL17" s="76">
        <v>227940</v>
      </c>
      <c r="CM17" s="76" t="s">
        <v>65</v>
      </c>
    </row>
    <row r="18" spans="1:91" ht="14.25" customHeight="1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10">
        <v>0</v>
      </c>
      <c r="BC18" s="10">
        <v>0</v>
      </c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</row>
    <row r="19" spans="1:91" ht="14.25" customHeight="1" x14ac:dyDescent="0.35">
      <c r="A19" s="50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  <c r="BC19" s="48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50"/>
      <c r="CH19" s="50"/>
      <c r="CI19" s="50"/>
      <c r="CJ19" s="50"/>
      <c r="CK19" s="50"/>
      <c r="CL19" s="50"/>
      <c r="CM19" s="50"/>
    </row>
    <row r="20" spans="1:91" ht="14.25" customHeight="1" x14ac:dyDescent="0.35">
      <c r="A20" s="56" t="s">
        <v>108</v>
      </c>
      <c r="B20" s="50"/>
      <c r="C20" s="50"/>
      <c r="D20" s="50"/>
      <c r="E20" s="50"/>
      <c r="F20" s="50"/>
      <c r="G20" s="50"/>
      <c r="H20" s="56" t="s">
        <v>109</v>
      </c>
      <c r="I20" s="50"/>
      <c r="J20" s="50"/>
      <c r="K20" s="50"/>
      <c r="L20" s="50"/>
      <c r="M20" s="50"/>
      <c r="N20" s="56" t="s">
        <v>110</v>
      </c>
      <c r="O20" s="50"/>
      <c r="P20" s="50"/>
      <c r="Q20" s="50"/>
      <c r="R20" s="50"/>
      <c r="S20" s="50"/>
      <c r="T20" s="56" t="s">
        <v>111</v>
      </c>
      <c r="U20" s="50"/>
      <c r="V20" s="50"/>
      <c r="W20" s="50"/>
      <c r="X20" s="50"/>
      <c r="Y20" s="50"/>
      <c r="Z20" s="56" t="s">
        <v>112</v>
      </c>
      <c r="AA20" s="50"/>
      <c r="AB20" s="50"/>
      <c r="AC20" s="50"/>
      <c r="AD20" s="50"/>
      <c r="AE20" s="50"/>
      <c r="AF20" s="43" t="s">
        <v>113</v>
      </c>
      <c r="AG20" s="42"/>
      <c r="AH20" s="42"/>
      <c r="AI20" s="42"/>
      <c r="AJ20" s="42"/>
      <c r="AK20" s="42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</row>
    <row r="21" spans="1:91" ht="14.25" customHeight="1" x14ac:dyDescent="0.35">
      <c r="A21" s="57" t="s">
        <v>102</v>
      </c>
      <c r="B21" s="58" t="s">
        <v>2</v>
      </c>
      <c r="C21" s="59"/>
      <c r="D21" s="58" t="s">
        <v>3</v>
      </c>
      <c r="E21" s="59"/>
      <c r="F21" s="58" t="s">
        <v>103</v>
      </c>
      <c r="G21" s="60"/>
      <c r="H21" s="61" t="s">
        <v>2</v>
      </c>
      <c r="I21" s="59"/>
      <c r="J21" s="58" t="s">
        <v>3</v>
      </c>
      <c r="K21" s="59"/>
      <c r="L21" s="58" t="s">
        <v>103</v>
      </c>
      <c r="M21" s="60"/>
      <c r="N21" s="61" t="s">
        <v>2</v>
      </c>
      <c r="O21" s="59"/>
      <c r="P21" s="58" t="s">
        <v>3</v>
      </c>
      <c r="Q21" s="59"/>
      <c r="R21" s="58" t="s">
        <v>103</v>
      </c>
      <c r="S21" s="60"/>
      <c r="T21" s="61" t="s">
        <v>2</v>
      </c>
      <c r="U21" s="59"/>
      <c r="V21" s="58" t="s">
        <v>3</v>
      </c>
      <c r="W21" s="59"/>
      <c r="X21" s="58" t="s">
        <v>103</v>
      </c>
      <c r="Y21" s="60"/>
      <c r="Z21" s="61" t="s">
        <v>2</v>
      </c>
      <c r="AA21" s="59"/>
      <c r="AB21" s="58" t="s">
        <v>3</v>
      </c>
      <c r="AC21" s="59"/>
      <c r="AD21" s="58" t="s">
        <v>103</v>
      </c>
      <c r="AE21" s="86"/>
      <c r="AF21" s="61" t="s">
        <v>2</v>
      </c>
      <c r="AG21" s="59"/>
      <c r="AH21" s="58" t="s">
        <v>3</v>
      </c>
      <c r="AI21" s="59"/>
      <c r="AJ21" s="58" t="s">
        <v>103</v>
      </c>
      <c r="AK21" s="86"/>
      <c r="AL21" s="50"/>
      <c r="AM21" s="1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</row>
    <row r="22" spans="1:91" ht="14.25" customHeight="1" x14ac:dyDescent="0.35">
      <c r="A22" s="87" t="s">
        <v>102</v>
      </c>
      <c r="B22" s="63" t="s">
        <v>106</v>
      </c>
      <c r="C22" s="63" t="s">
        <v>107</v>
      </c>
      <c r="D22" s="63" t="s">
        <v>106</v>
      </c>
      <c r="E22" s="63" t="s">
        <v>107</v>
      </c>
      <c r="F22" s="63" t="s">
        <v>106</v>
      </c>
      <c r="G22" s="64" t="s">
        <v>107</v>
      </c>
      <c r="H22" s="65" t="s">
        <v>106</v>
      </c>
      <c r="I22" s="63" t="s">
        <v>107</v>
      </c>
      <c r="J22" s="63" t="s">
        <v>106</v>
      </c>
      <c r="K22" s="63" t="s">
        <v>107</v>
      </c>
      <c r="L22" s="63" t="s">
        <v>106</v>
      </c>
      <c r="M22" s="64" t="s">
        <v>107</v>
      </c>
      <c r="N22" s="65" t="s">
        <v>106</v>
      </c>
      <c r="O22" s="63" t="s">
        <v>107</v>
      </c>
      <c r="P22" s="63" t="s">
        <v>106</v>
      </c>
      <c r="Q22" s="63" t="s">
        <v>107</v>
      </c>
      <c r="R22" s="63" t="s">
        <v>106</v>
      </c>
      <c r="S22" s="64" t="s">
        <v>107</v>
      </c>
      <c r="T22" s="65" t="s">
        <v>106</v>
      </c>
      <c r="U22" s="63" t="s">
        <v>107</v>
      </c>
      <c r="V22" s="63" t="s">
        <v>106</v>
      </c>
      <c r="W22" s="63" t="s">
        <v>107</v>
      </c>
      <c r="X22" s="63" t="s">
        <v>106</v>
      </c>
      <c r="Y22" s="64" t="s">
        <v>107</v>
      </c>
      <c r="Z22" s="65" t="s">
        <v>106</v>
      </c>
      <c r="AA22" s="63" t="s">
        <v>107</v>
      </c>
      <c r="AB22" s="63" t="s">
        <v>106</v>
      </c>
      <c r="AC22" s="63" t="s">
        <v>107</v>
      </c>
      <c r="AD22" s="63" t="s">
        <v>106</v>
      </c>
      <c r="AE22" s="64" t="s">
        <v>107</v>
      </c>
      <c r="AF22" s="65" t="s">
        <v>106</v>
      </c>
      <c r="AG22" s="63" t="s">
        <v>107</v>
      </c>
      <c r="AH22" s="63" t="s">
        <v>106</v>
      </c>
      <c r="AI22" s="63" t="s">
        <v>107</v>
      </c>
      <c r="AJ22" s="63" t="s">
        <v>106</v>
      </c>
      <c r="AK22" s="64" t="s">
        <v>107</v>
      </c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</row>
    <row r="23" spans="1:91" ht="14.25" customHeight="1" x14ac:dyDescent="0.35">
      <c r="A23" s="67" t="s">
        <v>4</v>
      </c>
      <c r="B23" s="68">
        <v>131214</v>
      </c>
      <c r="C23" s="47">
        <v>131214</v>
      </c>
      <c r="D23" s="69">
        <v>226231</v>
      </c>
      <c r="E23" s="47">
        <v>226231</v>
      </c>
      <c r="F23" s="70">
        <v>58</v>
      </c>
      <c r="G23" s="71">
        <v>58</v>
      </c>
      <c r="H23" s="72">
        <v>0</v>
      </c>
      <c r="I23" s="47">
        <v>0</v>
      </c>
      <c r="J23" s="69">
        <v>0</v>
      </c>
      <c r="K23" s="47">
        <v>0</v>
      </c>
      <c r="L23" s="70">
        <v>0</v>
      </c>
      <c r="M23" s="71">
        <v>0</v>
      </c>
      <c r="N23" s="72">
        <v>145703</v>
      </c>
      <c r="O23" s="47">
        <v>145703</v>
      </c>
      <c r="P23" s="47">
        <v>245516</v>
      </c>
      <c r="Q23" s="47">
        <v>245516</v>
      </c>
      <c r="R23" s="70">
        <v>59.35</v>
      </c>
      <c r="S23" s="71">
        <v>59.35</v>
      </c>
      <c r="T23" s="72">
        <v>281383</v>
      </c>
      <c r="U23" s="47">
        <v>281383</v>
      </c>
      <c r="V23" s="47">
        <v>397707</v>
      </c>
      <c r="W23" s="47">
        <v>397707</v>
      </c>
      <c r="X23" s="70">
        <v>70.75</v>
      </c>
      <c r="Y23" s="71">
        <v>70.75</v>
      </c>
      <c r="Z23" s="72">
        <v>131214</v>
      </c>
      <c r="AA23" s="47">
        <v>131214</v>
      </c>
      <c r="AB23" s="47">
        <v>226231</v>
      </c>
      <c r="AC23" s="47">
        <v>226231</v>
      </c>
      <c r="AD23" s="70">
        <v>58</v>
      </c>
      <c r="AE23" s="71">
        <v>58</v>
      </c>
      <c r="AF23" s="72" t="e">
        <f>HLOOKUP($A23,#REF!,33,)</f>
        <v>#REF!</v>
      </c>
      <c r="AG23" s="47" t="e">
        <f>AF23</f>
        <v>#REF!</v>
      </c>
      <c r="AH23" s="47" t="e">
        <f>HLOOKUP($A23,#REF!,33,)</f>
        <v>#REF!</v>
      </c>
      <c r="AI23" s="47" t="e">
        <f>AH23</f>
        <v>#REF!</v>
      </c>
      <c r="AJ23" s="70">
        <f t="shared" ref="AJ23:AK23" si="0">IFERROR(AF23/AH23*100,0)</f>
        <v>0</v>
      </c>
      <c r="AK23" s="71">
        <f t="shared" si="0"/>
        <v>0</v>
      </c>
      <c r="AL23" s="48"/>
      <c r="AM23" s="88"/>
      <c r="AN23" s="10"/>
      <c r="AO23" s="46"/>
      <c r="AP23" s="76" t="s">
        <v>65</v>
      </c>
      <c r="AQ23" s="10" t="s">
        <v>65</v>
      </c>
      <c r="AR23" s="46"/>
      <c r="AS23" s="46"/>
      <c r="AT23" s="50"/>
      <c r="AU23" s="89"/>
      <c r="AV23" s="89"/>
      <c r="AW23" s="50"/>
      <c r="AX23" s="50"/>
      <c r="AY23" s="50"/>
      <c r="AZ23" s="50"/>
      <c r="BA23" s="50"/>
      <c r="BB23" s="88">
        <v>87.13</v>
      </c>
      <c r="BC23" s="88">
        <v>87.13</v>
      </c>
      <c r="BD23" s="90">
        <v>0.44</v>
      </c>
      <c r="BE23" s="90">
        <v>0.44</v>
      </c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</row>
    <row r="24" spans="1:91" ht="14.25" customHeight="1" x14ac:dyDescent="0.35">
      <c r="A24" s="67" t="s">
        <v>5</v>
      </c>
      <c r="B24" s="68">
        <v>110973</v>
      </c>
      <c r="C24" s="47">
        <v>242187</v>
      </c>
      <c r="D24" s="69">
        <v>191332</v>
      </c>
      <c r="E24" s="47">
        <v>417563</v>
      </c>
      <c r="F24" s="70">
        <v>58</v>
      </c>
      <c r="G24" s="71">
        <v>58</v>
      </c>
      <c r="H24" s="72">
        <v>0</v>
      </c>
      <c r="I24" s="47">
        <v>0</v>
      </c>
      <c r="J24" s="69">
        <v>0</v>
      </c>
      <c r="K24" s="47">
        <v>0</v>
      </c>
      <c r="L24" s="70">
        <v>0</v>
      </c>
      <c r="M24" s="71">
        <v>0</v>
      </c>
      <c r="N24" s="72">
        <v>126064</v>
      </c>
      <c r="O24" s="47">
        <v>271766</v>
      </c>
      <c r="P24" s="47">
        <v>211411</v>
      </c>
      <c r="Q24" s="47">
        <v>456926</v>
      </c>
      <c r="R24" s="70">
        <v>59.63</v>
      </c>
      <c r="S24" s="71">
        <v>59.48</v>
      </c>
      <c r="T24" s="72">
        <v>268304</v>
      </c>
      <c r="U24" s="47">
        <v>549687</v>
      </c>
      <c r="V24" s="47">
        <v>370960</v>
      </c>
      <c r="W24" s="47">
        <v>768668</v>
      </c>
      <c r="X24" s="70">
        <v>72.33</v>
      </c>
      <c r="Y24" s="71">
        <v>71.510000000000005</v>
      </c>
      <c r="Z24" s="72">
        <v>110973</v>
      </c>
      <c r="AA24" s="47">
        <v>242187</v>
      </c>
      <c r="AB24" s="47">
        <v>191332</v>
      </c>
      <c r="AC24" s="47">
        <v>417563</v>
      </c>
      <c r="AD24" s="70">
        <v>58</v>
      </c>
      <c r="AE24" s="71">
        <v>58</v>
      </c>
      <c r="AF24" s="72" t="e">
        <f>HLOOKUP($A24,#REF!,33,)</f>
        <v>#REF!</v>
      </c>
      <c r="AG24" s="47" t="e">
        <f t="shared" ref="AG24:AG34" si="1">AF24+AG23</f>
        <v>#REF!</v>
      </c>
      <c r="AH24" s="47" t="e">
        <f>HLOOKUP($A24,#REF!,33,)</f>
        <v>#REF!</v>
      </c>
      <c r="AI24" s="47" t="e">
        <f t="shared" ref="AI24:AI34" si="2">AH24+AI23</f>
        <v>#REF!</v>
      </c>
      <c r="AJ24" s="70">
        <f t="shared" ref="AJ24:AK24" si="3">IFERROR(AF24/AH24*100,0)</f>
        <v>0</v>
      </c>
      <c r="AK24" s="71">
        <f t="shared" si="3"/>
        <v>0</v>
      </c>
      <c r="AL24" s="48"/>
      <c r="AM24" s="88"/>
      <c r="AN24" s="10"/>
      <c r="AO24" s="46"/>
      <c r="AP24" s="76" t="s">
        <v>65</v>
      </c>
      <c r="AQ24" s="10" t="s">
        <v>65</v>
      </c>
      <c r="AR24" s="46"/>
      <c r="AS24" s="46"/>
      <c r="AT24" s="50"/>
      <c r="AU24" s="89"/>
      <c r="AV24" s="89"/>
      <c r="AW24" s="50"/>
      <c r="AX24" s="50"/>
      <c r="AY24" s="50"/>
      <c r="AZ24" s="50"/>
      <c r="BA24" s="50"/>
      <c r="BB24" s="88">
        <v>87.14</v>
      </c>
      <c r="BC24" s="88">
        <v>87.14</v>
      </c>
      <c r="BD24" s="90">
        <v>0.45</v>
      </c>
      <c r="BE24" s="90">
        <v>0.45</v>
      </c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</row>
    <row r="25" spans="1:91" ht="14.25" customHeight="1" x14ac:dyDescent="0.35">
      <c r="A25" s="67" t="s">
        <v>6</v>
      </c>
      <c r="B25" s="68">
        <v>73998</v>
      </c>
      <c r="C25" s="47">
        <v>316185</v>
      </c>
      <c r="D25" s="69">
        <v>127583</v>
      </c>
      <c r="E25" s="47">
        <v>545146</v>
      </c>
      <c r="F25" s="70">
        <v>58</v>
      </c>
      <c r="G25" s="71">
        <v>58</v>
      </c>
      <c r="H25" s="72">
        <v>0</v>
      </c>
      <c r="I25" s="47">
        <v>0</v>
      </c>
      <c r="J25" s="69">
        <v>0</v>
      </c>
      <c r="K25" s="47">
        <v>0</v>
      </c>
      <c r="L25" s="70">
        <v>0</v>
      </c>
      <c r="M25" s="71">
        <v>0</v>
      </c>
      <c r="N25" s="72">
        <v>83005</v>
      </c>
      <c r="O25" s="47">
        <v>354772</v>
      </c>
      <c r="P25" s="47">
        <v>139581</v>
      </c>
      <c r="Q25" s="47">
        <v>596508</v>
      </c>
      <c r="R25" s="70">
        <v>59.47</v>
      </c>
      <c r="S25" s="71">
        <v>59.47</v>
      </c>
      <c r="T25" s="72">
        <v>166311</v>
      </c>
      <c r="U25" s="47">
        <v>715998</v>
      </c>
      <c r="V25" s="47">
        <v>233024</v>
      </c>
      <c r="W25" s="47">
        <v>1001692</v>
      </c>
      <c r="X25" s="70">
        <v>71.37</v>
      </c>
      <c r="Y25" s="71">
        <v>71.48</v>
      </c>
      <c r="Z25" s="72">
        <v>73998</v>
      </c>
      <c r="AA25" s="47">
        <v>316185</v>
      </c>
      <c r="AB25" s="47">
        <v>127583</v>
      </c>
      <c r="AC25" s="47">
        <v>545146</v>
      </c>
      <c r="AD25" s="70">
        <v>58</v>
      </c>
      <c r="AE25" s="71">
        <v>58</v>
      </c>
      <c r="AF25" s="72" t="e">
        <f>HLOOKUP($A25,#REF!,33,)</f>
        <v>#REF!</v>
      </c>
      <c r="AG25" s="47" t="e">
        <f t="shared" si="1"/>
        <v>#REF!</v>
      </c>
      <c r="AH25" s="47" t="e">
        <f>HLOOKUP($A25,#REF!,33,)</f>
        <v>#REF!</v>
      </c>
      <c r="AI25" s="47" t="e">
        <f t="shared" si="2"/>
        <v>#REF!</v>
      </c>
      <c r="AJ25" s="70">
        <f t="shared" ref="AJ25:AK25" si="4">IFERROR(AF25/AH25*100,0)</f>
        <v>0</v>
      </c>
      <c r="AK25" s="71">
        <f t="shared" si="4"/>
        <v>0</v>
      </c>
      <c r="AL25" s="48"/>
      <c r="AM25" s="88"/>
      <c r="AN25" s="10"/>
      <c r="AO25" s="46"/>
      <c r="AP25" s="76" t="s">
        <v>65</v>
      </c>
      <c r="AQ25" s="10" t="s">
        <v>65</v>
      </c>
      <c r="AR25" s="46"/>
      <c r="AS25" s="46"/>
      <c r="AT25" s="50"/>
      <c r="AU25" s="89"/>
      <c r="AV25" s="89"/>
      <c r="AW25" s="50"/>
      <c r="AX25" s="50"/>
      <c r="AY25" s="50"/>
      <c r="AZ25" s="50"/>
      <c r="BA25" s="50"/>
      <c r="BB25" s="88">
        <v>87.12</v>
      </c>
      <c r="BC25" s="88">
        <v>87.13</v>
      </c>
      <c r="BD25" s="90">
        <v>0.43</v>
      </c>
      <c r="BE25" s="90">
        <v>0.44</v>
      </c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</row>
    <row r="26" spans="1:91" ht="14.25" customHeight="1" x14ac:dyDescent="0.35">
      <c r="A26" s="67" t="s">
        <v>7</v>
      </c>
      <c r="B26" s="68">
        <v>107056</v>
      </c>
      <c r="C26" s="47">
        <v>423241</v>
      </c>
      <c r="D26" s="69">
        <v>184580</v>
      </c>
      <c r="E26" s="47">
        <v>729726</v>
      </c>
      <c r="F26" s="70">
        <v>58</v>
      </c>
      <c r="G26" s="71">
        <v>58</v>
      </c>
      <c r="H26" s="72">
        <v>0</v>
      </c>
      <c r="I26" s="47">
        <v>0</v>
      </c>
      <c r="J26" s="69">
        <v>0</v>
      </c>
      <c r="K26" s="47">
        <v>0</v>
      </c>
      <c r="L26" s="70">
        <v>0</v>
      </c>
      <c r="M26" s="71">
        <v>0</v>
      </c>
      <c r="N26" s="72">
        <v>121526</v>
      </c>
      <c r="O26" s="47">
        <v>476298</v>
      </c>
      <c r="P26" s="47">
        <v>203840</v>
      </c>
      <c r="Q26" s="47">
        <v>800347</v>
      </c>
      <c r="R26" s="70">
        <v>59.62</v>
      </c>
      <c r="S26" s="71">
        <v>59.51</v>
      </c>
      <c r="T26" s="72">
        <v>256985</v>
      </c>
      <c r="U26" s="47">
        <v>972983</v>
      </c>
      <c r="V26" s="47">
        <v>355783</v>
      </c>
      <c r="W26" s="47">
        <v>1357475</v>
      </c>
      <c r="X26" s="70">
        <v>72.23</v>
      </c>
      <c r="Y26" s="71">
        <v>71.680000000000007</v>
      </c>
      <c r="Z26" s="72">
        <v>107056</v>
      </c>
      <c r="AA26" s="47">
        <v>423241</v>
      </c>
      <c r="AB26" s="47">
        <v>184580</v>
      </c>
      <c r="AC26" s="47">
        <v>729726</v>
      </c>
      <c r="AD26" s="70">
        <v>58</v>
      </c>
      <c r="AE26" s="71">
        <v>58</v>
      </c>
      <c r="AF26" s="72" t="e">
        <f>HLOOKUP($A26,#REF!,33,)</f>
        <v>#REF!</v>
      </c>
      <c r="AG26" s="47" t="e">
        <f t="shared" si="1"/>
        <v>#REF!</v>
      </c>
      <c r="AH26" s="47" t="e">
        <f>HLOOKUP($A26,#REF!,33,)</f>
        <v>#REF!</v>
      </c>
      <c r="AI26" s="47" t="e">
        <f t="shared" si="2"/>
        <v>#REF!</v>
      </c>
      <c r="AJ26" s="70">
        <f t="shared" ref="AJ26:AK26" si="5">IFERROR(AF26/AH26*100,0)</f>
        <v>0</v>
      </c>
      <c r="AK26" s="71">
        <f t="shared" si="5"/>
        <v>0</v>
      </c>
      <c r="AL26" s="48"/>
      <c r="AM26" s="88"/>
      <c r="AN26" s="10"/>
      <c r="AO26" s="46"/>
      <c r="AP26" s="76" t="s">
        <v>65</v>
      </c>
      <c r="AQ26" s="10" t="s">
        <v>65</v>
      </c>
      <c r="AR26" s="46"/>
      <c r="AS26" s="46"/>
      <c r="AT26" s="50"/>
      <c r="AU26" s="89"/>
      <c r="AV26" s="89"/>
      <c r="AW26" s="50"/>
      <c r="AX26" s="50"/>
      <c r="AY26" s="50"/>
      <c r="AZ26" s="50"/>
      <c r="BA26" s="50"/>
      <c r="BB26" s="88">
        <v>87.13</v>
      </c>
      <c r="BC26" s="88">
        <v>87.13</v>
      </c>
      <c r="BD26" s="90">
        <v>0.45</v>
      </c>
      <c r="BE26" s="90">
        <v>0.44</v>
      </c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</row>
    <row r="27" spans="1:91" ht="14.25" customHeight="1" x14ac:dyDescent="0.35">
      <c r="A27" s="67" t="s">
        <v>8</v>
      </c>
      <c r="B27" s="68">
        <v>130337</v>
      </c>
      <c r="C27" s="47">
        <v>553578</v>
      </c>
      <c r="D27" s="69">
        <v>224719</v>
      </c>
      <c r="E27" s="47">
        <v>954444</v>
      </c>
      <c r="F27" s="70">
        <v>58</v>
      </c>
      <c r="G27" s="71">
        <v>58</v>
      </c>
      <c r="H27" s="72">
        <v>0</v>
      </c>
      <c r="I27" s="47">
        <v>0</v>
      </c>
      <c r="J27" s="69">
        <v>0</v>
      </c>
      <c r="K27" s="47">
        <v>0</v>
      </c>
      <c r="L27" s="70">
        <v>0</v>
      </c>
      <c r="M27" s="71">
        <v>0</v>
      </c>
      <c r="N27" s="72">
        <v>148847</v>
      </c>
      <c r="O27" s="47">
        <v>625144</v>
      </c>
      <c r="P27" s="47">
        <v>249299</v>
      </c>
      <c r="Q27" s="47">
        <v>1049646</v>
      </c>
      <c r="R27" s="70">
        <v>59.71</v>
      </c>
      <c r="S27" s="71">
        <v>59.56</v>
      </c>
      <c r="T27" s="72">
        <v>328599</v>
      </c>
      <c r="U27" s="47">
        <v>1301582</v>
      </c>
      <c r="V27" s="47">
        <v>450748</v>
      </c>
      <c r="W27" s="47">
        <v>1808224</v>
      </c>
      <c r="X27" s="70">
        <v>72.900000000000006</v>
      </c>
      <c r="Y27" s="71">
        <v>71.98</v>
      </c>
      <c r="Z27" s="72">
        <v>130337</v>
      </c>
      <c r="AA27" s="47">
        <v>553578</v>
      </c>
      <c r="AB27" s="47">
        <v>224719</v>
      </c>
      <c r="AC27" s="47">
        <v>954444</v>
      </c>
      <c r="AD27" s="70">
        <v>58</v>
      </c>
      <c r="AE27" s="71">
        <v>58</v>
      </c>
      <c r="AF27" s="72">
        <f>'hanya untuk update angka foreca'!AF27</f>
        <v>0</v>
      </c>
      <c r="AG27" s="47" t="e">
        <f t="shared" si="1"/>
        <v>#REF!</v>
      </c>
      <c r="AH27" s="47">
        <f>'hanya untuk update angka foreca'!AH27</f>
        <v>0</v>
      </c>
      <c r="AI27" s="47" t="e">
        <f t="shared" si="2"/>
        <v>#REF!</v>
      </c>
      <c r="AJ27" s="70">
        <f t="shared" ref="AJ27:AK27" si="6">IFERROR(AF27/AH27*100,0)</f>
        <v>0</v>
      </c>
      <c r="AK27" s="71">
        <f t="shared" si="6"/>
        <v>0</v>
      </c>
      <c r="AL27" s="48"/>
      <c r="AM27" s="88"/>
      <c r="AN27" s="10"/>
      <c r="AO27" s="46"/>
      <c r="AP27" s="76" t="s">
        <v>65</v>
      </c>
      <c r="AQ27" s="10" t="s">
        <v>65</v>
      </c>
      <c r="AR27" s="46"/>
      <c r="AS27" s="46"/>
      <c r="AT27" s="50"/>
      <c r="AU27" s="89"/>
      <c r="AV27" s="89"/>
      <c r="AW27" s="50"/>
      <c r="AX27" s="50"/>
      <c r="AY27" s="50"/>
      <c r="AZ27" s="50"/>
      <c r="BA27" s="50"/>
      <c r="BB27" s="88">
        <v>87.14</v>
      </c>
      <c r="BC27" s="88">
        <v>87.13</v>
      </c>
      <c r="BD27" s="90">
        <v>0.57999999999999996</v>
      </c>
      <c r="BE27" s="90">
        <v>0.48</v>
      </c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</row>
    <row r="28" spans="1:91" ht="14.25" customHeight="1" x14ac:dyDescent="0.35">
      <c r="A28" s="67" t="s">
        <v>9</v>
      </c>
      <c r="B28" s="68">
        <v>143114</v>
      </c>
      <c r="C28" s="47">
        <v>696692</v>
      </c>
      <c r="D28" s="69">
        <v>246748</v>
      </c>
      <c r="E28" s="47">
        <v>1201193</v>
      </c>
      <c r="F28" s="70">
        <v>58</v>
      </c>
      <c r="G28" s="71">
        <v>58</v>
      </c>
      <c r="H28" s="72">
        <v>0</v>
      </c>
      <c r="I28" s="47">
        <v>0</v>
      </c>
      <c r="J28" s="69">
        <v>0</v>
      </c>
      <c r="K28" s="47">
        <v>0</v>
      </c>
      <c r="L28" s="70">
        <v>0</v>
      </c>
      <c r="M28" s="71">
        <v>0</v>
      </c>
      <c r="N28" s="72">
        <v>160910</v>
      </c>
      <c r="O28" s="47">
        <v>786055</v>
      </c>
      <c r="P28" s="47">
        <v>270365</v>
      </c>
      <c r="Q28" s="47">
        <v>1320011</v>
      </c>
      <c r="R28" s="70">
        <v>59.52</v>
      </c>
      <c r="S28" s="71">
        <v>59.55</v>
      </c>
      <c r="T28" s="72">
        <v>335399</v>
      </c>
      <c r="U28" s="47">
        <v>1636982</v>
      </c>
      <c r="V28" s="47">
        <v>465950</v>
      </c>
      <c r="W28" s="47">
        <v>2274173</v>
      </c>
      <c r="X28" s="70">
        <v>71.98</v>
      </c>
      <c r="Y28" s="71">
        <v>71.98</v>
      </c>
      <c r="Z28" s="72">
        <v>143114</v>
      </c>
      <c r="AA28" s="47">
        <v>696692</v>
      </c>
      <c r="AB28" s="47">
        <v>246748</v>
      </c>
      <c r="AC28" s="47">
        <v>1201193</v>
      </c>
      <c r="AD28" s="70">
        <v>58</v>
      </c>
      <c r="AE28" s="71">
        <v>58</v>
      </c>
      <c r="AF28" s="72">
        <f>'hanya untuk update angka foreca'!AF28</f>
        <v>0</v>
      </c>
      <c r="AG28" s="47" t="e">
        <f t="shared" si="1"/>
        <v>#REF!</v>
      </c>
      <c r="AH28" s="47">
        <f>'hanya untuk update angka foreca'!AH28</f>
        <v>0</v>
      </c>
      <c r="AI28" s="47" t="e">
        <f t="shared" si="2"/>
        <v>#REF!</v>
      </c>
      <c r="AJ28" s="70">
        <f t="shared" ref="AJ28:AK28" si="7">IFERROR(AF28/AH28*100,0)</f>
        <v>0</v>
      </c>
      <c r="AK28" s="71">
        <f t="shared" si="7"/>
        <v>0</v>
      </c>
      <c r="AL28" s="48"/>
      <c r="AM28" s="88"/>
      <c r="AN28" s="10"/>
      <c r="AO28" s="46"/>
      <c r="AP28" s="76" t="s">
        <v>65</v>
      </c>
      <c r="AQ28" s="10" t="s">
        <v>65</v>
      </c>
      <c r="AR28" s="46"/>
      <c r="AS28" s="46"/>
      <c r="AT28" s="50"/>
      <c r="AU28" s="89"/>
      <c r="AV28" s="89"/>
      <c r="AW28" s="50"/>
      <c r="AX28" s="50"/>
      <c r="AY28" s="50"/>
      <c r="AZ28" s="50"/>
      <c r="BA28" s="50"/>
      <c r="BB28" s="88">
        <v>87.13</v>
      </c>
      <c r="BC28" s="88">
        <v>87.13</v>
      </c>
      <c r="BD28" s="90">
        <v>0.59</v>
      </c>
      <c r="BE28" s="90">
        <v>0.5</v>
      </c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</row>
    <row r="29" spans="1:91" ht="14.25" customHeight="1" x14ac:dyDescent="0.35">
      <c r="A29" s="67" t="s">
        <v>10</v>
      </c>
      <c r="B29" s="68">
        <v>149333</v>
      </c>
      <c r="C29" s="47">
        <v>846025</v>
      </c>
      <c r="D29" s="69">
        <v>257471</v>
      </c>
      <c r="E29" s="47">
        <v>1458664</v>
      </c>
      <c r="F29" s="70">
        <v>58</v>
      </c>
      <c r="G29" s="71">
        <v>58</v>
      </c>
      <c r="H29" s="72">
        <v>0</v>
      </c>
      <c r="I29" s="47">
        <v>0</v>
      </c>
      <c r="J29" s="69">
        <v>0</v>
      </c>
      <c r="K29" s="47">
        <v>0</v>
      </c>
      <c r="L29" s="70">
        <v>0</v>
      </c>
      <c r="M29" s="71">
        <v>0</v>
      </c>
      <c r="N29" s="72">
        <v>168163</v>
      </c>
      <c r="O29" s="47">
        <v>954218</v>
      </c>
      <c r="P29" s="47">
        <v>282511</v>
      </c>
      <c r="Q29" s="47">
        <v>1602522</v>
      </c>
      <c r="R29" s="70">
        <v>59.52</v>
      </c>
      <c r="S29" s="71">
        <v>59.54</v>
      </c>
      <c r="T29" s="72">
        <v>347143</v>
      </c>
      <c r="U29" s="47">
        <v>1984125</v>
      </c>
      <c r="V29" s="47">
        <v>483090</v>
      </c>
      <c r="W29" s="47">
        <v>2757263</v>
      </c>
      <c r="X29" s="70">
        <v>71.86</v>
      </c>
      <c r="Y29" s="71">
        <v>71.959999999999994</v>
      </c>
      <c r="Z29" s="72">
        <v>149333</v>
      </c>
      <c r="AA29" s="47">
        <v>846025</v>
      </c>
      <c r="AB29" s="47">
        <v>257471</v>
      </c>
      <c r="AC29" s="47">
        <v>1458664</v>
      </c>
      <c r="AD29" s="70">
        <v>58</v>
      </c>
      <c r="AE29" s="71">
        <v>58</v>
      </c>
      <c r="AF29" s="72">
        <f>'hanya untuk update angka foreca'!AF29</f>
        <v>0</v>
      </c>
      <c r="AG29" s="47" t="e">
        <f t="shared" si="1"/>
        <v>#REF!</v>
      </c>
      <c r="AH29" s="47">
        <f>'hanya untuk update angka foreca'!AH29</f>
        <v>0</v>
      </c>
      <c r="AI29" s="47" t="e">
        <f t="shared" si="2"/>
        <v>#REF!</v>
      </c>
      <c r="AJ29" s="70">
        <f t="shared" ref="AJ29:AK29" si="8">IFERROR(AF29/AH29*100,0)</f>
        <v>0</v>
      </c>
      <c r="AK29" s="71">
        <f t="shared" si="8"/>
        <v>0</v>
      </c>
      <c r="AL29" s="48"/>
      <c r="AM29" s="88"/>
      <c r="AN29" s="10"/>
      <c r="AO29" s="46"/>
      <c r="AP29" s="76" t="s">
        <v>65</v>
      </c>
      <c r="AQ29" s="10" t="s">
        <v>65</v>
      </c>
      <c r="AR29" s="46"/>
      <c r="AS29" s="46"/>
      <c r="AT29" s="50"/>
      <c r="AU29" s="89"/>
      <c r="AV29" s="89"/>
      <c r="AW29" s="50"/>
      <c r="AX29" s="50"/>
      <c r="AY29" s="50"/>
      <c r="AZ29" s="50"/>
      <c r="BA29" s="50"/>
      <c r="BB29" s="88">
        <v>87.12</v>
      </c>
      <c r="BC29" s="88">
        <v>87.13</v>
      </c>
      <c r="BD29" s="90">
        <v>0.55000000000000004</v>
      </c>
      <c r="BE29" s="90">
        <v>0.51</v>
      </c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</row>
    <row r="30" spans="1:91" ht="14.25" customHeight="1" x14ac:dyDescent="0.35">
      <c r="A30" s="67" t="s">
        <v>11</v>
      </c>
      <c r="B30" s="68">
        <v>149093</v>
      </c>
      <c r="C30" s="47">
        <v>995118</v>
      </c>
      <c r="D30" s="69">
        <v>257057</v>
      </c>
      <c r="E30" s="47">
        <v>1715720</v>
      </c>
      <c r="F30" s="70">
        <v>58</v>
      </c>
      <c r="G30" s="71">
        <v>58</v>
      </c>
      <c r="H30" s="72">
        <v>0</v>
      </c>
      <c r="I30" s="47">
        <v>0</v>
      </c>
      <c r="J30" s="69">
        <v>0</v>
      </c>
      <c r="K30" s="47">
        <v>0</v>
      </c>
      <c r="L30" s="70">
        <v>0</v>
      </c>
      <c r="M30" s="71">
        <v>0</v>
      </c>
      <c r="N30" s="72">
        <v>167601</v>
      </c>
      <c r="O30" s="47">
        <v>1121818</v>
      </c>
      <c r="P30" s="47">
        <v>281634</v>
      </c>
      <c r="Q30" s="47">
        <v>1884156</v>
      </c>
      <c r="R30" s="70">
        <v>59.51</v>
      </c>
      <c r="S30" s="71">
        <v>59.54</v>
      </c>
      <c r="T30" s="72">
        <v>347359</v>
      </c>
      <c r="U30" s="47">
        <v>2331483</v>
      </c>
      <c r="V30" s="47">
        <v>483090</v>
      </c>
      <c r="W30" s="47">
        <v>3240353</v>
      </c>
      <c r="X30" s="70">
        <v>71.900000000000006</v>
      </c>
      <c r="Y30" s="71">
        <v>71.95</v>
      </c>
      <c r="Z30" s="72">
        <v>149093</v>
      </c>
      <c r="AA30" s="47">
        <v>995118</v>
      </c>
      <c r="AB30" s="47">
        <v>257057</v>
      </c>
      <c r="AC30" s="47">
        <v>1715720</v>
      </c>
      <c r="AD30" s="70">
        <v>58</v>
      </c>
      <c r="AE30" s="71">
        <v>58</v>
      </c>
      <c r="AF30" s="72">
        <f>'hanya untuk update angka foreca'!AF30</f>
        <v>0</v>
      </c>
      <c r="AG30" s="47" t="e">
        <f t="shared" si="1"/>
        <v>#REF!</v>
      </c>
      <c r="AH30" s="47">
        <f>'hanya untuk update angka foreca'!AH30</f>
        <v>0</v>
      </c>
      <c r="AI30" s="47" t="e">
        <f t="shared" si="2"/>
        <v>#REF!</v>
      </c>
      <c r="AJ30" s="70">
        <f t="shared" ref="AJ30:AK30" si="9">IFERROR(AF30/AH30*100,0)</f>
        <v>0</v>
      </c>
      <c r="AK30" s="71">
        <f t="shared" si="9"/>
        <v>0</v>
      </c>
      <c r="AL30" s="48"/>
      <c r="AM30" s="88"/>
      <c r="AN30" s="10"/>
      <c r="AO30" s="46"/>
      <c r="AP30" s="76" t="s">
        <v>65</v>
      </c>
      <c r="AQ30" s="10" t="s">
        <v>65</v>
      </c>
      <c r="AR30" s="46"/>
      <c r="AS30" s="46"/>
      <c r="AT30" s="50"/>
      <c r="AU30" s="89"/>
      <c r="AV30" s="89"/>
      <c r="AW30" s="50"/>
      <c r="AX30" s="50"/>
      <c r="AY30" s="50"/>
      <c r="AZ30" s="50"/>
      <c r="BA30" s="50"/>
      <c r="BB30" s="88">
        <v>87.14</v>
      </c>
      <c r="BC30" s="88">
        <v>87.13</v>
      </c>
      <c r="BD30" s="90">
        <v>0.56999999999999995</v>
      </c>
      <c r="BE30" s="90">
        <v>0.52</v>
      </c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</row>
    <row r="31" spans="1:91" ht="14.25" customHeight="1" x14ac:dyDescent="0.35">
      <c r="A31" s="67" t="s">
        <v>12</v>
      </c>
      <c r="B31" s="68">
        <v>143367</v>
      </c>
      <c r="C31" s="47">
        <v>1138485</v>
      </c>
      <c r="D31" s="69">
        <v>247184</v>
      </c>
      <c r="E31" s="47">
        <v>1962904</v>
      </c>
      <c r="F31" s="70">
        <v>58</v>
      </c>
      <c r="G31" s="71">
        <v>58</v>
      </c>
      <c r="H31" s="72">
        <v>0</v>
      </c>
      <c r="I31" s="47">
        <v>0</v>
      </c>
      <c r="J31" s="69">
        <v>0</v>
      </c>
      <c r="K31" s="47">
        <v>0</v>
      </c>
      <c r="L31" s="70">
        <v>0</v>
      </c>
      <c r="M31" s="71">
        <v>0</v>
      </c>
      <c r="N31" s="72">
        <v>161650</v>
      </c>
      <c r="O31" s="47">
        <v>1283468</v>
      </c>
      <c r="P31" s="47">
        <v>271500</v>
      </c>
      <c r="Q31" s="47">
        <v>2155655</v>
      </c>
      <c r="R31" s="70">
        <v>59.54</v>
      </c>
      <c r="S31" s="71">
        <v>59.54</v>
      </c>
      <c r="T31" s="72">
        <v>335157</v>
      </c>
      <c r="U31" s="47">
        <v>2666640</v>
      </c>
      <c r="V31" s="47">
        <v>465950</v>
      </c>
      <c r="W31" s="47">
        <v>3706303</v>
      </c>
      <c r="X31" s="70">
        <v>71.930000000000007</v>
      </c>
      <c r="Y31" s="71">
        <v>71.95</v>
      </c>
      <c r="Z31" s="72">
        <v>143367</v>
      </c>
      <c r="AA31" s="47">
        <v>1138485</v>
      </c>
      <c r="AB31" s="47">
        <v>247184</v>
      </c>
      <c r="AC31" s="47">
        <v>1962904</v>
      </c>
      <c r="AD31" s="70">
        <v>58</v>
      </c>
      <c r="AE31" s="71">
        <v>58</v>
      </c>
      <c r="AF31" s="72">
        <f>'hanya untuk update angka foreca'!AF31</f>
        <v>0</v>
      </c>
      <c r="AG31" s="47" t="e">
        <f t="shared" si="1"/>
        <v>#REF!</v>
      </c>
      <c r="AH31" s="47">
        <f>'hanya untuk update angka foreca'!AH31</f>
        <v>0</v>
      </c>
      <c r="AI31" s="47" t="e">
        <f t="shared" si="2"/>
        <v>#REF!</v>
      </c>
      <c r="AJ31" s="70">
        <f t="shared" ref="AJ31:AK31" si="10">IFERROR(AF31/AH31*100,0)</f>
        <v>0</v>
      </c>
      <c r="AK31" s="71">
        <f t="shared" si="10"/>
        <v>0</v>
      </c>
      <c r="AL31" s="48"/>
      <c r="AM31" s="88"/>
      <c r="AN31" s="10"/>
      <c r="AO31" s="46"/>
      <c r="AP31" s="76" t="s">
        <v>65</v>
      </c>
      <c r="AQ31" s="10" t="s">
        <v>65</v>
      </c>
      <c r="AR31" s="46"/>
      <c r="AS31" s="46"/>
      <c r="AT31" s="50"/>
      <c r="AU31" s="89"/>
      <c r="AV31" s="89"/>
      <c r="AW31" s="50"/>
      <c r="AX31" s="50"/>
      <c r="AY31" s="50"/>
      <c r="AZ31" s="50"/>
      <c r="BA31" s="50"/>
      <c r="BB31" s="88">
        <v>87.13</v>
      </c>
      <c r="BC31" s="88">
        <v>87.13</v>
      </c>
      <c r="BD31" s="90">
        <v>0.54</v>
      </c>
      <c r="BE31" s="90">
        <v>0.52</v>
      </c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</row>
    <row r="32" spans="1:91" ht="14.25" customHeight="1" x14ac:dyDescent="0.35">
      <c r="A32" s="67" t="s">
        <v>13</v>
      </c>
      <c r="B32" s="68">
        <v>142198</v>
      </c>
      <c r="C32" s="47">
        <v>1280683</v>
      </c>
      <c r="D32" s="69">
        <v>245170</v>
      </c>
      <c r="E32" s="47">
        <v>2208074</v>
      </c>
      <c r="F32" s="70">
        <v>58</v>
      </c>
      <c r="G32" s="71">
        <v>58</v>
      </c>
      <c r="H32" s="72">
        <v>15852</v>
      </c>
      <c r="I32" s="47">
        <v>15852</v>
      </c>
      <c r="J32" s="69">
        <v>17397</v>
      </c>
      <c r="K32" s="47">
        <v>17397</v>
      </c>
      <c r="L32" s="70">
        <v>91.12</v>
      </c>
      <c r="M32" s="71">
        <v>91.12</v>
      </c>
      <c r="N32" s="72">
        <v>164002</v>
      </c>
      <c r="O32" s="47">
        <v>1447470</v>
      </c>
      <c r="P32" s="47">
        <v>274331</v>
      </c>
      <c r="Q32" s="47">
        <v>2429986</v>
      </c>
      <c r="R32" s="70">
        <v>59.78</v>
      </c>
      <c r="S32" s="71">
        <v>59.57</v>
      </c>
      <c r="T32" s="72">
        <v>350829</v>
      </c>
      <c r="U32" s="47">
        <v>3017470</v>
      </c>
      <c r="V32" s="47">
        <v>483090</v>
      </c>
      <c r="W32" s="47">
        <v>4189393</v>
      </c>
      <c r="X32" s="70">
        <v>72.62</v>
      </c>
      <c r="Y32" s="71">
        <v>72.03</v>
      </c>
      <c r="Z32" s="72">
        <v>158050</v>
      </c>
      <c r="AA32" s="47">
        <v>1296535</v>
      </c>
      <c r="AB32" s="47">
        <v>262567</v>
      </c>
      <c r="AC32" s="47">
        <v>2225471</v>
      </c>
      <c r="AD32" s="70">
        <v>60.19</v>
      </c>
      <c r="AE32" s="71">
        <v>58.26</v>
      </c>
      <c r="AF32" s="72">
        <f>'hanya untuk update angka foreca'!AF32</f>
        <v>0</v>
      </c>
      <c r="AG32" s="47" t="e">
        <f t="shared" si="1"/>
        <v>#REF!</v>
      </c>
      <c r="AH32" s="47">
        <f>'hanya untuk update angka foreca'!AH32</f>
        <v>0</v>
      </c>
      <c r="AI32" s="47" t="e">
        <f t="shared" si="2"/>
        <v>#REF!</v>
      </c>
      <c r="AJ32" s="70">
        <f t="shared" ref="AJ32:AK32" si="11">IFERROR(AF32/AH32*100,0)</f>
        <v>0</v>
      </c>
      <c r="AK32" s="71">
        <f t="shared" si="11"/>
        <v>0</v>
      </c>
      <c r="AL32" s="48"/>
      <c r="AM32" s="88"/>
      <c r="AN32" s="10"/>
      <c r="AO32" s="46"/>
      <c r="AP32" s="76">
        <v>-0.03</v>
      </c>
      <c r="AQ32" s="10">
        <v>-0.02</v>
      </c>
      <c r="AR32" s="46"/>
      <c r="AS32" s="46"/>
      <c r="AT32" s="50"/>
      <c r="AU32" s="89"/>
      <c r="AV32" s="89"/>
      <c r="AW32" s="50"/>
      <c r="AX32" s="50"/>
      <c r="AY32" s="50"/>
      <c r="AZ32" s="50"/>
      <c r="BA32" s="50"/>
      <c r="BB32" s="88">
        <v>87.05</v>
      </c>
      <c r="BC32" s="88">
        <v>87.12</v>
      </c>
      <c r="BD32" s="90">
        <v>0.36</v>
      </c>
      <c r="BE32" s="90">
        <v>0.5</v>
      </c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</row>
    <row r="33" spans="1:91" ht="14.25" customHeight="1" x14ac:dyDescent="0.35">
      <c r="A33" s="67" t="s">
        <v>14</v>
      </c>
      <c r="B33" s="68">
        <v>136539</v>
      </c>
      <c r="C33" s="47">
        <v>1417222</v>
      </c>
      <c r="D33" s="69">
        <v>235412</v>
      </c>
      <c r="E33" s="47">
        <v>2443486</v>
      </c>
      <c r="F33" s="70">
        <v>58</v>
      </c>
      <c r="G33" s="71">
        <v>58</v>
      </c>
      <c r="H33" s="72">
        <v>15488</v>
      </c>
      <c r="I33" s="47">
        <v>31340</v>
      </c>
      <c r="J33" s="69">
        <v>16998</v>
      </c>
      <c r="K33" s="47">
        <v>34395</v>
      </c>
      <c r="L33" s="70">
        <v>91.12</v>
      </c>
      <c r="M33" s="71">
        <v>91.12</v>
      </c>
      <c r="N33" s="72">
        <v>157859</v>
      </c>
      <c r="O33" s="47">
        <v>1605329</v>
      </c>
      <c r="P33" s="47">
        <v>263969</v>
      </c>
      <c r="Q33" s="47">
        <v>2693956</v>
      </c>
      <c r="R33" s="70">
        <v>59.8</v>
      </c>
      <c r="S33" s="71">
        <v>59.59</v>
      </c>
      <c r="T33" s="72">
        <v>338668</v>
      </c>
      <c r="U33" s="47">
        <v>3356138</v>
      </c>
      <c r="V33" s="47">
        <v>465950</v>
      </c>
      <c r="W33" s="47">
        <v>4655343</v>
      </c>
      <c r="X33" s="70">
        <v>72.680000000000007</v>
      </c>
      <c r="Y33" s="71">
        <v>72.09</v>
      </c>
      <c r="Z33" s="72">
        <v>152027</v>
      </c>
      <c r="AA33" s="47">
        <v>1448562</v>
      </c>
      <c r="AB33" s="47">
        <v>252410</v>
      </c>
      <c r="AC33" s="47">
        <v>2477881</v>
      </c>
      <c r="AD33" s="70">
        <v>60.23</v>
      </c>
      <c r="AE33" s="71">
        <v>58.46</v>
      </c>
      <c r="AF33" s="72">
        <f>'hanya untuk update angka foreca'!AF33</f>
        <v>0</v>
      </c>
      <c r="AG33" s="47" t="e">
        <f t="shared" si="1"/>
        <v>#REF!</v>
      </c>
      <c r="AH33" s="47">
        <f>'hanya untuk update angka foreca'!AH33</f>
        <v>0</v>
      </c>
      <c r="AI33" s="47" t="e">
        <f t="shared" si="2"/>
        <v>#REF!</v>
      </c>
      <c r="AJ33" s="70">
        <f t="shared" ref="AJ33:AK33" si="12">IFERROR(AF33/AH33*100,0)</f>
        <v>0</v>
      </c>
      <c r="AK33" s="71">
        <f t="shared" si="12"/>
        <v>0</v>
      </c>
      <c r="AL33" s="48"/>
      <c r="AM33" s="88"/>
      <c r="AN33" s="10"/>
      <c r="AO33" s="46"/>
      <c r="AP33" s="76">
        <v>-7.0000000000000007E-2</v>
      </c>
      <c r="AQ33" s="10">
        <v>-0.03</v>
      </c>
      <c r="AR33" s="46"/>
      <c r="AS33" s="46"/>
      <c r="AT33" s="50"/>
      <c r="AU33" s="89"/>
      <c r="AV33" s="89"/>
      <c r="AW33" s="50"/>
      <c r="AX33" s="50"/>
      <c r="AY33" s="50"/>
      <c r="AZ33" s="50"/>
      <c r="BA33" s="50"/>
      <c r="BB33" s="88">
        <v>87.06</v>
      </c>
      <c r="BC33" s="88">
        <v>87.12</v>
      </c>
      <c r="BD33" s="90">
        <v>0.34</v>
      </c>
      <c r="BE33" s="90">
        <v>0.49</v>
      </c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</row>
    <row r="34" spans="1:91" ht="14.25" customHeight="1" x14ac:dyDescent="0.35">
      <c r="A34" s="67" t="s">
        <v>15</v>
      </c>
      <c r="B34" s="77">
        <v>138688</v>
      </c>
      <c r="C34" s="78">
        <v>1555910</v>
      </c>
      <c r="D34" s="79">
        <v>239117</v>
      </c>
      <c r="E34" s="78">
        <v>2682603</v>
      </c>
      <c r="F34" s="80">
        <v>58</v>
      </c>
      <c r="G34" s="81">
        <v>58</v>
      </c>
      <c r="H34" s="82">
        <v>14609</v>
      </c>
      <c r="I34" s="78">
        <v>45949</v>
      </c>
      <c r="J34" s="79">
        <v>16033</v>
      </c>
      <c r="K34" s="78">
        <v>50428</v>
      </c>
      <c r="L34" s="80">
        <v>91.12</v>
      </c>
      <c r="M34" s="81">
        <v>91.12</v>
      </c>
      <c r="N34" s="82">
        <v>159752</v>
      </c>
      <c r="O34" s="78">
        <v>1765081</v>
      </c>
      <c r="P34" s="78">
        <v>267198</v>
      </c>
      <c r="Q34" s="78">
        <v>2961154</v>
      </c>
      <c r="R34" s="80">
        <v>59.79</v>
      </c>
      <c r="S34" s="81">
        <v>59.61</v>
      </c>
      <c r="T34" s="72">
        <v>352790</v>
      </c>
      <c r="U34" s="78">
        <v>3708929</v>
      </c>
      <c r="V34" s="78">
        <v>483090</v>
      </c>
      <c r="W34" s="78">
        <v>5138433</v>
      </c>
      <c r="X34" s="80">
        <v>73.03</v>
      </c>
      <c r="Y34" s="81">
        <v>72.180000000000007</v>
      </c>
      <c r="Z34" s="72">
        <v>153297</v>
      </c>
      <c r="AA34" s="78">
        <v>1601859</v>
      </c>
      <c r="AB34" s="78">
        <v>255150</v>
      </c>
      <c r="AC34" s="78">
        <v>2733031</v>
      </c>
      <c r="AD34" s="80">
        <v>60.08</v>
      </c>
      <c r="AE34" s="81">
        <v>58.61</v>
      </c>
      <c r="AF34" s="72">
        <f>'hanya untuk update angka foreca'!AF34</f>
        <v>0</v>
      </c>
      <c r="AG34" s="78" t="e">
        <f t="shared" si="1"/>
        <v>#REF!</v>
      </c>
      <c r="AH34" s="78">
        <f>'hanya untuk update angka foreca'!AH34</f>
        <v>0</v>
      </c>
      <c r="AI34" s="78" t="e">
        <f t="shared" si="2"/>
        <v>#REF!</v>
      </c>
      <c r="AJ34" s="80">
        <f t="shared" ref="AJ34:AK34" si="13">IFERROR(AF34/AH34*100,0)</f>
        <v>0</v>
      </c>
      <c r="AK34" s="81">
        <f t="shared" si="13"/>
        <v>0</v>
      </c>
      <c r="AL34" s="48"/>
      <c r="AM34" s="88"/>
      <c r="AN34" s="10"/>
      <c r="AO34" s="46"/>
      <c r="AP34" s="76">
        <v>-0.15</v>
      </c>
      <c r="AQ34" s="10">
        <v>-0.04</v>
      </c>
      <c r="AR34" s="46"/>
      <c r="AS34" s="46"/>
      <c r="AT34" s="50"/>
      <c r="AU34" s="89"/>
      <c r="AV34" s="89"/>
      <c r="AW34" s="50"/>
      <c r="AX34" s="50"/>
      <c r="AY34" s="50"/>
      <c r="AZ34" s="50"/>
      <c r="BA34" s="50"/>
      <c r="BB34" s="88">
        <v>87.1</v>
      </c>
      <c r="BC34" s="88">
        <v>87.12</v>
      </c>
      <c r="BD34" s="90">
        <v>0.42</v>
      </c>
      <c r="BE34" s="90">
        <v>0.48</v>
      </c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</row>
    <row r="35" spans="1:91" ht="14.25" customHeight="1" x14ac:dyDescent="0.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10">
        <v>0</v>
      </c>
      <c r="AE35" s="10">
        <v>0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</row>
    <row r="36" spans="1:91" ht="14.25" customHeight="1" x14ac:dyDescent="0.35">
      <c r="A36" s="50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</row>
    <row r="37" spans="1:91" ht="14.25" customHeight="1" x14ac:dyDescent="0.35">
      <c r="A37" s="56" t="s">
        <v>114</v>
      </c>
      <c r="B37" s="50"/>
      <c r="C37" s="50"/>
      <c r="D37" s="50"/>
      <c r="E37" s="50"/>
      <c r="F37" s="50"/>
      <c r="G37" s="50"/>
      <c r="H37" s="50"/>
      <c r="I37" s="10" t="s">
        <v>101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</row>
    <row r="38" spans="1:91" ht="14.25" customHeight="1" x14ac:dyDescent="0.35">
      <c r="A38" s="57" t="s">
        <v>102</v>
      </c>
      <c r="B38" s="58" t="s">
        <v>2</v>
      </c>
      <c r="C38" s="59"/>
      <c r="D38" s="58" t="s">
        <v>3</v>
      </c>
      <c r="E38" s="59"/>
      <c r="F38" s="58" t="s">
        <v>103</v>
      </c>
      <c r="G38" s="60"/>
      <c r="H38" s="50"/>
      <c r="I38" s="10">
        <v>100</v>
      </c>
      <c r="J38" s="50"/>
      <c r="K38" s="50"/>
      <c r="L38" s="10" t="s">
        <v>104</v>
      </c>
      <c r="M38" s="50"/>
      <c r="N38" s="50"/>
      <c r="O38" s="10" t="s">
        <v>105</v>
      </c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</row>
    <row r="39" spans="1:91" ht="14.25" customHeight="1" x14ac:dyDescent="0.35">
      <c r="A39" s="87" t="s">
        <v>102</v>
      </c>
      <c r="B39" s="63" t="s">
        <v>106</v>
      </c>
      <c r="C39" s="63" t="s">
        <v>107</v>
      </c>
      <c r="D39" s="63" t="s">
        <v>106</v>
      </c>
      <c r="E39" s="63" t="s">
        <v>107</v>
      </c>
      <c r="F39" s="63" t="s">
        <v>106</v>
      </c>
      <c r="G39" s="64" t="s">
        <v>107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</row>
    <row r="40" spans="1:91" ht="14.25" customHeight="1" x14ac:dyDescent="0.35">
      <c r="A40" s="67" t="s">
        <v>4</v>
      </c>
      <c r="B40" s="68">
        <v>90096</v>
      </c>
      <c r="C40" s="47">
        <v>90096</v>
      </c>
      <c r="D40" s="69">
        <v>155339</v>
      </c>
      <c r="E40" s="47">
        <v>155339</v>
      </c>
      <c r="F40" s="70">
        <v>58</v>
      </c>
      <c r="G40" s="71">
        <v>58</v>
      </c>
      <c r="H40" s="50"/>
      <c r="I40" s="50"/>
      <c r="J40" s="50"/>
      <c r="K40" s="50"/>
      <c r="L40" s="76">
        <v>90096</v>
      </c>
      <c r="M40" s="76" t="s">
        <v>65</v>
      </c>
      <c r="N40" s="50"/>
      <c r="O40" s="76">
        <v>155339</v>
      </c>
      <c r="P40" s="76" t="s">
        <v>65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</row>
    <row r="41" spans="1:91" ht="14.25" customHeight="1" x14ac:dyDescent="0.35">
      <c r="A41" s="67" t="s">
        <v>5</v>
      </c>
      <c r="B41" s="68">
        <v>89106</v>
      </c>
      <c r="C41" s="47">
        <v>179202</v>
      </c>
      <c r="D41" s="69">
        <v>153631</v>
      </c>
      <c r="E41" s="47">
        <v>308969</v>
      </c>
      <c r="F41" s="70">
        <v>58</v>
      </c>
      <c r="G41" s="71">
        <v>58</v>
      </c>
      <c r="H41" s="50"/>
      <c r="I41" s="50"/>
      <c r="J41" s="50"/>
      <c r="K41" s="50"/>
      <c r="L41" s="76">
        <v>89106</v>
      </c>
      <c r="M41" s="76" t="s">
        <v>65</v>
      </c>
      <c r="N41" s="50"/>
      <c r="O41" s="76">
        <v>153631</v>
      </c>
      <c r="P41" s="76" t="s">
        <v>65</v>
      </c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</row>
    <row r="42" spans="1:91" ht="14.25" customHeight="1" x14ac:dyDescent="0.35">
      <c r="A42" s="67" t="s">
        <v>6</v>
      </c>
      <c r="B42" s="68">
        <v>59450</v>
      </c>
      <c r="C42" s="47">
        <v>238652</v>
      </c>
      <c r="D42" s="69">
        <v>102500</v>
      </c>
      <c r="E42" s="47">
        <v>411469</v>
      </c>
      <c r="F42" s="70">
        <v>58</v>
      </c>
      <c r="G42" s="71">
        <v>58</v>
      </c>
      <c r="H42" s="50"/>
      <c r="I42" s="50"/>
      <c r="J42" s="50"/>
      <c r="K42" s="50"/>
      <c r="L42" s="76">
        <v>59450</v>
      </c>
      <c r="M42" s="76" t="s">
        <v>65</v>
      </c>
      <c r="N42" s="50"/>
      <c r="O42" s="76">
        <v>102500</v>
      </c>
      <c r="P42" s="76" t="s">
        <v>65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</row>
    <row r="43" spans="1:91" ht="14.25" customHeight="1" x14ac:dyDescent="0.35">
      <c r="A43" s="67" t="s">
        <v>7</v>
      </c>
      <c r="B43" s="68">
        <v>90007</v>
      </c>
      <c r="C43" s="47">
        <v>328659</v>
      </c>
      <c r="D43" s="69">
        <v>155184</v>
      </c>
      <c r="E43" s="47">
        <v>566653</v>
      </c>
      <c r="F43" s="70">
        <v>58</v>
      </c>
      <c r="G43" s="71">
        <v>58</v>
      </c>
      <c r="H43" s="50"/>
      <c r="I43" s="50"/>
      <c r="J43" s="50"/>
      <c r="K43" s="50"/>
      <c r="L43" s="76">
        <v>90007</v>
      </c>
      <c r="M43" s="76" t="s">
        <v>65</v>
      </c>
      <c r="N43" s="50"/>
      <c r="O43" s="76">
        <v>155184</v>
      </c>
      <c r="P43" s="76" t="s">
        <v>65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</row>
    <row r="44" spans="1:91" ht="14.25" customHeight="1" x14ac:dyDescent="0.35">
      <c r="A44" s="67" t="s">
        <v>8</v>
      </c>
      <c r="B44" s="68">
        <v>130790</v>
      </c>
      <c r="C44" s="47">
        <v>459449</v>
      </c>
      <c r="D44" s="69">
        <v>225499</v>
      </c>
      <c r="E44" s="47">
        <v>792153</v>
      </c>
      <c r="F44" s="70">
        <v>58</v>
      </c>
      <c r="G44" s="71">
        <v>58</v>
      </c>
      <c r="H44" s="50"/>
      <c r="I44" s="50"/>
      <c r="J44" s="50"/>
      <c r="K44" s="50"/>
      <c r="L44" s="76">
        <v>130790</v>
      </c>
      <c r="M44" s="76" t="s">
        <v>65</v>
      </c>
      <c r="N44" s="50"/>
      <c r="O44" s="76">
        <v>225499</v>
      </c>
      <c r="P44" s="76" t="s">
        <v>65</v>
      </c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</row>
    <row r="45" spans="1:91" ht="14.25" customHeight="1" x14ac:dyDescent="0.35">
      <c r="A45" s="67" t="s">
        <v>9</v>
      </c>
      <c r="B45" s="68">
        <v>120098</v>
      </c>
      <c r="C45" s="47">
        <v>579547</v>
      </c>
      <c r="D45" s="69">
        <v>207066</v>
      </c>
      <c r="E45" s="47">
        <v>999219</v>
      </c>
      <c r="F45" s="70">
        <v>58</v>
      </c>
      <c r="G45" s="71">
        <v>58</v>
      </c>
      <c r="H45" s="50"/>
      <c r="I45" s="50"/>
      <c r="J45" s="50"/>
      <c r="K45" s="50"/>
      <c r="L45" s="76">
        <v>120098</v>
      </c>
      <c r="M45" s="76" t="s">
        <v>65</v>
      </c>
      <c r="N45" s="50"/>
      <c r="O45" s="76">
        <v>207066</v>
      </c>
      <c r="P45" s="76" t="s">
        <v>65</v>
      </c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</row>
    <row r="46" spans="1:91" ht="14.25" customHeight="1" x14ac:dyDescent="0.35">
      <c r="A46" s="67" t="s">
        <v>10</v>
      </c>
      <c r="B46" s="68">
        <v>130990</v>
      </c>
      <c r="C46" s="47">
        <v>710537</v>
      </c>
      <c r="D46" s="69">
        <v>225845</v>
      </c>
      <c r="E46" s="47">
        <v>1225063</v>
      </c>
      <c r="F46" s="70">
        <v>58</v>
      </c>
      <c r="G46" s="71">
        <v>58</v>
      </c>
      <c r="H46" s="50"/>
      <c r="I46" s="50"/>
      <c r="J46" s="50"/>
      <c r="K46" s="50"/>
      <c r="L46" s="76">
        <v>130990</v>
      </c>
      <c r="M46" s="76" t="s">
        <v>65</v>
      </c>
      <c r="N46" s="50"/>
      <c r="O46" s="76">
        <v>225845</v>
      </c>
      <c r="P46" s="76" t="s">
        <v>65</v>
      </c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</row>
    <row r="47" spans="1:91" ht="14.25" customHeight="1" x14ac:dyDescent="0.35">
      <c r="A47" s="67" t="s">
        <v>11</v>
      </c>
      <c r="B47" s="68">
        <v>130199</v>
      </c>
      <c r="C47" s="47">
        <v>840735</v>
      </c>
      <c r="D47" s="69">
        <v>224480</v>
      </c>
      <c r="E47" s="47">
        <v>1449543</v>
      </c>
      <c r="F47" s="70">
        <v>58</v>
      </c>
      <c r="G47" s="71">
        <v>58</v>
      </c>
      <c r="H47" s="50"/>
      <c r="I47" s="50"/>
      <c r="J47" s="50"/>
      <c r="K47" s="50"/>
      <c r="L47" s="76">
        <v>130199</v>
      </c>
      <c r="M47" s="76" t="s">
        <v>65</v>
      </c>
      <c r="N47" s="50"/>
      <c r="O47" s="76">
        <v>224480</v>
      </c>
      <c r="P47" s="76" t="s">
        <v>65</v>
      </c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</row>
    <row r="48" spans="1:91" ht="14.25" customHeight="1" x14ac:dyDescent="0.35">
      <c r="A48" s="67" t="s">
        <v>12</v>
      </c>
      <c r="B48" s="68">
        <v>133415</v>
      </c>
      <c r="C48" s="47">
        <v>974150</v>
      </c>
      <c r="D48" s="69">
        <v>230026</v>
      </c>
      <c r="E48" s="47">
        <v>1679569</v>
      </c>
      <c r="F48" s="70">
        <v>58</v>
      </c>
      <c r="G48" s="71">
        <v>58</v>
      </c>
      <c r="H48" s="50"/>
      <c r="I48" s="50"/>
      <c r="J48" s="50"/>
      <c r="K48" s="50"/>
      <c r="L48" s="76">
        <v>133415</v>
      </c>
      <c r="M48" s="76" t="s">
        <v>65</v>
      </c>
      <c r="N48" s="50"/>
      <c r="O48" s="76">
        <v>230026</v>
      </c>
      <c r="P48" s="76" t="s">
        <v>65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</row>
    <row r="49" spans="1:91" ht="14.25" customHeight="1" x14ac:dyDescent="0.35">
      <c r="A49" s="67" t="s">
        <v>13</v>
      </c>
      <c r="B49" s="68">
        <v>140666</v>
      </c>
      <c r="C49" s="47">
        <v>1114817</v>
      </c>
      <c r="D49" s="69">
        <v>242528</v>
      </c>
      <c r="E49" s="47">
        <v>1922098</v>
      </c>
      <c r="F49" s="70">
        <v>58</v>
      </c>
      <c r="G49" s="71">
        <v>58</v>
      </c>
      <c r="H49" s="50"/>
      <c r="I49" s="50"/>
      <c r="J49" s="50"/>
      <c r="K49" s="50"/>
      <c r="L49" s="76">
        <v>140666</v>
      </c>
      <c r="M49" s="76" t="s">
        <v>65</v>
      </c>
      <c r="N49" s="50"/>
      <c r="O49" s="76">
        <v>242528</v>
      </c>
      <c r="P49" s="76" t="s">
        <v>65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</row>
    <row r="50" spans="1:91" ht="14.25" customHeight="1" x14ac:dyDescent="0.35">
      <c r="A50" s="67" t="s">
        <v>14</v>
      </c>
      <c r="B50" s="68">
        <v>130524</v>
      </c>
      <c r="C50" s="47">
        <v>1245341</v>
      </c>
      <c r="D50" s="69">
        <v>225041</v>
      </c>
      <c r="E50" s="47">
        <v>2147139</v>
      </c>
      <c r="F50" s="70">
        <v>58</v>
      </c>
      <c r="G50" s="71">
        <v>58</v>
      </c>
      <c r="H50" s="50"/>
      <c r="I50" s="50"/>
      <c r="J50" s="50"/>
      <c r="K50" s="50"/>
      <c r="L50" s="76">
        <v>130524</v>
      </c>
      <c r="M50" s="76" t="s">
        <v>65</v>
      </c>
      <c r="N50" s="50"/>
      <c r="O50" s="76">
        <v>225041</v>
      </c>
      <c r="P50" s="76" t="s">
        <v>65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</row>
    <row r="51" spans="1:91" ht="14.25" customHeight="1" x14ac:dyDescent="0.35">
      <c r="A51" s="67" t="s">
        <v>15</v>
      </c>
      <c r="B51" s="77">
        <v>123490</v>
      </c>
      <c r="C51" s="78">
        <v>1368831</v>
      </c>
      <c r="D51" s="79">
        <v>212914</v>
      </c>
      <c r="E51" s="78">
        <v>2360053</v>
      </c>
      <c r="F51" s="80">
        <v>58</v>
      </c>
      <c r="G51" s="81">
        <v>58</v>
      </c>
      <c r="H51" s="50"/>
      <c r="I51" s="50"/>
      <c r="J51" s="50"/>
      <c r="K51" s="50"/>
      <c r="L51" s="76">
        <v>123490</v>
      </c>
      <c r="M51" s="76" t="s">
        <v>65</v>
      </c>
      <c r="N51" s="50"/>
      <c r="O51" s="76">
        <v>212914</v>
      </c>
      <c r="P51" s="76" t="s">
        <v>65</v>
      </c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</row>
    <row r="52" spans="1:91" ht="14.25" customHeight="1" x14ac:dyDescent="0.35">
      <c r="A52" s="50"/>
      <c r="B52" s="50"/>
      <c r="C52" s="50"/>
      <c r="D52" s="50"/>
      <c r="E52" s="50"/>
      <c r="F52" s="91">
        <v>0</v>
      </c>
      <c r="G52" s="91">
        <v>0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</row>
    <row r="53" spans="1:91" ht="14.25" customHeight="1" x14ac:dyDescent="0.35">
      <c r="A53" s="50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</row>
    <row r="54" spans="1:91" ht="14.25" customHeight="1" x14ac:dyDescent="0.35">
      <c r="A54" s="56" t="s">
        <v>115</v>
      </c>
      <c r="B54" s="50"/>
      <c r="C54" s="50"/>
      <c r="D54" s="50"/>
      <c r="E54" s="50"/>
      <c r="F54" s="50"/>
      <c r="G54" s="50"/>
      <c r="H54" s="56" t="s">
        <v>116</v>
      </c>
      <c r="I54" s="50"/>
      <c r="J54" s="50"/>
      <c r="K54" s="50"/>
      <c r="L54" s="50"/>
      <c r="M54" s="50"/>
      <c r="N54" s="56" t="s">
        <v>95</v>
      </c>
      <c r="O54" s="50"/>
      <c r="P54" s="50"/>
      <c r="Q54" s="50"/>
      <c r="R54" s="50"/>
      <c r="S54" s="50"/>
      <c r="T54" s="92" t="s">
        <v>155</v>
      </c>
      <c r="U54" s="50"/>
      <c r="V54" s="50"/>
      <c r="W54" s="50"/>
      <c r="X54" s="50"/>
      <c r="Y54" s="50"/>
      <c r="Z54" s="56" t="s">
        <v>118</v>
      </c>
      <c r="AA54" s="50"/>
      <c r="AB54" s="50"/>
      <c r="AC54" s="50"/>
      <c r="AD54" s="50"/>
      <c r="AE54" s="50"/>
      <c r="AF54" s="56" t="s">
        <v>119</v>
      </c>
      <c r="AG54" s="50"/>
      <c r="AH54" s="50"/>
      <c r="AI54" s="50"/>
      <c r="AJ54" s="50"/>
      <c r="AK54" s="50"/>
      <c r="AL54" s="56" t="s">
        <v>120</v>
      </c>
      <c r="AM54" s="50"/>
      <c r="AN54" s="50"/>
      <c r="AO54" s="50"/>
      <c r="AP54" s="50"/>
      <c r="AQ54" s="50"/>
      <c r="AR54" s="50"/>
      <c r="AS54" s="10" t="s">
        <v>101</v>
      </c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</row>
    <row r="55" spans="1:91" ht="14.25" customHeight="1" x14ac:dyDescent="0.35">
      <c r="A55" s="57" t="s">
        <v>102</v>
      </c>
      <c r="B55" s="58" t="s">
        <v>2</v>
      </c>
      <c r="C55" s="59"/>
      <c r="D55" s="58" t="s">
        <v>3</v>
      </c>
      <c r="E55" s="59"/>
      <c r="F55" s="58" t="s">
        <v>103</v>
      </c>
      <c r="G55" s="60"/>
      <c r="H55" s="61" t="s">
        <v>2</v>
      </c>
      <c r="I55" s="59"/>
      <c r="J55" s="58" t="s">
        <v>3</v>
      </c>
      <c r="K55" s="59"/>
      <c r="L55" s="58" t="s">
        <v>103</v>
      </c>
      <c r="M55" s="60"/>
      <c r="N55" s="61" t="s">
        <v>2</v>
      </c>
      <c r="O55" s="59"/>
      <c r="P55" s="58" t="s">
        <v>3</v>
      </c>
      <c r="Q55" s="59"/>
      <c r="R55" s="58" t="s">
        <v>103</v>
      </c>
      <c r="S55" s="60"/>
      <c r="T55" s="61" t="s">
        <v>2</v>
      </c>
      <c r="U55" s="59"/>
      <c r="V55" s="58" t="s">
        <v>3</v>
      </c>
      <c r="W55" s="59"/>
      <c r="X55" s="58" t="s">
        <v>103</v>
      </c>
      <c r="Y55" s="60"/>
      <c r="Z55" s="61" t="s">
        <v>2</v>
      </c>
      <c r="AA55" s="59"/>
      <c r="AB55" s="58" t="s">
        <v>3</v>
      </c>
      <c r="AC55" s="59"/>
      <c r="AD55" s="58" t="s">
        <v>103</v>
      </c>
      <c r="AE55" s="60"/>
      <c r="AF55" s="61" t="s">
        <v>2</v>
      </c>
      <c r="AG55" s="59"/>
      <c r="AH55" s="58" t="s">
        <v>3</v>
      </c>
      <c r="AI55" s="59"/>
      <c r="AJ55" s="58" t="s">
        <v>103</v>
      </c>
      <c r="AK55" s="60"/>
      <c r="AL55" s="61" t="s">
        <v>2</v>
      </c>
      <c r="AM55" s="59"/>
      <c r="AN55" s="58" t="s">
        <v>3</v>
      </c>
      <c r="AO55" s="59"/>
      <c r="AP55" s="58" t="s">
        <v>103</v>
      </c>
      <c r="AQ55" s="60"/>
      <c r="AR55" s="50"/>
      <c r="AS55" s="50"/>
      <c r="AT55" s="50"/>
      <c r="AU55" s="50"/>
      <c r="AV55" s="10" t="s">
        <v>104</v>
      </c>
      <c r="AW55" s="50"/>
      <c r="AX55" s="50"/>
      <c r="AY55" s="10" t="s">
        <v>105</v>
      </c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</row>
    <row r="56" spans="1:91" ht="14.25" customHeight="1" x14ac:dyDescent="0.35">
      <c r="A56" s="87" t="s">
        <v>102</v>
      </c>
      <c r="B56" s="63" t="s">
        <v>106</v>
      </c>
      <c r="C56" s="63" t="s">
        <v>107</v>
      </c>
      <c r="D56" s="63" t="s">
        <v>106</v>
      </c>
      <c r="E56" s="63" t="s">
        <v>107</v>
      </c>
      <c r="F56" s="63" t="s">
        <v>106</v>
      </c>
      <c r="G56" s="64" t="s">
        <v>107</v>
      </c>
      <c r="H56" s="65" t="s">
        <v>106</v>
      </c>
      <c r="I56" s="63" t="s">
        <v>107</v>
      </c>
      <c r="J56" s="63" t="s">
        <v>106</v>
      </c>
      <c r="K56" s="63" t="s">
        <v>107</v>
      </c>
      <c r="L56" s="63" t="s">
        <v>106</v>
      </c>
      <c r="M56" s="64" t="s">
        <v>107</v>
      </c>
      <c r="N56" s="65" t="s">
        <v>106</v>
      </c>
      <c r="O56" s="63" t="s">
        <v>107</v>
      </c>
      <c r="P56" s="63" t="s">
        <v>106</v>
      </c>
      <c r="Q56" s="63" t="s">
        <v>107</v>
      </c>
      <c r="R56" s="63" t="s">
        <v>106</v>
      </c>
      <c r="S56" s="64" t="s">
        <v>107</v>
      </c>
      <c r="T56" s="65" t="s">
        <v>106</v>
      </c>
      <c r="U56" s="63" t="s">
        <v>107</v>
      </c>
      <c r="V56" s="63" t="s">
        <v>106</v>
      </c>
      <c r="W56" s="63" t="s">
        <v>107</v>
      </c>
      <c r="X56" s="63" t="s">
        <v>106</v>
      </c>
      <c r="Y56" s="64" t="s">
        <v>107</v>
      </c>
      <c r="Z56" s="65" t="s">
        <v>106</v>
      </c>
      <c r="AA56" s="63" t="s">
        <v>107</v>
      </c>
      <c r="AB56" s="63" t="s">
        <v>106</v>
      </c>
      <c r="AC56" s="63" t="s">
        <v>107</v>
      </c>
      <c r="AD56" s="63" t="s">
        <v>106</v>
      </c>
      <c r="AE56" s="64" t="s">
        <v>107</v>
      </c>
      <c r="AF56" s="65" t="s">
        <v>106</v>
      </c>
      <c r="AG56" s="63" t="s">
        <v>107</v>
      </c>
      <c r="AH56" s="63" t="s">
        <v>106</v>
      </c>
      <c r="AI56" s="63" t="s">
        <v>107</v>
      </c>
      <c r="AJ56" s="63" t="s">
        <v>106</v>
      </c>
      <c r="AK56" s="64" t="s">
        <v>107</v>
      </c>
      <c r="AL56" s="65" t="s">
        <v>106</v>
      </c>
      <c r="AM56" s="63" t="s">
        <v>107</v>
      </c>
      <c r="AN56" s="63" t="s">
        <v>106</v>
      </c>
      <c r="AO56" s="63" t="s">
        <v>107</v>
      </c>
      <c r="AP56" s="63" t="s">
        <v>106</v>
      </c>
      <c r="AQ56" s="64" t="s">
        <v>107</v>
      </c>
      <c r="AR56" s="50"/>
      <c r="AS56" s="66" t="s">
        <v>106</v>
      </c>
      <c r="AT56" s="66" t="s">
        <v>107</v>
      </c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</row>
    <row r="57" spans="1:91" ht="14.25" customHeight="1" x14ac:dyDescent="0.35">
      <c r="A57" s="67" t="s">
        <v>4</v>
      </c>
      <c r="B57" s="93">
        <v>4945</v>
      </c>
      <c r="C57" s="47">
        <v>4945</v>
      </c>
      <c r="D57" s="69">
        <v>5232</v>
      </c>
      <c r="E57" s="47">
        <v>5232</v>
      </c>
      <c r="F57" s="70">
        <v>94.52</v>
      </c>
      <c r="G57" s="71">
        <v>94.52</v>
      </c>
      <c r="H57" s="72">
        <v>0</v>
      </c>
      <c r="I57" s="47">
        <v>0</v>
      </c>
      <c r="J57" s="69">
        <v>0</v>
      </c>
      <c r="K57" s="47">
        <v>0</v>
      </c>
      <c r="L57" s="70">
        <v>0</v>
      </c>
      <c r="M57" s="71">
        <v>0</v>
      </c>
      <c r="N57" s="72">
        <v>10467</v>
      </c>
      <c r="O57" s="47">
        <v>10467</v>
      </c>
      <c r="P57" s="69">
        <v>12037</v>
      </c>
      <c r="Q57" s="47">
        <v>12037</v>
      </c>
      <c r="R57" s="70">
        <v>86.96</v>
      </c>
      <c r="S57" s="71">
        <v>86.96</v>
      </c>
      <c r="T57" s="72">
        <v>29479</v>
      </c>
      <c r="U57" s="47">
        <v>29479</v>
      </c>
      <c r="V57" s="69">
        <v>30868</v>
      </c>
      <c r="W57" s="47">
        <v>30868</v>
      </c>
      <c r="X57" s="70">
        <v>95.5</v>
      </c>
      <c r="Y57" s="71">
        <v>95.5</v>
      </c>
      <c r="Z57" s="72">
        <v>44892</v>
      </c>
      <c r="AA57" s="47">
        <v>44892</v>
      </c>
      <c r="AB57" s="69">
        <v>48138</v>
      </c>
      <c r="AC57" s="47">
        <v>48138</v>
      </c>
      <c r="AD57" s="70">
        <v>93.26</v>
      </c>
      <c r="AE57" s="71">
        <v>93.26</v>
      </c>
      <c r="AF57" s="72">
        <v>4945</v>
      </c>
      <c r="AG57" s="47">
        <v>4945</v>
      </c>
      <c r="AH57" s="69">
        <v>5232</v>
      </c>
      <c r="AI57" s="47">
        <v>5232</v>
      </c>
      <c r="AJ57" s="70">
        <v>94.52</v>
      </c>
      <c r="AK57" s="71">
        <v>94.52</v>
      </c>
      <c r="AL57" s="72">
        <v>39947</v>
      </c>
      <c r="AM57" s="47">
        <v>39947</v>
      </c>
      <c r="AN57" s="69">
        <v>42906</v>
      </c>
      <c r="AO57" s="47">
        <v>42906</v>
      </c>
      <c r="AP57" s="70">
        <v>93.1</v>
      </c>
      <c r="AQ57" s="71">
        <v>93.1</v>
      </c>
      <c r="AR57" s="50"/>
      <c r="AS57" s="75">
        <v>10.87</v>
      </c>
      <c r="AT57" s="75">
        <v>10.87</v>
      </c>
      <c r="AU57" s="50"/>
      <c r="AV57" s="76">
        <v>44892</v>
      </c>
      <c r="AW57" s="76" t="s">
        <v>65</v>
      </c>
      <c r="AX57" s="50"/>
      <c r="AY57" s="76">
        <v>48138</v>
      </c>
      <c r="AZ57" s="76" t="s">
        <v>65</v>
      </c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</row>
    <row r="58" spans="1:91" ht="14.25" customHeight="1" x14ac:dyDescent="0.35">
      <c r="A58" s="67" t="s">
        <v>5</v>
      </c>
      <c r="B58" s="93">
        <v>4977</v>
      </c>
      <c r="C58" s="47">
        <v>9922</v>
      </c>
      <c r="D58" s="69">
        <v>5268</v>
      </c>
      <c r="E58" s="47">
        <v>10500</v>
      </c>
      <c r="F58" s="70">
        <v>94.48</v>
      </c>
      <c r="G58" s="71">
        <v>94.5</v>
      </c>
      <c r="H58" s="72">
        <v>0</v>
      </c>
      <c r="I58" s="47">
        <v>0</v>
      </c>
      <c r="J58" s="69">
        <v>0</v>
      </c>
      <c r="K58" s="47">
        <v>0</v>
      </c>
      <c r="L58" s="70">
        <v>0</v>
      </c>
      <c r="M58" s="71">
        <v>0</v>
      </c>
      <c r="N58" s="72">
        <v>10974</v>
      </c>
      <c r="O58" s="47">
        <v>21441</v>
      </c>
      <c r="P58" s="69">
        <v>12619</v>
      </c>
      <c r="Q58" s="47">
        <v>24656</v>
      </c>
      <c r="R58" s="70">
        <v>86.96</v>
      </c>
      <c r="S58" s="71">
        <v>86.96</v>
      </c>
      <c r="T58" s="72">
        <v>29519</v>
      </c>
      <c r="U58" s="47">
        <v>58999</v>
      </c>
      <c r="V58" s="69">
        <v>30910</v>
      </c>
      <c r="W58" s="47">
        <v>61779</v>
      </c>
      <c r="X58" s="70">
        <v>95.5</v>
      </c>
      <c r="Y58" s="71">
        <v>95.5</v>
      </c>
      <c r="Z58" s="72">
        <v>45470</v>
      </c>
      <c r="AA58" s="47">
        <v>90362</v>
      </c>
      <c r="AB58" s="69">
        <v>48797</v>
      </c>
      <c r="AC58" s="47">
        <v>96935</v>
      </c>
      <c r="AD58" s="70">
        <v>93.18</v>
      </c>
      <c r="AE58" s="71">
        <v>93.22</v>
      </c>
      <c r="AF58" s="72">
        <v>4977</v>
      </c>
      <c r="AG58" s="47">
        <v>9922</v>
      </c>
      <c r="AH58" s="69">
        <v>5268</v>
      </c>
      <c r="AI58" s="47">
        <v>10500</v>
      </c>
      <c r="AJ58" s="70">
        <v>94.48</v>
      </c>
      <c r="AK58" s="71">
        <v>94.5</v>
      </c>
      <c r="AL58" s="72">
        <v>40493</v>
      </c>
      <c r="AM58" s="47">
        <v>80440</v>
      </c>
      <c r="AN58" s="69">
        <v>43530</v>
      </c>
      <c r="AO58" s="47">
        <v>86435</v>
      </c>
      <c r="AP58" s="70">
        <v>93.02</v>
      </c>
      <c r="AQ58" s="71">
        <v>93.06</v>
      </c>
      <c r="AR58" s="50"/>
      <c r="AS58" s="75">
        <v>10.79</v>
      </c>
      <c r="AT58" s="75">
        <v>10.83</v>
      </c>
      <c r="AU58" s="50"/>
      <c r="AV58" s="76">
        <v>45470</v>
      </c>
      <c r="AW58" s="76" t="s">
        <v>65</v>
      </c>
      <c r="AX58" s="50"/>
      <c r="AY58" s="76">
        <v>48797</v>
      </c>
      <c r="AZ58" s="76" t="s">
        <v>65</v>
      </c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</row>
    <row r="59" spans="1:91" ht="14.25" customHeight="1" x14ac:dyDescent="0.35">
      <c r="A59" s="67" t="s">
        <v>6</v>
      </c>
      <c r="B59" s="93">
        <v>4695</v>
      </c>
      <c r="C59" s="47">
        <v>14617</v>
      </c>
      <c r="D59" s="69">
        <v>4950</v>
      </c>
      <c r="E59" s="47">
        <v>15449</v>
      </c>
      <c r="F59" s="70">
        <v>94.86</v>
      </c>
      <c r="G59" s="71">
        <v>94.61</v>
      </c>
      <c r="H59" s="72">
        <v>0</v>
      </c>
      <c r="I59" s="47">
        <v>0</v>
      </c>
      <c r="J59" s="69">
        <v>0</v>
      </c>
      <c r="K59" s="47">
        <v>0</v>
      </c>
      <c r="L59" s="70">
        <v>0</v>
      </c>
      <c r="M59" s="71">
        <v>0</v>
      </c>
      <c r="N59" s="72">
        <v>6427</v>
      </c>
      <c r="O59" s="47">
        <v>27868</v>
      </c>
      <c r="P59" s="69">
        <v>7391</v>
      </c>
      <c r="Q59" s="47">
        <v>32047</v>
      </c>
      <c r="R59" s="70">
        <v>86.96</v>
      </c>
      <c r="S59" s="71">
        <v>86.96</v>
      </c>
      <c r="T59" s="72">
        <v>29159</v>
      </c>
      <c r="U59" s="47">
        <v>88158</v>
      </c>
      <c r="V59" s="69">
        <v>30533</v>
      </c>
      <c r="W59" s="47">
        <v>92312</v>
      </c>
      <c r="X59" s="70">
        <v>95.5</v>
      </c>
      <c r="Y59" s="71">
        <v>95.5</v>
      </c>
      <c r="Z59" s="72">
        <v>40281</v>
      </c>
      <c r="AA59" s="47">
        <v>130643</v>
      </c>
      <c r="AB59" s="69">
        <v>42873</v>
      </c>
      <c r="AC59" s="47">
        <v>139808</v>
      </c>
      <c r="AD59" s="70">
        <v>93.95</v>
      </c>
      <c r="AE59" s="71">
        <v>93.44</v>
      </c>
      <c r="AF59" s="72">
        <v>4695</v>
      </c>
      <c r="AG59" s="47">
        <v>14617</v>
      </c>
      <c r="AH59" s="69">
        <v>4950</v>
      </c>
      <c r="AI59" s="47">
        <v>15449</v>
      </c>
      <c r="AJ59" s="70">
        <v>94.86</v>
      </c>
      <c r="AK59" s="71">
        <v>94.61</v>
      </c>
      <c r="AL59" s="72">
        <v>35586</v>
      </c>
      <c r="AM59" s="47">
        <v>116026</v>
      </c>
      <c r="AN59" s="69">
        <v>37924</v>
      </c>
      <c r="AO59" s="47">
        <v>124359</v>
      </c>
      <c r="AP59" s="70">
        <v>93.84</v>
      </c>
      <c r="AQ59" s="71">
        <v>93.3</v>
      </c>
      <c r="AR59" s="50"/>
      <c r="AS59" s="75">
        <v>11.54</v>
      </c>
      <c r="AT59" s="75">
        <v>11.05</v>
      </c>
      <c r="AU59" s="50"/>
      <c r="AV59" s="76">
        <v>40281</v>
      </c>
      <c r="AW59" s="76" t="s">
        <v>65</v>
      </c>
      <c r="AX59" s="50"/>
      <c r="AY59" s="76">
        <v>42873</v>
      </c>
      <c r="AZ59" s="76" t="s">
        <v>65</v>
      </c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</row>
    <row r="60" spans="1:91" ht="14.25" customHeight="1" x14ac:dyDescent="0.35">
      <c r="A60" s="67" t="s">
        <v>7</v>
      </c>
      <c r="B60" s="93">
        <v>5104</v>
      </c>
      <c r="C60" s="47">
        <v>19721</v>
      </c>
      <c r="D60" s="69">
        <v>5415</v>
      </c>
      <c r="E60" s="47">
        <v>20864</v>
      </c>
      <c r="F60" s="70">
        <v>94.26</v>
      </c>
      <c r="G60" s="71">
        <v>94.52</v>
      </c>
      <c r="H60" s="72">
        <v>0</v>
      </c>
      <c r="I60" s="47">
        <v>0</v>
      </c>
      <c r="J60" s="69">
        <v>0</v>
      </c>
      <c r="K60" s="47">
        <v>0</v>
      </c>
      <c r="L60" s="70">
        <v>0</v>
      </c>
      <c r="M60" s="71">
        <v>0</v>
      </c>
      <c r="N60" s="72">
        <v>13646</v>
      </c>
      <c r="O60" s="47">
        <v>41514</v>
      </c>
      <c r="P60" s="69">
        <v>15693</v>
      </c>
      <c r="Q60" s="47">
        <v>47740</v>
      </c>
      <c r="R60" s="70">
        <v>86.96</v>
      </c>
      <c r="S60" s="71">
        <v>86.96</v>
      </c>
      <c r="T60" s="72">
        <v>29478</v>
      </c>
      <c r="U60" s="47">
        <v>117636</v>
      </c>
      <c r="V60" s="69">
        <v>30867</v>
      </c>
      <c r="W60" s="47">
        <v>123179</v>
      </c>
      <c r="X60" s="70">
        <v>95.5</v>
      </c>
      <c r="Y60" s="71">
        <v>95.5</v>
      </c>
      <c r="Z60" s="72">
        <v>48228</v>
      </c>
      <c r="AA60" s="47">
        <v>178872</v>
      </c>
      <c r="AB60" s="69">
        <v>51974</v>
      </c>
      <c r="AC60" s="47">
        <v>191783</v>
      </c>
      <c r="AD60" s="70">
        <v>92.79</v>
      </c>
      <c r="AE60" s="71">
        <v>93.27</v>
      </c>
      <c r="AF60" s="72">
        <v>5104</v>
      </c>
      <c r="AG60" s="47">
        <v>19721</v>
      </c>
      <c r="AH60" s="69">
        <v>5415</v>
      </c>
      <c r="AI60" s="47">
        <v>20864</v>
      </c>
      <c r="AJ60" s="70">
        <v>94.26</v>
      </c>
      <c r="AK60" s="71">
        <v>94.52</v>
      </c>
      <c r="AL60" s="72">
        <v>43124</v>
      </c>
      <c r="AM60" s="47">
        <v>159150</v>
      </c>
      <c r="AN60" s="69">
        <v>46560</v>
      </c>
      <c r="AO60" s="47">
        <v>170919</v>
      </c>
      <c r="AP60" s="70">
        <v>92.62</v>
      </c>
      <c r="AQ60" s="71">
        <v>93.11</v>
      </c>
      <c r="AR60" s="50"/>
      <c r="AS60" s="75">
        <v>10.42</v>
      </c>
      <c r="AT60" s="75">
        <v>10.88</v>
      </c>
      <c r="AU60" s="50"/>
      <c r="AV60" s="76">
        <v>48228</v>
      </c>
      <c r="AW60" s="76" t="s">
        <v>65</v>
      </c>
      <c r="AX60" s="50"/>
      <c r="AY60" s="76">
        <v>51974</v>
      </c>
      <c r="AZ60" s="76" t="s">
        <v>65</v>
      </c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</row>
    <row r="61" spans="1:91" ht="14.25" customHeight="1" x14ac:dyDescent="0.35">
      <c r="A61" s="67" t="s">
        <v>8</v>
      </c>
      <c r="B61" s="93">
        <v>1214</v>
      </c>
      <c r="C61" s="47">
        <v>20935</v>
      </c>
      <c r="D61" s="69">
        <v>1366</v>
      </c>
      <c r="E61" s="47">
        <v>22230</v>
      </c>
      <c r="F61" s="70">
        <v>88.83</v>
      </c>
      <c r="G61" s="71">
        <v>94.17</v>
      </c>
      <c r="H61" s="72">
        <v>0</v>
      </c>
      <c r="I61" s="47">
        <v>0</v>
      </c>
      <c r="J61" s="69">
        <v>0</v>
      </c>
      <c r="K61" s="47">
        <v>0</v>
      </c>
      <c r="L61" s="70">
        <v>0</v>
      </c>
      <c r="M61" s="71">
        <v>0</v>
      </c>
      <c r="N61" s="72">
        <v>18573</v>
      </c>
      <c r="O61" s="47">
        <v>60087</v>
      </c>
      <c r="P61" s="69">
        <v>21358</v>
      </c>
      <c r="Q61" s="47">
        <v>69098</v>
      </c>
      <c r="R61" s="70">
        <v>86.96</v>
      </c>
      <c r="S61" s="71">
        <v>86.96</v>
      </c>
      <c r="T61" s="72">
        <v>1900</v>
      </c>
      <c r="U61" s="47">
        <v>119536</v>
      </c>
      <c r="V61" s="69">
        <v>1989</v>
      </c>
      <c r="W61" s="47">
        <v>125168</v>
      </c>
      <c r="X61" s="70">
        <v>95.5</v>
      </c>
      <c r="Y61" s="71">
        <v>95.5</v>
      </c>
      <c r="Z61" s="72">
        <v>21686</v>
      </c>
      <c r="AA61" s="47">
        <v>200558</v>
      </c>
      <c r="AB61" s="69">
        <v>24714</v>
      </c>
      <c r="AC61" s="47">
        <v>216496</v>
      </c>
      <c r="AD61" s="70">
        <v>87.75</v>
      </c>
      <c r="AE61" s="71">
        <v>92.64</v>
      </c>
      <c r="AF61" s="72">
        <v>1214</v>
      </c>
      <c r="AG61" s="47">
        <v>20935</v>
      </c>
      <c r="AH61" s="69">
        <v>1366</v>
      </c>
      <c r="AI61" s="47">
        <v>22230</v>
      </c>
      <c r="AJ61" s="70">
        <v>88.83</v>
      </c>
      <c r="AK61" s="71">
        <v>94.17</v>
      </c>
      <c r="AL61" s="72">
        <v>20473</v>
      </c>
      <c r="AM61" s="47">
        <v>179623</v>
      </c>
      <c r="AN61" s="69">
        <v>23347</v>
      </c>
      <c r="AO61" s="47">
        <v>194266</v>
      </c>
      <c r="AP61" s="70">
        <v>87.69</v>
      </c>
      <c r="AQ61" s="71">
        <v>92.46</v>
      </c>
      <c r="AR61" s="50"/>
      <c r="AS61" s="75">
        <v>5.53</v>
      </c>
      <c r="AT61" s="75">
        <v>10.27</v>
      </c>
      <c r="AU61" s="50"/>
      <c r="AV61" s="76">
        <v>21686</v>
      </c>
      <c r="AW61" s="76" t="s">
        <v>65</v>
      </c>
      <c r="AX61" s="50"/>
      <c r="AY61" s="76">
        <v>24714</v>
      </c>
      <c r="AZ61" s="76" t="s">
        <v>65</v>
      </c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</row>
    <row r="62" spans="1:91" ht="14.25" customHeight="1" x14ac:dyDescent="0.35">
      <c r="A62" s="67" t="s">
        <v>9</v>
      </c>
      <c r="B62" s="93">
        <v>1330</v>
      </c>
      <c r="C62" s="47">
        <v>22264</v>
      </c>
      <c r="D62" s="69">
        <v>1501</v>
      </c>
      <c r="E62" s="47">
        <v>23731</v>
      </c>
      <c r="F62" s="70">
        <v>88.58</v>
      </c>
      <c r="G62" s="71">
        <v>93.82</v>
      </c>
      <c r="H62" s="72">
        <v>0</v>
      </c>
      <c r="I62" s="47">
        <v>0</v>
      </c>
      <c r="J62" s="69">
        <v>0</v>
      </c>
      <c r="K62" s="47">
        <v>0</v>
      </c>
      <c r="L62" s="70">
        <v>0</v>
      </c>
      <c r="M62" s="71">
        <v>0</v>
      </c>
      <c r="N62" s="72">
        <v>21141</v>
      </c>
      <c r="O62" s="47">
        <v>81228</v>
      </c>
      <c r="P62" s="69">
        <v>24311</v>
      </c>
      <c r="Q62" s="47">
        <v>93409</v>
      </c>
      <c r="R62" s="70">
        <v>86.96</v>
      </c>
      <c r="S62" s="71">
        <v>86.96</v>
      </c>
      <c r="T62" s="72">
        <v>1817</v>
      </c>
      <c r="U62" s="47">
        <v>121353</v>
      </c>
      <c r="V62" s="69">
        <v>1903</v>
      </c>
      <c r="W62" s="47">
        <v>127071</v>
      </c>
      <c r="X62" s="70">
        <v>95.5</v>
      </c>
      <c r="Y62" s="71">
        <v>95.5</v>
      </c>
      <c r="Z62" s="72">
        <v>24287</v>
      </c>
      <c r="AA62" s="47">
        <v>224845</v>
      </c>
      <c r="AB62" s="69">
        <v>27714</v>
      </c>
      <c r="AC62" s="47">
        <v>244210</v>
      </c>
      <c r="AD62" s="70">
        <v>87.63</v>
      </c>
      <c r="AE62" s="71">
        <v>92.07</v>
      </c>
      <c r="AF62" s="72">
        <v>1330</v>
      </c>
      <c r="AG62" s="47">
        <v>22264</v>
      </c>
      <c r="AH62" s="69">
        <v>1501</v>
      </c>
      <c r="AI62" s="47">
        <v>23731</v>
      </c>
      <c r="AJ62" s="70">
        <v>88.58</v>
      </c>
      <c r="AK62" s="71">
        <v>93.82</v>
      </c>
      <c r="AL62" s="72">
        <v>22958</v>
      </c>
      <c r="AM62" s="47">
        <v>202581</v>
      </c>
      <c r="AN62" s="69">
        <v>26213</v>
      </c>
      <c r="AO62" s="47">
        <v>220479</v>
      </c>
      <c r="AP62" s="70">
        <v>87.58</v>
      </c>
      <c r="AQ62" s="71">
        <v>91.88</v>
      </c>
      <c r="AR62" s="50"/>
      <c r="AS62" s="75">
        <v>5.42</v>
      </c>
      <c r="AT62" s="75">
        <v>9.7200000000000006</v>
      </c>
      <c r="AU62" s="50"/>
      <c r="AV62" s="76">
        <v>24287</v>
      </c>
      <c r="AW62" s="76" t="s">
        <v>65</v>
      </c>
      <c r="AX62" s="50"/>
      <c r="AY62" s="76">
        <v>27714</v>
      </c>
      <c r="AZ62" s="76" t="s">
        <v>65</v>
      </c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</row>
    <row r="63" spans="1:91" ht="14.25" customHeight="1" x14ac:dyDescent="0.35">
      <c r="A63" s="67" t="s">
        <v>10</v>
      </c>
      <c r="B63" s="93">
        <v>5928</v>
      </c>
      <c r="C63" s="47">
        <v>28192</v>
      </c>
      <c r="D63" s="69">
        <v>9119</v>
      </c>
      <c r="E63" s="47">
        <v>32850</v>
      </c>
      <c r="F63" s="70">
        <v>65</v>
      </c>
      <c r="G63" s="71">
        <v>85.82</v>
      </c>
      <c r="H63" s="72">
        <v>0</v>
      </c>
      <c r="I63" s="47">
        <v>0</v>
      </c>
      <c r="J63" s="69">
        <v>0</v>
      </c>
      <c r="K63" s="47">
        <v>0</v>
      </c>
      <c r="L63" s="70">
        <v>0</v>
      </c>
      <c r="M63" s="71">
        <v>0</v>
      </c>
      <c r="N63" s="72">
        <v>26948</v>
      </c>
      <c r="O63" s="47">
        <v>108176</v>
      </c>
      <c r="P63" s="69">
        <v>30989</v>
      </c>
      <c r="Q63" s="47">
        <v>124398</v>
      </c>
      <c r="R63" s="70">
        <v>86.96</v>
      </c>
      <c r="S63" s="71">
        <v>86.96</v>
      </c>
      <c r="T63" s="72">
        <v>3223</v>
      </c>
      <c r="U63" s="47">
        <v>124575</v>
      </c>
      <c r="V63" s="69">
        <v>3374</v>
      </c>
      <c r="W63" s="47">
        <v>130445</v>
      </c>
      <c r="X63" s="70">
        <v>95.5</v>
      </c>
      <c r="Y63" s="71">
        <v>95.5</v>
      </c>
      <c r="Z63" s="72">
        <v>36099</v>
      </c>
      <c r="AA63" s="47">
        <v>260944</v>
      </c>
      <c r="AB63" s="69">
        <v>43483</v>
      </c>
      <c r="AC63" s="47">
        <v>287693</v>
      </c>
      <c r="AD63" s="70">
        <v>83.02</v>
      </c>
      <c r="AE63" s="71">
        <v>90.7</v>
      </c>
      <c r="AF63" s="72">
        <v>5928</v>
      </c>
      <c r="AG63" s="47">
        <v>28192</v>
      </c>
      <c r="AH63" s="69">
        <v>9119</v>
      </c>
      <c r="AI63" s="47">
        <v>32850</v>
      </c>
      <c r="AJ63" s="70">
        <v>65</v>
      </c>
      <c r="AK63" s="71">
        <v>85.82</v>
      </c>
      <c r="AL63" s="72">
        <v>30171</v>
      </c>
      <c r="AM63" s="47">
        <v>232752</v>
      </c>
      <c r="AN63" s="69">
        <v>34364</v>
      </c>
      <c r="AO63" s="47">
        <v>254843</v>
      </c>
      <c r="AP63" s="70">
        <v>87.8</v>
      </c>
      <c r="AQ63" s="71">
        <v>91.33</v>
      </c>
      <c r="AR63" s="50"/>
      <c r="AS63" s="75">
        <v>20.97</v>
      </c>
      <c r="AT63" s="75">
        <v>11.42</v>
      </c>
      <c r="AU63" s="50"/>
      <c r="AV63" s="76">
        <v>36099</v>
      </c>
      <c r="AW63" s="76" t="s">
        <v>65</v>
      </c>
      <c r="AX63" s="50"/>
      <c r="AY63" s="76">
        <v>43483</v>
      </c>
      <c r="AZ63" s="76" t="s">
        <v>65</v>
      </c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</row>
    <row r="64" spans="1:91" ht="14.25" customHeight="1" x14ac:dyDescent="0.35">
      <c r="A64" s="67" t="s">
        <v>11</v>
      </c>
      <c r="B64" s="93">
        <v>1212</v>
      </c>
      <c r="C64" s="47">
        <v>29404</v>
      </c>
      <c r="D64" s="69">
        <v>1365</v>
      </c>
      <c r="E64" s="47">
        <v>34215</v>
      </c>
      <c r="F64" s="70">
        <v>88.83</v>
      </c>
      <c r="G64" s="71">
        <v>85.94</v>
      </c>
      <c r="H64" s="72">
        <v>0</v>
      </c>
      <c r="I64" s="47">
        <v>0</v>
      </c>
      <c r="J64" s="69">
        <v>0</v>
      </c>
      <c r="K64" s="47">
        <v>0</v>
      </c>
      <c r="L64" s="70">
        <v>0</v>
      </c>
      <c r="M64" s="71">
        <v>0</v>
      </c>
      <c r="N64" s="72">
        <v>18550</v>
      </c>
      <c r="O64" s="47">
        <v>126726</v>
      </c>
      <c r="P64" s="69">
        <v>21331</v>
      </c>
      <c r="Q64" s="47">
        <v>145729</v>
      </c>
      <c r="R64" s="70">
        <v>86.96</v>
      </c>
      <c r="S64" s="71">
        <v>86.96</v>
      </c>
      <c r="T64" s="72">
        <v>1899</v>
      </c>
      <c r="U64" s="47">
        <v>126475</v>
      </c>
      <c r="V64" s="69">
        <v>1989</v>
      </c>
      <c r="W64" s="47">
        <v>132434</v>
      </c>
      <c r="X64" s="70">
        <v>95.5</v>
      </c>
      <c r="Y64" s="71">
        <v>95.5</v>
      </c>
      <c r="Z64" s="72">
        <v>21661</v>
      </c>
      <c r="AA64" s="47">
        <v>282605</v>
      </c>
      <c r="AB64" s="69">
        <v>24685</v>
      </c>
      <c r="AC64" s="47">
        <v>312379</v>
      </c>
      <c r="AD64" s="70">
        <v>87.75</v>
      </c>
      <c r="AE64" s="71">
        <v>90.47</v>
      </c>
      <c r="AF64" s="72">
        <v>1212</v>
      </c>
      <c r="AG64" s="47">
        <v>29404</v>
      </c>
      <c r="AH64" s="69">
        <v>1365</v>
      </c>
      <c r="AI64" s="47">
        <v>34215</v>
      </c>
      <c r="AJ64" s="70">
        <v>88.83</v>
      </c>
      <c r="AK64" s="71">
        <v>85.94</v>
      </c>
      <c r="AL64" s="72">
        <v>20449</v>
      </c>
      <c r="AM64" s="47">
        <v>253201</v>
      </c>
      <c r="AN64" s="69">
        <v>23320</v>
      </c>
      <c r="AO64" s="47">
        <v>278164</v>
      </c>
      <c r="AP64" s="70">
        <v>87.69</v>
      </c>
      <c r="AQ64" s="71">
        <v>91.03</v>
      </c>
      <c r="AR64" s="50"/>
      <c r="AS64" s="75">
        <v>5.53</v>
      </c>
      <c r="AT64" s="75">
        <v>10.95</v>
      </c>
      <c r="AU64" s="50"/>
      <c r="AV64" s="76">
        <v>21661</v>
      </c>
      <c r="AW64" s="76" t="s">
        <v>65</v>
      </c>
      <c r="AX64" s="50"/>
      <c r="AY64" s="76">
        <v>24685</v>
      </c>
      <c r="AZ64" s="76" t="s">
        <v>65</v>
      </c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</row>
    <row r="65" spans="1:91" ht="14.25" customHeight="1" x14ac:dyDescent="0.35">
      <c r="A65" s="67" t="s">
        <v>12</v>
      </c>
      <c r="B65" s="93">
        <v>5813</v>
      </c>
      <c r="C65" s="47">
        <v>35217</v>
      </c>
      <c r="D65" s="69">
        <v>6194</v>
      </c>
      <c r="E65" s="47">
        <v>40409</v>
      </c>
      <c r="F65" s="70">
        <v>93.84</v>
      </c>
      <c r="G65" s="71">
        <v>87.15</v>
      </c>
      <c r="H65" s="72">
        <v>0</v>
      </c>
      <c r="I65" s="47">
        <v>0</v>
      </c>
      <c r="J65" s="69">
        <v>0</v>
      </c>
      <c r="K65" s="47">
        <v>0</v>
      </c>
      <c r="L65" s="70">
        <v>0</v>
      </c>
      <c r="M65" s="71">
        <v>0</v>
      </c>
      <c r="N65" s="72">
        <v>20950</v>
      </c>
      <c r="O65" s="47">
        <v>147676</v>
      </c>
      <c r="P65" s="69">
        <v>24091</v>
      </c>
      <c r="Q65" s="47">
        <v>169820</v>
      </c>
      <c r="R65" s="70">
        <v>86.96</v>
      </c>
      <c r="S65" s="71">
        <v>86.96</v>
      </c>
      <c r="T65" s="72">
        <v>31768</v>
      </c>
      <c r="U65" s="47">
        <v>158243</v>
      </c>
      <c r="V65" s="69">
        <v>33265</v>
      </c>
      <c r="W65" s="47">
        <v>165699</v>
      </c>
      <c r="X65" s="70">
        <v>95.5</v>
      </c>
      <c r="Y65" s="71">
        <v>95.5</v>
      </c>
      <c r="Z65" s="72">
        <v>58530</v>
      </c>
      <c r="AA65" s="47">
        <v>341136</v>
      </c>
      <c r="AB65" s="69">
        <v>63551</v>
      </c>
      <c r="AC65" s="47">
        <v>375929</v>
      </c>
      <c r="AD65" s="70">
        <v>92.1</v>
      </c>
      <c r="AE65" s="71">
        <v>90.74</v>
      </c>
      <c r="AF65" s="72">
        <v>5813</v>
      </c>
      <c r="AG65" s="47">
        <v>35217</v>
      </c>
      <c r="AH65" s="69">
        <v>6194</v>
      </c>
      <c r="AI65" s="47">
        <v>40409</v>
      </c>
      <c r="AJ65" s="70">
        <v>93.84</v>
      </c>
      <c r="AK65" s="71">
        <v>87.15</v>
      </c>
      <c r="AL65" s="72">
        <v>52718</v>
      </c>
      <c r="AM65" s="47">
        <v>305919</v>
      </c>
      <c r="AN65" s="69">
        <v>57356</v>
      </c>
      <c r="AO65" s="47">
        <v>335520</v>
      </c>
      <c r="AP65" s="70">
        <v>91.91</v>
      </c>
      <c r="AQ65" s="71">
        <v>91.18</v>
      </c>
      <c r="AR65" s="50"/>
      <c r="AS65" s="75">
        <v>9.75</v>
      </c>
      <c r="AT65" s="75">
        <v>10.75</v>
      </c>
      <c r="AU65" s="50"/>
      <c r="AV65" s="76">
        <v>58530</v>
      </c>
      <c r="AW65" s="76" t="s">
        <v>65</v>
      </c>
      <c r="AX65" s="50"/>
      <c r="AY65" s="76">
        <v>63551</v>
      </c>
      <c r="AZ65" s="76" t="s">
        <v>65</v>
      </c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</row>
    <row r="66" spans="1:91" ht="14.25" customHeight="1" x14ac:dyDescent="0.35">
      <c r="A66" s="67" t="s">
        <v>13</v>
      </c>
      <c r="B66" s="93">
        <v>16147</v>
      </c>
      <c r="C66" s="47">
        <v>51364</v>
      </c>
      <c r="D66" s="69">
        <v>23677</v>
      </c>
      <c r="E66" s="47">
        <v>64086</v>
      </c>
      <c r="F66" s="70">
        <v>68.2</v>
      </c>
      <c r="G66" s="71">
        <v>80.150000000000006</v>
      </c>
      <c r="H66" s="72">
        <v>0</v>
      </c>
      <c r="I66" s="47">
        <v>0</v>
      </c>
      <c r="J66" s="69">
        <v>0</v>
      </c>
      <c r="K66" s="47">
        <v>0</v>
      </c>
      <c r="L66" s="70">
        <v>0</v>
      </c>
      <c r="M66" s="71">
        <v>0</v>
      </c>
      <c r="N66" s="72">
        <v>30835</v>
      </c>
      <c r="O66" s="47">
        <v>178511</v>
      </c>
      <c r="P66" s="69">
        <v>35459</v>
      </c>
      <c r="Q66" s="47">
        <v>205279</v>
      </c>
      <c r="R66" s="70">
        <v>86.96</v>
      </c>
      <c r="S66" s="71">
        <v>86.96</v>
      </c>
      <c r="T66" s="72">
        <v>32271</v>
      </c>
      <c r="U66" s="47">
        <v>190514</v>
      </c>
      <c r="V66" s="69">
        <v>33792</v>
      </c>
      <c r="W66" s="47">
        <v>199491</v>
      </c>
      <c r="X66" s="70">
        <v>95.5</v>
      </c>
      <c r="Y66" s="71">
        <v>95.5</v>
      </c>
      <c r="Z66" s="72">
        <v>79253</v>
      </c>
      <c r="AA66" s="47">
        <v>420389</v>
      </c>
      <c r="AB66" s="69">
        <v>92928</v>
      </c>
      <c r="AC66" s="47">
        <v>468857</v>
      </c>
      <c r="AD66" s="70">
        <v>85.28</v>
      </c>
      <c r="AE66" s="71">
        <v>89.66</v>
      </c>
      <c r="AF66" s="72">
        <v>16147</v>
      </c>
      <c r="AG66" s="47">
        <v>51364</v>
      </c>
      <c r="AH66" s="69">
        <v>23677</v>
      </c>
      <c r="AI66" s="47">
        <v>64086</v>
      </c>
      <c r="AJ66" s="70">
        <v>68.2</v>
      </c>
      <c r="AK66" s="71">
        <v>80.150000000000006</v>
      </c>
      <c r="AL66" s="72">
        <v>63106</v>
      </c>
      <c r="AM66" s="47">
        <v>369025</v>
      </c>
      <c r="AN66" s="69">
        <v>69251</v>
      </c>
      <c r="AO66" s="47">
        <v>404770</v>
      </c>
      <c r="AP66" s="70">
        <v>91.13</v>
      </c>
      <c r="AQ66" s="71">
        <v>91.17</v>
      </c>
      <c r="AR66" s="50"/>
      <c r="AS66" s="75">
        <v>25.48</v>
      </c>
      <c r="AT66" s="75">
        <v>13.67</v>
      </c>
      <c r="AU66" s="50"/>
      <c r="AV66" s="76">
        <v>79253</v>
      </c>
      <c r="AW66" s="76" t="s">
        <v>65</v>
      </c>
      <c r="AX66" s="50"/>
      <c r="AY66" s="76">
        <v>92928</v>
      </c>
      <c r="AZ66" s="76" t="s">
        <v>65</v>
      </c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</row>
    <row r="67" spans="1:91" ht="14.25" customHeight="1" x14ac:dyDescent="0.35">
      <c r="A67" s="67" t="s">
        <v>14</v>
      </c>
      <c r="B67" s="93">
        <v>6099</v>
      </c>
      <c r="C67" s="47">
        <v>57463</v>
      </c>
      <c r="D67" s="69">
        <v>6517</v>
      </c>
      <c r="E67" s="47">
        <v>70603</v>
      </c>
      <c r="F67" s="70">
        <v>93.6</v>
      </c>
      <c r="G67" s="71">
        <v>81.39</v>
      </c>
      <c r="H67" s="72">
        <v>0</v>
      </c>
      <c r="I67" s="47">
        <v>0</v>
      </c>
      <c r="J67" s="69">
        <v>0</v>
      </c>
      <c r="K67" s="47">
        <v>0</v>
      </c>
      <c r="L67" s="70">
        <v>0</v>
      </c>
      <c r="M67" s="71">
        <v>0</v>
      </c>
      <c r="N67" s="72">
        <v>25266</v>
      </c>
      <c r="O67" s="47">
        <v>203776</v>
      </c>
      <c r="P67" s="69">
        <v>29054</v>
      </c>
      <c r="Q67" s="47">
        <v>234334</v>
      </c>
      <c r="R67" s="70">
        <v>86.96</v>
      </c>
      <c r="S67" s="71">
        <v>86.96</v>
      </c>
      <c r="T67" s="72">
        <v>32240</v>
      </c>
      <c r="U67" s="47">
        <v>222754</v>
      </c>
      <c r="V67" s="69">
        <v>33759</v>
      </c>
      <c r="W67" s="47">
        <v>233250</v>
      </c>
      <c r="X67" s="70">
        <v>95.5</v>
      </c>
      <c r="Y67" s="71">
        <v>95.5</v>
      </c>
      <c r="Z67" s="72">
        <v>63605</v>
      </c>
      <c r="AA67" s="47">
        <v>483994</v>
      </c>
      <c r="AB67" s="69">
        <v>69330</v>
      </c>
      <c r="AC67" s="47">
        <v>538187</v>
      </c>
      <c r="AD67" s="70">
        <v>91.74</v>
      </c>
      <c r="AE67" s="71">
        <v>89.93</v>
      </c>
      <c r="AF67" s="72">
        <v>6099</v>
      </c>
      <c r="AG67" s="47">
        <v>57463</v>
      </c>
      <c r="AH67" s="69">
        <v>6517</v>
      </c>
      <c r="AI67" s="47">
        <v>70603</v>
      </c>
      <c r="AJ67" s="70">
        <v>93.6</v>
      </c>
      <c r="AK67" s="71">
        <v>81.39</v>
      </c>
      <c r="AL67" s="72">
        <v>57506</v>
      </c>
      <c r="AM67" s="47">
        <v>426531</v>
      </c>
      <c r="AN67" s="69">
        <v>62814</v>
      </c>
      <c r="AO67" s="47">
        <v>467584</v>
      </c>
      <c r="AP67" s="70">
        <v>91.55</v>
      </c>
      <c r="AQ67" s="71">
        <v>91.22</v>
      </c>
      <c r="AR67" s="50"/>
      <c r="AS67" s="75">
        <v>9.4</v>
      </c>
      <c r="AT67" s="75">
        <v>13.12</v>
      </c>
      <c r="AU67" s="50"/>
      <c r="AV67" s="76">
        <v>63605</v>
      </c>
      <c r="AW67" s="76" t="s">
        <v>65</v>
      </c>
      <c r="AX67" s="50"/>
      <c r="AY67" s="76">
        <v>69330</v>
      </c>
      <c r="AZ67" s="76" t="s">
        <v>65</v>
      </c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</row>
    <row r="68" spans="1:91" ht="14.25" customHeight="1" x14ac:dyDescent="0.35">
      <c r="A68" s="67" t="s">
        <v>15</v>
      </c>
      <c r="B68" s="94">
        <v>9399</v>
      </c>
      <c r="C68" s="78">
        <v>66862</v>
      </c>
      <c r="D68" s="79">
        <v>12595</v>
      </c>
      <c r="E68" s="78">
        <v>83198</v>
      </c>
      <c r="F68" s="80">
        <v>74.62</v>
      </c>
      <c r="G68" s="81">
        <v>80.36</v>
      </c>
      <c r="H68" s="82">
        <v>0</v>
      </c>
      <c r="I68" s="78">
        <v>0</v>
      </c>
      <c r="J68" s="79">
        <v>0</v>
      </c>
      <c r="K68" s="78">
        <v>0</v>
      </c>
      <c r="L68" s="80">
        <v>0</v>
      </c>
      <c r="M68" s="81">
        <v>0</v>
      </c>
      <c r="N68" s="82">
        <v>17424</v>
      </c>
      <c r="O68" s="78">
        <v>221201</v>
      </c>
      <c r="P68" s="79">
        <v>20037</v>
      </c>
      <c r="Q68" s="78">
        <v>254371</v>
      </c>
      <c r="R68" s="80">
        <v>86.96</v>
      </c>
      <c r="S68" s="81">
        <v>86.96</v>
      </c>
      <c r="T68" s="82">
        <v>30618</v>
      </c>
      <c r="U68" s="78">
        <v>253372</v>
      </c>
      <c r="V68" s="79">
        <v>32060</v>
      </c>
      <c r="W68" s="78">
        <v>265311</v>
      </c>
      <c r="X68" s="80">
        <v>95.5</v>
      </c>
      <c r="Y68" s="81">
        <v>95.5</v>
      </c>
      <c r="Z68" s="82">
        <v>57441</v>
      </c>
      <c r="AA68" s="78">
        <v>541434</v>
      </c>
      <c r="AB68" s="79">
        <v>64692</v>
      </c>
      <c r="AC68" s="78">
        <v>602879</v>
      </c>
      <c r="AD68" s="80">
        <v>88.79</v>
      </c>
      <c r="AE68" s="81">
        <v>89.81</v>
      </c>
      <c r="AF68" s="82">
        <v>9399</v>
      </c>
      <c r="AG68" s="78">
        <v>66862</v>
      </c>
      <c r="AH68" s="79">
        <v>12595</v>
      </c>
      <c r="AI68" s="78">
        <v>83198</v>
      </c>
      <c r="AJ68" s="80">
        <v>74.62</v>
      </c>
      <c r="AK68" s="81">
        <v>80.36</v>
      </c>
      <c r="AL68" s="82">
        <v>48042</v>
      </c>
      <c r="AM68" s="78">
        <v>474573</v>
      </c>
      <c r="AN68" s="79">
        <v>52098</v>
      </c>
      <c r="AO68" s="78">
        <v>519682</v>
      </c>
      <c r="AP68" s="80">
        <v>92.22</v>
      </c>
      <c r="AQ68" s="81">
        <v>91.32</v>
      </c>
      <c r="AR68" s="50"/>
      <c r="AS68" s="75">
        <v>19.47</v>
      </c>
      <c r="AT68" s="75">
        <v>13.8</v>
      </c>
      <c r="AU68" s="50"/>
      <c r="AV68" s="76">
        <v>57441</v>
      </c>
      <c r="AW68" s="76" t="s">
        <v>65</v>
      </c>
      <c r="AX68" s="50"/>
      <c r="AY68" s="76">
        <v>64692</v>
      </c>
      <c r="AZ68" s="76" t="s">
        <v>65</v>
      </c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</row>
    <row r="69" spans="1:91" ht="14.2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10">
        <v>0</v>
      </c>
      <c r="AE69" s="10">
        <v>0</v>
      </c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</row>
    <row r="70" spans="1:91" ht="14.25" customHeight="1" x14ac:dyDescent="0.35">
      <c r="A70" s="50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</row>
    <row r="71" spans="1:91" ht="14.25" customHeight="1" x14ac:dyDescent="0.35">
      <c r="A71" s="56" t="s">
        <v>156</v>
      </c>
      <c r="B71" s="50"/>
      <c r="C71" s="50"/>
      <c r="D71" s="50"/>
      <c r="E71" s="50"/>
      <c r="F71" s="50"/>
      <c r="G71" s="50"/>
      <c r="H71" s="56" t="s">
        <v>121</v>
      </c>
      <c r="I71" s="50"/>
      <c r="J71" s="50"/>
      <c r="K71" s="50"/>
      <c r="L71" s="50"/>
      <c r="M71" s="50"/>
      <c r="N71" s="56" t="s">
        <v>157</v>
      </c>
      <c r="O71" s="50"/>
      <c r="P71" s="50"/>
      <c r="Q71" s="50"/>
      <c r="R71" s="50"/>
      <c r="S71" s="50"/>
      <c r="T71" s="95" t="s">
        <v>122</v>
      </c>
      <c r="U71" s="50"/>
      <c r="V71" s="50"/>
      <c r="W71" s="50"/>
      <c r="X71" s="50"/>
      <c r="Y71" s="50"/>
      <c r="Z71" s="56" t="s">
        <v>95</v>
      </c>
      <c r="AA71" s="50"/>
      <c r="AB71" s="50"/>
      <c r="AC71" s="50"/>
      <c r="AD71" s="50"/>
      <c r="AE71" s="50"/>
      <c r="AF71" s="56" t="s">
        <v>116</v>
      </c>
      <c r="AG71" s="50"/>
      <c r="AH71" s="50"/>
      <c r="AI71" s="50"/>
      <c r="AJ71" s="50"/>
      <c r="AK71" s="50"/>
      <c r="AL71" s="56" t="s">
        <v>123</v>
      </c>
      <c r="AM71" s="50"/>
      <c r="AN71" s="50"/>
      <c r="AO71" s="50"/>
      <c r="AP71" s="50"/>
      <c r="AQ71" s="50"/>
      <c r="AR71" s="56" t="s">
        <v>124</v>
      </c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10" t="s">
        <v>101</v>
      </c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</row>
    <row r="72" spans="1:91" ht="14.25" customHeight="1" x14ac:dyDescent="0.35">
      <c r="A72" s="57" t="s">
        <v>102</v>
      </c>
      <c r="B72" s="58" t="s">
        <v>2</v>
      </c>
      <c r="C72" s="59"/>
      <c r="D72" s="58" t="s">
        <v>3</v>
      </c>
      <c r="E72" s="59"/>
      <c r="F72" s="58" t="s">
        <v>103</v>
      </c>
      <c r="G72" s="60"/>
      <c r="H72" s="96" t="s">
        <v>2</v>
      </c>
      <c r="I72" s="59"/>
      <c r="J72" s="58" t="s">
        <v>3</v>
      </c>
      <c r="K72" s="59"/>
      <c r="L72" s="58" t="s">
        <v>103</v>
      </c>
      <c r="M72" s="60"/>
      <c r="N72" s="96" t="s">
        <v>2</v>
      </c>
      <c r="O72" s="59"/>
      <c r="P72" s="58" t="s">
        <v>3</v>
      </c>
      <c r="Q72" s="59"/>
      <c r="R72" s="58" t="s">
        <v>103</v>
      </c>
      <c r="S72" s="60"/>
      <c r="T72" s="61" t="s">
        <v>2</v>
      </c>
      <c r="U72" s="59"/>
      <c r="V72" s="58" t="s">
        <v>3</v>
      </c>
      <c r="W72" s="59"/>
      <c r="X72" s="58" t="s">
        <v>103</v>
      </c>
      <c r="Y72" s="60"/>
      <c r="Z72" s="96" t="s">
        <v>2</v>
      </c>
      <c r="AA72" s="59"/>
      <c r="AB72" s="58" t="s">
        <v>3</v>
      </c>
      <c r="AC72" s="59"/>
      <c r="AD72" s="58" t="s">
        <v>103</v>
      </c>
      <c r="AE72" s="60"/>
      <c r="AF72" s="96" t="s">
        <v>2</v>
      </c>
      <c r="AG72" s="59"/>
      <c r="AH72" s="58" t="s">
        <v>3</v>
      </c>
      <c r="AI72" s="59"/>
      <c r="AJ72" s="58" t="s">
        <v>103</v>
      </c>
      <c r="AK72" s="60"/>
      <c r="AL72" s="97" t="s">
        <v>2</v>
      </c>
      <c r="AM72" s="98"/>
      <c r="AN72" s="99" t="s">
        <v>3</v>
      </c>
      <c r="AO72" s="98"/>
      <c r="AP72" s="99" t="s">
        <v>103</v>
      </c>
      <c r="AQ72" s="100"/>
      <c r="AR72" s="97" t="s">
        <v>2</v>
      </c>
      <c r="AS72" s="98"/>
      <c r="AT72" s="99" t="s">
        <v>3</v>
      </c>
      <c r="AU72" s="98"/>
      <c r="AV72" s="99" t="s">
        <v>103</v>
      </c>
      <c r="AW72" s="100"/>
      <c r="AX72" s="50"/>
      <c r="AY72" s="50"/>
      <c r="AZ72" s="50"/>
      <c r="BA72" s="50"/>
      <c r="BB72" s="50"/>
      <c r="BC72" s="50"/>
      <c r="BD72" s="10">
        <v>100</v>
      </c>
      <c r="BE72" s="50"/>
      <c r="BF72" s="50"/>
      <c r="BG72" s="10" t="s">
        <v>104</v>
      </c>
      <c r="BH72" s="50"/>
      <c r="BI72" s="50"/>
      <c r="BJ72" s="10" t="s">
        <v>105</v>
      </c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</row>
    <row r="73" spans="1:91" ht="14.25" customHeight="1" x14ac:dyDescent="0.35">
      <c r="A73" s="87" t="s">
        <v>102</v>
      </c>
      <c r="B73" s="63" t="s">
        <v>106</v>
      </c>
      <c r="C73" s="63" t="s">
        <v>107</v>
      </c>
      <c r="D73" s="63" t="s">
        <v>106</v>
      </c>
      <c r="E73" s="63" t="s">
        <v>107</v>
      </c>
      <c r="F73" s="63" t="s">
        <v>106</v>
      </c>
      <c r="G73" s="64" t="s">
        <v>107</v>
      </c>
      <c r="H73" s="63" t="s">
        <v>106</v>
      </c>
      <c r="I73" s="63" t="s">
        <v>107</v>
      </c>
      <c r="J73" s="63" t="s">
        <v>106</v>
      </c>
      <c r="K73" s="63" t="s">
        <v>107</v>
      </c>
      <c r="L73" s="63" t="s">
        <v>106</v>
      </c>
      <c r="M73" s="64" t="s">
        <v>107</v>
      </c>
      <c r="N73" s="63" t="s">
        <v>106</v>
      </c>
      <c r="O73" s="63" t="s">
        <v>107</v>
      </c>
      <c r="P73" s="63" t="s">
        <v>106</v>
      </c>
      <c r="Q73" s="63" t="s">
        <v>107</v>
      </c>
      <c r="R73" s="63" t="s">
        <v>106</v>
      </c>
      <c r="S73" s="64" t="s">
        <v>107</v>
      </c>
      <c r="T73" s="65" t="s">
        <v>106</v>
      </c>
      <c r="U73" s="63" t="s">
        <v>107</v>
      </c>
      <c r="V73" s="63" t="s">
        <v>106</v>
      </c>
      <c r="W73" s="63" t="s">
        <v>107</v>
      </c>
      <c r="X73" s="63" t="s">
        <v>106</v>
      </c>
      <c r="Y73" s="64" t="s">
        <v>107</v>
      </c>
      <c r="Z73" s="63" t="s">
        <v>106</v>
      </c>
      <c r="AA73" s="63" t="s">
        <v>107</v>
      </c>
      <c r="AB73" s="63" t="s">
        <v>106</v>
      </c>
      <c r="AC73" s="63" t="s">
        <v>107</v>
      </c>
      <c r="AD73" s="63" t="s">
        <v>106</v>
      </c>
      <c r="AE73" s="64" t="s">
        <v>107</v>
      </c>
      <c r="AF73" s="63" t="s">
        <v>106</v>
      </c>
      <c r="AG73" s="63" t="s">
        <v>107</v>
      </c>
      <c r="AH73" s="63" t="s">
        <v>106</v>
      </c>
      <c r="AI73" s="63" t="s">
        <v>107</v>
      </c>
      <c r="AJ73" s="63" t="s">
        <v>106</v>
      </c>
      <c r="AK73" s="64" t="s">
        <v>107</v>
      </c>
      <c r="AL73" s="65" t="s">
        <v>106</v>
      </c>
      <c r="AM73" s="63" t="s">
        <v>107</v>
      </c>
      <c r="AN73" s="63" t="s">
        <v>106</v>
      </c>
      <c r="AO73" s="63" t="s">
        <v>107</v>
      </c>
      <c r="AP73" s="63" t="s">
        <v>106</v>
      </c>
      <c r="AQ73" s="64" t="s">
        <v>107</v>
      </c>
      <c r="AR73" s="65" t="s">
        <v>106</v>
      </c>
      <c r="AS73" s="63" t="s">
        <v>107</v>
      </c>
      <c r="AT73" s="63" t="s">
        <v>106</v>
      </c>
      <c r="AU73" s="63" t="s">
        <v>107</v>
      </c>
      <c r="AV73" s="63" t="s">
        <v>106</v>
      </c>
      <c r="AW73" s="64" t="s">
        <v>107</v>
      </c>
      <c r="AX73" s="50"/>
      <c r="AY73" s="50"/>
      <c r="AZ73" s="50"/>
      <c r="BA73" s="50"/>
      <c r="BB73" s="50"/>
      <c r="BC73" s="50"/>
      <c r="BD73" s="66" t="s">
        <v>106</v>
      </c>
      <c r="BE73" s="66" t="s">
        <v>107</v>
      </c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</row>
    <row r="74" spans="1:91" ht="14.25" customHeight="1" x14ac:dyDescent="0.35">
      <c r="A74" s="67" t="s">
        <v>4</v>
      </c>
      <c r="B74" s="68">
        <v>47877</v>
      </c>
      <c r="C74" s="47">
        <v>47877</v>
      </c>
      <c r="D74" s="69">
        <v>79813</v>
      </c>
      <c r="E74" s="47">
        <v>79813</v>
      </c>
      <c r="F74" s="70">
        <v>59.99</v>
      </c>
      <c r="G74" s="71">
        <v>59.99</v>
      </c>
      <c r="H74" s="101"/>
      <c r="I74" s="47">
        <v>0</v>
      </c>
      <c r="J74" s="102"/>
      <c r="K74" s="47">
        <v>0</v>
      </c>
      <c r="L74" s="70">
        <v>0</v>
      </c>
      <c r="M74" s="71">
        <v>0</v>
      </c>
      <c r="N74" s="72">
        <v>47877</v>
      </c>
      <c r="O74" s="47">
        <v>47877</v>
      </c>
      <c r="P74" s="69">
        <v>79813</v>
      </c>
      <c r="Q74" s="47">
        <v>79813</v>
      </c>
      <c r="R74" s="70">
        <v>59.99</v>
      </c>
      <c r="S74" s="71">
        <v>59.99</v>
      </c>
      <c r="T74" s="72">
        <v>0</v>
      </c>
      <c r="U74" s="47">
        <v>0</v>
      </c>
      <c r="V74" s="69">
        <v>0</v>
      </c>
      <c r="W74" s="47">
        <v>0</v>
      </c>
      <c r="X74" s="70">
        <v>0</v>
      </c>
      <c r="Y74" s="71">
        <v>0</v>
      </c>
      <c r="Z74" s="72">
        <v>10467</v>
      </c>
      <c r="AA74" s="47">
        <v>10467</v>
      </c>
      <c r="AB74" s="69">
        <v>12037</v>
      </c>
      <c r="AC74" s="47">
        <v>12037</v>
      </c>
      <c r="AD74" s="70">
        <v>86.96</v>
      </c>
      <c r="AE74" s="71">
        <v>86.96</v>
      </c>
      <c r="AF74" s="72">
        <v>13150</v>
      </c>
      <c r="AG74" s="47">
        <v>13150</v>
      </c>
      <c r="AH74" s="69">
        <v>14559</v>
      </c>
      <c r="AI74" s="47">
        <v>14559</v>
      </c>
      <c r="AJ74" s="70">
        <v>90.32</v>
      </c>
      <c r="AK74" s="71">
        <v>90.32</v>
      </c>
      <c r="AL74" s="72">
        <v>71495</v>
      </c>
      <c r="AM74" s="47">
        <v>71495</v>
      </c>
      <c r="AN74" s="69">
        <v>106409</v>
      </c>
      <c r="AO74" s="47">
        <v>106409</v>
      </c>
      <c r="AP74" s="70">
        <v>67.19</v>
      </c>
      <c r="AQ74" s="71">
        <v>67.19</v>
      </c>
      <c r="AR74" s="72">
        <v>116387</v>
      </c>
      <c r="AS74" s="47">
        <v>116387</v>
      </c>
      <c r="AT74" s="69">
        <v>154547</v>
      </c>
      <c r="AU74" s="47">
        <v>154547</v>
      </c>
      <c r="AV74" s="70">
        <v>75.31</v>
      </c>
      <c r="AW74" s="71">
        <v>75.31</v>
      </c>
      <c r="AX74" s="50"/>
      <c r="AY74" s="50"/>
      <c r="AZ74" s="50"/>
      <c r="BA74" s="50"/>
      <c r="BB74" s="50"/>
      <c r="BC74" s="50"/>
      <c r="BD74" s="75">
        <v>75.010000000000005</v>
      </c>
      <c r="BE74" s="75">
        <v>75.010000000000005</v>
      </c>
      <c r="BF74" s="50"/>
      <c r="BG74" s="76">
        <v>71495</v>
      </c>
      <c r="BH74" s="76" t="s">
        <v>65</v>
      </c>
      <c r="BI74" s="50"/>
      <c r="BJ74" s="76">
        <v>106409</v>
      </c>
      <c r="BK74" s="76" t="s">
        <v>65</v>
      </c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</row>
    <row r="75" spans="1:91" ht="14.25" customHeight="1" x14ac:dyDescent="0.35">
      <c r="A75" s="67" t="s">
        <v>5</v>
      </c>
      <c r="B75" s="68">
        <v>41132</v>
      </c>
      <c r="C75" s="47">
        <v>89009</v>
      </c>
      <c r="D75" s="69">
        <v>68050</v>
      </c>
      <c r="E75" s="47">
        <v>147863</v>
      </c>
      <c r="F75" s="70">
        <v>60.44</v>
      </c>
      <c r="G75" s="71">
        <v>60.2</v>
      </c>
      <c r="H75" s="101"/>
      <c r="I75" s="47">
        <v>0</v>
      </c>
      <c r="J75" s="102"/>
      <c r="K75" s="47">
        <v>0</v>
      </c>
      <c r="L75" s="70">
        <v>0</v>
      </c>
      <c r="M75" s="71">
        <v>0</v>
      </c>
      <c r="N75" s="72">
        <v>41132</v>
      </c>
      <c r="O75" s="47">
        <v>89009</v>
      </c>
      <c r="P75" s="69">
        <v>68050</v>
      </c>
      <c r="Q75" s="47">
        <v>147863</v>
      </c>
      <c r="R75" s="70">
        <v>60.44</v>
      </c>
      <c r="S75" s="71">
        <v>60.2</v>
      </c>
      <c r="T75" s="72">
        <v>0</v>
      </c>
      <c r="U75" s="47">
        <v>0</v>
      </c>
      <c r="V75" s="69">
        <v>0</v>
      </c>
      <c r="W75" s="47">
        <v>0</v>
      </c>
      <c r="X75" s="70">
        <v>0</v>
      </c>
      <c r="Y75" s="71">
        <v>0</v>
      </c>
      <c r="Z75" s="72">
        <v>10974</v>
      </c>
      <c r="AA75" s="47">
        <v>21441</v>
      </c>
      <c r="AB75" s="69">
        <v>12619</v>
      </c>
      <c r="AC75" s="47">
        <v>24656</v>
      </c>
      <c r="AD75" s="70">
        <v>86.96</v>
      </c>
      <c r="AE75" s="71">
        <v>86.96</v>
      </c>
      <c r="AF75" s="72">
        <v>13786</v>
      </c>
      <c r="AG75" s="47">
        <v>26935</v>
      </c>
      <c r="AH75" s="69">
        <v>15263</v>
      </c>
      <c r="AI75" s="47">
        <v>29822</v>
      </c>
      <c r="AJ75" s="70">
        <v>90.32</v>
      </c>
      <c r="AK75" s="71">
        <v>90.32</v>
      </c>
      <c r="AL75" s="72">
        <v>65891</v>
      </c>
      <c r="AM75" s="47">
        <v>137386</v>
      </c>
      <c r="AN75" s="69">
        <v>95933</v>
      </c>
      <c r="AO75" s="47">
        <v>202342</v>
      </c>
      <c r="AP75" s="70">
        <v>68.680000000000007</v>
      </c>
      <c r="AQ75" s="71">
        <v>67.900000000000006</v>
      </c>
      <c r="AR75" s="72">
        <v>111361</v>
      </c>
      <c r="AS75" s="47">
        <v>227747</v>
      </c>
      <c r="AT75" s="69">
        <v>144730</v>
      </c>
      <c r="AU75" s="47">
        <v>299276</v>
      </c>
      <c r="AV75" s="70">
        <v>76.94</v>
      </c>
      <c r="AW75" s="71">
        <v>76.099999999999994</v>
      </c>
      <c r="AX75" s="50"/>
      <c r="AY75" s="50"/>
      <c r="AZ75" s="50"/>
      <c r="BA75" s="50"/>
      <c r="BB75" s="50"/>
      <c r="BC75" s="50"/>
      <c r="BD75" s="75">
        <v>70.94</v>
      </c>
      <c r="BE75" s="75">
        <v>73.08</v>
      </c>
      <c r="BF75" s="50"/>
      <c r="BG75" s="76">
        <v>65891</v>
      </c>
      <c r="BH75" s="76" t="s">
        <v>65</v>
      </c>
      <c r="BI75" s="50"/>
      <c r="BJ75" s="76">
        <v>95933</v>
      </c>
      <c r="BK75" s="76" t="s">
        <v>65</v>
      </c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</row>
    <row r="76" spans="1:91" ht="14.25" customHeight="1" x14ac:dyDescent="0.35">
      <c r="A76" s="67" t="s">
        <v>6</v>
      </c>
      <c r="B76" s="68">
        <v>27320</v>
      </c>
      <c r="C76" s="47">
        <v>116329</v>
      </c>
      <c r="D76" s="69">
        <v>45424</v>
      </c>
      <c r="E76" s="47">
        <v>193287</v>
      </c>
      <c r="F76" s="70">
        <v>60.14</v>
      </c>
      <c r="G76" s="71">
        <v>60.18</v>
      </c>
      <c r="H76" s="101"/>
      <c r="I76" s="47">
        <v>0</v>
      </c>
      <c r="J76" s="102"/>
      <c r="K76" s="47">
        <v>0</v>
      </c>
      <c r="L76" s="70">
        <v>0</v>
      </c>
      <c r="M76" s="71">
        <v>0</v>
      </c>
      <c r="N76" s="72">
        <v>27320</v>
      </c>
      <c r="O76" s="47">
        <v>116329</v>
      </c>
      <c r="P76" s="69">
        <v>45424</v>
      </c>
      <c r="Q76" s="47">
        <v>193287</v>
      </c>
      <c r="R76" s="70">
        <v>60.14</v>
      </c>
      <c r="S76" s="71">
        <v>60.18</v>
      </c>
      <c r="T76" s="72">
        <v>0</v>
      </c>
      <c r="U76" s="47">
        <v>0</v>
      </c>
      <c r="V76" s="69">
        <v>0</v>
      </c>
      <c r="W76" s="47">
        <v>0</v>
      </c>
      <c r="X76" s="70">
        <v>0</v>
      </c>
      <c r="Y76" s="71">
        <v>0</v>
      </c>
      <c r="Z76" s="72">
        <v>6427</v>
      </c>
      <c r="AA76" s="47">
        <v>27868</v>
      </c>
      <c r="AB76" s="69">
        <v>7391</v>
      </c>
      <c r="AC76" s="47">
        <v>32047</v>
      </c>
      <c r="AD76" s="70">
        <v>86.96</v>
      </c>
      <c r="AE76" s="71">
        <v>86.96</v>
      </c>
      <c r="AF76" s="72">
        <v>8074</v>
      </c>
      <c r="AG76" s="47">
        <v>35009</v>
      </c>
      <c r="AH76" s="69">
        <v>8939</v>
      </c>
      <c r="AI76" s="47">
        <v>38761</v>
      </c>
      <c r="AJ76" s="70">
        <v>90.32</v>
      </c>
      <c r="AK76" s="71">
        <v>90.32</v>
      </c>
      <c r="AL76" s="72">
        <v>41820</v>
      </c>
      <c r="AM76" s="47">
        <v>179206</v>
      </c>
      <c r="AN76" s="69">
        <v>61754</v>
      </c>
      <c r="AO76" s="47">
        <v>264095</v>
      </c>
      <c r="AP76" s="70">
        <v>67.72</v>
      </c>
      <c r="AQ76" s="71">
        <v>67.86</v>
      </c>
      <c r="AR76" s="72">
        <v>82102</v>
      </c>
      <c r="AS76" s="47">
        <v>309849</v>
      </c>
      <c r="AT76" s="69">
        <v>104627</v>
      </c>
      <c r="AU76" s="47">
        <v>403903</v>
      </c>
      <c r="AV76" s="70">
        <v>78.47</v>
      </c>
      <c r="AW76" s="71">
        <v>76.709999999999994</v>
      </c>
      <c r="AX76" s="50"/>
      <c r="AY76" s="50"/>
      <c r="AZ76" s="50"/>
      <c r="BA76" s="50"/>
      <c r="BB76" s="50"/>
      <c r="BC76" s="50"/>
      <c r="BD76" s="75">
        <v>73.56</v>
      </c>
      <c r="BE76" s="75">
        <v>73.19</v>
      </c>
      <c r="BF76" s="50"/>
      <c r="BG76" s="76">
        <v>41820</v>
      </c>
      <c r="BH76" s="76" t="s">
        <v>65</v>
      </c>
      <c r="BI76" s="50"/>
      <c r="BJ76" s="76">
        <v>61754</v>
      </c>
      <c r="BK76" s="76" t="s">
        <v>65</v>
      </c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</row>
    <row r="77" spans="1:91" ht="14.25" customHeight="1" x14ac:dyDescent="0.35">
      <c r="A77" s="67" t="s">
        <v>7</v>
      </c>
      <c r="B77" s="68">
        <v>44150</v>
      </c>
      <c r="C77" s="47">
        <v>160479</v>
      </c>
      <c r="D77" s="69">
        <v>72814</v>
      </c>
      <c r="E77" s="47">
        <v>266101</v>
      </c>
      <c r="F77" s="70">
        <v>60.63</v>
      </c>
      <c r="G77" s="71">
        <v>60.31</v>
      </c>
      <c r="H77" s="101"/>
      <c r="I77" s="47">
        <v>0</v>
      </c>
      <c r="J77" s="102"/>
      <c r="K77" s="47">
        <v>0</v>
      </c>
      <c r="L77" s="70">
        <v>0</v>
      </c>
      <c r="M77" s="71">
        <v>0</v>
      </c>
      <c r="N77" s="72">
        <v>44150</v>
      </c>
      <c r="O77" s="47">
        <v>160479</v>
      </c>
      <c r="P77" s="69">
        <v>72814</v>
      </c>
      <c r="Q77" s="47">
        <v>266101</v>
      </c>
      <c r="R77" s="70">
        <v>60.63</v>
      </c>
      <c r="S77" s="71">
        <v>60.31</v>
      </c>
      <c r="T77" s="72">
        <v>0</v>
      </c>
      <c r="U77" s="47">
        <v>0</v>
      </c>
      <c r="V77" s="69">
        <v>0</v>
      </c>
      <c r="W77" s="47">
        <v>0</v>
      </c>
      <c r="X77" s="70">
        <v>0</v>
      </c>
      <c r="Y77" s="71">
        <v>0</v>
      </c>
      <c r="Z77" s="72">
        <v>13646</v>
      </c>
      <c r="AA77" s="47">
        <v>41514</v>
      </c>
      <c r="AB77" s="69">
        <v>15693</v>
      </c>
      <c r="AC77" s="47">
        <v>47740</v>
      </c>
      <c r="AD77" s="70">
        <v>86.96</v>
      </c>
      <c r="AE77" s="71">
        <v>86.96</v>
      </c>
      <c r="AF77" s="72">
        <v>15748</v>
      </c>
      <c r="AG77" s="47">
        <v>50757</v>
      </c>
      <c r="AH77" s="69">
        <v>17436</v>
      </c>
      <c r="AI77" s="47">
        <v>56197</v>
      </c>
      <c r="AJ77" s="70">
        <v>90.32</v>
      </c>
      <c r="AK77" s="71">
        <v>90.32</v>
      </c>
      <c r="AL77" s="72">
        <v>73544</v>
      </c>
      <c r="AM77" s="47">
        <v>252750</v>
      </c>
      <c r="AN77" s="69">
        <v>105942</v>
      </c>
      <c r="AO77" s="47">
        <v>370037</v>
      </c>
      <c r="AP77" s="70">
        <v>69.42</v>
      </c>
      <c r="AQ77" s="71">
        <v>68.3</v>
      </c>
      <c r="AR77" s="72">
        <v>121772</v>
      </c>
      <c r="AS77" s="47">
        <v>431622</v>
      </c>
      <c r="AT77" s="69">
        <v>157916</v>
      </c>
      <c r="AU77" s="47">
        <v>561820</v>
      </c>
      <c r="AV77" s="70">
        <v>77.11</v>
      </c>
      <c r="AW77" s="71">
        <v>76.83</v>
      </c>
      <c r="AX77" s="50"/>
      <c r="AY77" s="50"/>
      <c r="AZ77" s="50"/>
      <c r="BA77" s="50"/>
      <c r="BB77" s="50"/>
      <c r="BC77" s="50"/>
      <c r="BD77" s="75">
        <v>68.73</v>
      </c>
      <c r="BE77" s="75">
        <v>71.91</v>
      </c>
      <c r="BF77" s="50"/>
      <c r="BG77" s="76">
        <v>73544</v>
      </c>
      <c r="BH77" s="76" t="s">
        <v>65</v>
      </c>
      <c r="BI77" s="50"/>
      <c r="BJ77" s="76">
        <v>105942</v>
      </c>
      <c r="BK77" s="76" t="s">
        <v>65</v>
      </c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</row>
    <row r="78" spans="1:91" ht="14.25" customHeight="1" x14ac:dyDescent="0.35">
      <c r="A78" s="67" t="s">
        <v>8</v>
      </c>
      <c r="B78" s="68">
        <v>59874</v>
      </c>
      <c r="C78" s="47">
        <v>220353</v>
      </c>
      <c r="D78" s="69">
        <v>98894</v>
      </c>
      <c r="E78" s="47">
        <v>364995</v>
      </c>
      <c r="F78" s="70">
        <v>60.54</v>
      </c>
      <c r="G78" s="71">
        <v>60.37</v>
      </c>
      <c r="H78" s="101"/>
      <c r="I78" s="47">
        <v>0</v>
      </c>
      <c r="J78" s="102"/>
      <c r="K78" s="47">
        <v>0</v>
      </c>
      <c r="L78" s="70">
        <v>0</v>
      </c>
      <c r="M78" s="71">
        <v>0</v>
      </c>
      <c r="N78" s="72">
        <v>59874</v>
      </c>
      <c r="O78" s="47">
        <v>220353</v>
      </c>
      <c r="P78" s="69">
        <v>98894</v>
      </c>
      <c r="Q78" s="47">
        <v>364995</v>
      </c>
      <c r="R78" s="70">
        <v>60.54</v>
      </c>
      <c r="S78" s="71">
        <v>60.37</v>
      </c>
      <c r="T78" s="72">
        <v>0</v>
      </c>
      <c r="U78" s="47">
        <v>0</v>
      </c>
      <c r="V78" s="69">
        <v>0</v>
      </c>
      <c r="W78" s="47">
        <v>0</v>
      </c>
      <c r="X78" s="70">
        <v>0</v>
      </c>
      <c r="Y78" s="71">
        <v>0</v>
      </c>
      <c r="Z78" s="72">
        <v>18573</v>
      </c>
      <c r="AA78" s="47">
        <v>60087</v>
      </c>
      <c r="AB78" s="69">
        <v>21358</v>
      </c>
      <c r="AC78" s="47">
        <v>69098</v>
      </c>
      <c r="AD78" s="70">
        <v>86.96</v>
      </c>
      <c r="AE78" s="71">
        <v>86.96</v>
      </c>
      <c r="AF78" s="72">
        <v>20551</v>
      </c>
      <c r="AG78" s="47">
        <v>71308</v>
      </c>
      <c r="AH78" s="69">
        <v>22754</v>
      </c>
      <c r="AI78" s="47">
        <v>78951</v>
      </c>
      <c r="AJ78" s="70">
        <v>90.32</v>
      </c>
      <c r="AK78" s="71">
        <v>90.32</v>
      </c>
      <c r="AL78" s="72">
        <v>98998</v>
      </c>
      <c r="AM78" s="47">
        <v>351748</v>
      </c>
      <c r="AN78" s="69">
        <v>143006</v>
      </c>
      <c r="AO78" s="47">
        <v>513043</v>
      </c>
      <c r="AP78" s="70">
        <v>69.23</v>
      </c>
      <c r="AQ78" s="71">
        <v>68.56</v>
      </c>
      <c r="AR78" s="72">
        <v>120684</v>
      </c>
      <c r="AS78" s="47">
        <v>552306</v>
      </c>
      <c r="AT78" s="69">
        <v>167719</v>
      </c>
      <c r="AU78" s="47">
        <v>729539</v>
      </c>
      <c r="AV78" s="70">
        <v>71.959999999999994</v>
      </c>
      <c r="AW78" s="71">
        <v>75.709999999999994</v>
      </c>
      <c r="AX78" s="50"/>
      <c r="AY78" s="50"/>
      <c r="AZ78" s="50"/>
      <c r="BA78" s="50"/>
      <c r="BB78" s="50"/>
      <c r="BC78" s="50"/>
      <c r="BD78" s="75">
        <v>69.150000000000006</v>
      </c>
      <c r="BE78" s="75">
        <v>71.14</v>
      </c>
      <c r="BF78" s="50"/>
      <c r="BG78" s="76">
        <v>98998</v>
      </c>
      <c r="BH78" s="76" t="s">
        <v>65</v>
      </c>
      <c r="BI78" s="50"/>
      <c r="BJ78" s="76">
        <v>143006</v>
      </c>
      <c r="BK78" s="76" t="s">
        <v>65</v>
      </c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</row>
    <row r="79" spans="1:91" ht="14.25" customHeight="1" x14ac:dyDescent="0.35">
      <c r="A79" s="67" t="s">
        <v>9</v>
      </c>
      <c r="B79" s="68">
        <v>53956</v>
      </c>
      <c r="C79" s="47">
        <v>274308</v>
      </c>
      <c r="D79" s="69">
        <v>88094</v>
      </c>
      <c r="E79" s="47">
        <v>453089</v>
      </c>
      <c r="F79" s="70">
        <v>61.25</v>
      </c>
      <c r="G79" s="71">
        <v>60.54</v>
      </c>
      <c r="H79" s="101"/>
      <c r="I79" s="47">
        <v>0</v>
      </c>
      <c r="J79" s="102"/>
      <c r="K79" s="47">
        <v>0</v>
      </c>
      <c r="L79" s="70">
        <v>0</v>
      </c>
      <c r="M79" s="71">
        <v>0</v>
      </c>
      <c r="N79" s="72">
        <v>53956</v>
      </c>
      <c r="O79" s="47">
        <v>274308</v>
      </c>
      <c r="P79" s="69">
        <v>88094</v>
      </c>
      <c r="Q79" s="47">
        <v>453089</v>
      </c>
      <c r="R79" s="70">
        <v>61.25</v>
      </c>
      <c r="S79" s="71">
        <v>60.54</v>
      </c>
      <c r="T79" s="72">
        <v>0</v>
      </c>
      <c r="U79" s="47">
        <v>0</v>
      </c>
      <c r="V79" s="69">
        <v>0</v>
      </c>
      <c r="W79" s="47">
        <v>0</v>
      </c>
      <c r="X79" s="70">
        <v>0</v>
      </c>
      <c r="Y79" s="71">
        <v>0</v>
      </c>
      <c r="Z79" s="72">
        <v>21141</v>
      </c>
      <c r="AA79" s="47">
        <v>81228</v>
      </c>
      <c r="AB79" s="69">
        <v>24311</v>
      </c>
      <c r="AC79" s="47">
        <v>93409</v>
      </c>
      <c r="AD79" s="70">
        <v>86.96</v>
      </c>
      <c r="AE79" s="71">
        <v>86.96</v>
      </c>
      <c r="AF79" s="72">
        <v>23374</v>
      </c>
      <c r="AG79" s="47">
        <v>94683</v>
      </c>
      <c r="AH79" s="69">
        <v>25880</v>
      </c>
      <c r="AI79" s="47">
        <v>104830</v>
      </c>
      <c r="AJ79" s="70">
        <v>90.32</v>
      </c>
      <c r="AK79" s="71">
        <v>90.32</v>
      </c>
      <c r="AL79" s="72">
        <v>98471</v>
      </c>
      <c r="AM79" s="47">
        <v>450219</v>
      </c>
      <c r="AN79" s="69">
        <v>138284</v>
      </c>
      <c r="AO79" s="47">
        <v>651328</v>
      </c>
      <c r="AP79" s="70">
        <v>71.209999999999994</v>
      </c>
      <c r="AQ79" s="71">
        <v>69.12</v>
      </c>
      <c r="AR79" s="72">
        <v>122758</v>
      </c>
      <c r="AS79" s="47">
        <v>675064</v>
      </c>
      <c r="AT79" s="69">
        <v>165999</v>
      </c>
      <c r="AU79" s="47">
        <v>895538</v>
      </c>
      <c r="AV79" s="70">
        <v>73.95</v>
      </c>
      <c r="AW79" s="71">
        <v>75.38</v>
      </c>
      <c r="AX79" s="50"/>
      <c r="AY79" s="50"/>
      <c r="AZ79" s="50"/>
      <c r="BA79" s="50"/>
      <c r="BB79" s="50"/>
      <c r="BC79" s="50"/>
      <c r="BD79" s="75">
        <v>63.7</v>
      </c>
      <c r="BE79" s="75">
        <v>69.56</v>
      </c>
      <c r="BF79" s="50"/>
      <c r="BG79" s="76">
        <v>98471</v>
      </c>
      <c r="BH79" s="76" t="s">
        <v>65</v>
      </c>
      <c r="BI79" s="50"/>
      <c r="BJ79" s="76">
        <v>138284</v>
      </c>
      <c r="BK79" s="76" t="s">
        <v>65</v>
      </c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</row>
    <row r="80" spans="1:91" ht="14.25" customHeight="1" x14ac:dyDescent="0.35">
      <c r="A80" s="67" t="s">
        <v>10</v>
      </c>
      <c r="B80" s="68">
        <v>54303</v>
      </c>
      <c r="C80" s="47">
        <v>328612</v>
      </c>
      <c r="D80" s="69">
        <v>88178</v>
      </c>
      <c r="E80" s="47">
        <v>541267</v>
      </c>
      <c r="F80" s="70">
        <v>61.58</v>
      </c>
      <c r="G80" s="71">
        <v>60.71</v>
      </c>
      <c r="H80" s="101"/>
      <c r="I80" s="47">
        <v>0</v>
      </c>
      <c r="J80" s="102"/>
      <c r="K80" s="47">
        <v>0</v>
      </c>
      <c r="L80" s="70">
        <v>0</v>
      </c>
      <c r="M80" s="71">
        <v>0</v>
      </c>
      <c r="N80" s="72">
        <v>54303</v>
      </c>
      <c r="O80" s="47">
        <v>328612</v>
      </c>
      <c r="P80" s="69">
        <v>88178</v>
      </c>
      <c r="Q80" s="47">
        <v>541267</v>
      </c>
      <c r="R80" s="70">
        <v>61.58</v>
      </c>
      <c r="S80" s="71">
        <v>60.71</v>
      </c>
      <c r="T80" s="72">
        <v>0</v>
      </c>
      <c r="U80" s="47">
        <v>0</v>
      </c>
      <c r="V80" s="69">
        <v>0</v>
      </c>
      <c r="W80" s="47">
        <v>0</v>
      </c>
      <c r="X80" s="70">
        <v>0</v>
      </c>
      <c r="Y80" s="71">
        <v>0</v>
      </c>
      <c r="Z80" s="72">
        <v>26948</v>
      </c>
      <c r="AA80" s="47">
        <v>108176</v>
      </c>
      <c r="AB80" s="69">
        <v>30989</v>
      </c>
      <c r="AC80" s="47">
        <v>124398</v>
      </c>
      <c r="AD80" s="70">
        <v>86.96</v>
      </c>
      <c r="AE80" s="71">
        <v>86.96</v>
      </c>
      <c r="AF80" s="72">
        <v>25257</v>
      </c>
      <c r="AG80" s="47">
        <v>119940</v>
      </c>
      <c r="AH80" s="69">
        <v>27964</v>
      </c>
      <c r="AI80" s="47">
        <v>132794</v>
      </c>
      <c r="AJ80" s="70">
        <v>90.32</v>
      </c>
      <c r="AK80" s="71">
        <v>90.32</v>
      </c>
      <c r="AL80" s="72">
        <v>106509</v>
      </c>
      <c r="AM80" s="47">
        <v>556728</v>
      </c>
      <c r="AN80" s="69">
        <v>147131</v>
      </c>
      <c r="AO80" s="47">
        <v>798459</v>
      </c>
      <c r="AP80" s="70">
        <v>72.39</v>
      </c>
      <c r="AQ80" s="71">
        <v>69.73</v>
      </c>
      <c r="AR80" s="72">
        <v>142608</v>
      </c>
      <c r="AS80" s="47">
        <v>817672</v>
      </c>
      <c r="AT80" s="69">
        <v>190614</v>
      </c>
      <c r="AU80" s="47">
        <v>1086152</v>
      </c>
      <c r="AV80" s="70">
        <v>74.81</v>
      </c>
      <c r="AW80" s="71">
        <v>75.28</v>
      </c>
      <c r="AX80" s="50"/>
      <c r="AY80" s="50"/>
      <c r="AZ80" s="50"/>
      <c r="BA80" s="50"/>
      <c r="BB80" s="50"/>
      <c r="BC80" s="50"/>
      <c r="BD80" s="75">
        <v>59.93</v>
      </c>
      <c r="BE80" s="75">
        <v>67.790000000000006</v>
      </c>
      <c r="BF80" s="50"/>
      <c r="BG80" s="76">
        <v>106509</v>
      </c>
      <c r="BH80" s="76" t="s">
        <v>65</v>
      </c>
      <c r="BI80" s="50"/>
      <c r="BJ80" s="76">
        <v>147131</v>
      </c>
      <c r="BK80" s="76" t="s">
        <v>65</v>
      </c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</row>
    <row r="81" spans="1:91" ht="14.25" customHeight="1" x14ac:dyDescent="0.35">
      <c r="A81" s="67" t="s">
        <v>11</v>
      </c>
      <c r="B81" s="68">
        <v>57545</v>
      </c>
      <c r="C81" s="47">
        <v>386157</v>
      </c>
      <c r="D81" s="69">
        <v>94881</v>
      </c>
      <c r="E81" s="47">
        <v>636148</v>
      </c>
      <c r="F81" s="70">
        <v>60.65</v>
      </c>
      <c r="G81" s="71">
        <v>60.7</v>
      </c>
      <c r="H81" s="101"/>
      <c r="I81" s="47">
        <v>0</v>
      </c>
      <c r="J81" s="102"/>
      <c r="K81" s="47">
        <v>0</v>
      </c>
      <c r="L81" s="70">
        <v>0</v>
      </c>
      <c r="M81" s="71">
        <v>0</v>
      </c>
      <c r="N81" s="72">
        <v>57545</v>
      </c>
      <c r="O81" s="47">
        <v>386157</v>
      </c>
      <c r="P81" s="69">
        <v>94881</v>
      </c>
      <c r="Q81" s="47">
        <v>636148</v>
      </c>
      <c r="R81" s="70">
        <v>60.65</v>
      </c>
      <c r="S81" s="71">
        <v>60.7</v>
      </c>
      <c r="T81" s="72">
        <v>0</v>
      </c>
      <c r="U81" s="47">
        <v>0</v>
      </c>
      <c r="V81" s="69">
        <v>0</v>
      </c>
      <c r="W81" s="47">
        <v>0</v>
      </c>
      <c r="X81" s="70">
        <v>0</v>
      </c>
      <c r="Y81" s="71">
        <v>0</v>
      </c>
      <c r="Z81" s="72">
        <v>18550</v>
      </c>
      <c r="AA81" s="47">
        <v>126726</v>
      </c>
      <c r="AB81" s="69">
        <v>21331</v>
      </c>
      <c r="AC81" s="47">
        <v>145729</v>
      </c>
      <c r="AD81" s="70">
        <v>86.96</v>
      </c>
      <c r="AE81" s="71">
        <v>86.96</v>
      </c>
      <c r="AF81" s="72">
        <v>20547</v>
      </c>
      <c r="AG81" s="47">
        <v>140487</v>
      </c>
      <c r="AH81" s="69">
        <v>22749</v>
      </c>
      <c r="AI81" s="47">
        <v>155543</v>
      </c>
      <c r="AJ81" s="70">
        <v>90.32</v>
      </c>
      <c r="AK81" s="71">
        <v>90.32</v>
      </c>
      <c r="AL81" s="72">
        <v>96642</v>
      </c>
      <c r="AM81" s="47">
        <v>653370</v>
      </c>
      <c r="AN81" s="69">
        <v>138961</v>
      </c>
      <c r="AO81" s="47">
        <v>937420</v>
      </c>
      <c r="AP81" s="70">
        <v>69.55</v>
      </c>
      <c r="AQ81" s="71">
        <v>69.7</v>
      </c>
      <c r="AR81" s="72">
        <v>118304</v>
      </c>
      <c r="AS81" s="47">
        <v>935975</v>
      </c>
      <c r="AT81" s="69">
        <v>163646</v>
      </c>
      <c r="AU81" s="47">
        <v>1249799</v>
      </c>
      <c r="AV81" s="70">
        <v>72.290000000000006</v>
      </c>
      <c r="AW81" s="71">
        <v>74.89</v>
      </c>
      <c r="AX81" s="50"/>
      <c r="AY81" s="50"/>
      <c r="AZ81" s="50"/>
      <c r="BA81" s="50"/>
      <c r="BB81" s="50"/>
      <c r="BC81" s="50"/>
      <c r="BD81" s="75">
        <v>68.28</v>
      </c>
      <c r="BE81" s="75">
        <v>67.86</v>
      </c>
      <c r="BF81" s="50"/>
      <c r="BG81" s="76">
        <v>96642</v>
      </c>
      <c r="BH81" s="76" t="s">
        <v>65</v>
      </c>
      <c r="BI81" s="50"/>
      <c r="BJ81" s="76">
        <v>138961</v>
      </c>
      <c r="BK81" s="76" t="s">
        <v>65</v>
      </c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</row>
    <row r="82" spans="1:91" ht="14.25" customHeight="1" x14ac:dyDescent="0.35">
      <c r="A82" s="67" t="s">
        <v>12</v>
      </c>
      <c r="B82" s="68">
        <v>56211</v>
      </c>
      <c r="C82" s="47">
        <v>442368</v>
      </c>
      <c r="D82" s="69">
        <v>92510</v>
      </c>
      <c r="E82" s="47">
        <v>728658</v>
      </c>
      <c r="F82" s="70">
        <v>60.76</v>
      </c>
      <c r="G82" s="71">
        <v>60.71</v>
      </c>
      <c r="H82" s="101"/>
      <c r="I82" s="47">
        <v>0</v>
      </c>
      <c r="J82" s="102"/>
      <c r="K82" s="47">
        <v>0</v>
      </c>
      <c r="L82" s="70">
        <v>0</v>
      </c>
      <c r="M82" s="71">
        <v>0</v>
      </c>
      <c r="N82" s="72">
        <v>56211</v>
      </c>
      <c r="O82" s="47">
        <v>442368</v>
      </c>
      <c r="P82" s="69">
        <v>92510</v>
      </c>
      <c r="Q82" s="47">
        <v>728658</v>
      </c>
      <c r="R82" s="70">
        <v>60.76</v>
      </c>
      <c r="S82" s="71">
        <v>60.71</v>
      </c>
      <c r="T82" s="72">
        <v>0</v>
      </c>
      <c r="U82" s="47">
        <v>0</v>
      </c>
      <c r="V82" s="69">
        <v>0</v>
      </c>
      <c r="W82" s="47">
        <v>0</v>
      </c>
      <c r="X82" s="70">
        <v>0</v>
      </c>
      <c r="Y82" s="71">
        <v>0</v>
      </c>
      <c r="Z82" s="72">
        <v>20950</v>
      </c>
      <c r="AA82" s="47">
        <v>147676</v>
      </c>
      <c r="AB82" s="69">
        <v>24091</v>
      </c>
      <c r="AC82" s="47">
        <v>169820</v>
      </c>
      <c r="AD82" s="70">
        <v>86.96</v>
      </c>
      <c r="AE82" s="71">
        <v>86.96</v>
      </c>
      <c r="AF82" s="72">
        <v>20550</v>
      </c>
      <c r="AG82" s="47">
        <v>161037</v>
      </c>
      <c r="AH82" s="69">
        <v>22753</v>
      </c>
      <c r="AI82" s="47">
        <v>178296</v>
      </c>
      <c r="AJ82" s="70">
        <v>90.32</v>
      </c>
      <c r="AK82" s="71">
        <v>90.32</v>
      </c>
      <c r="AL82" s="72">
        <v>97711</v>
      </c>
      <c r="AM82" s="47">
        <v>751081</v>
      </c>
      <c r="AN82" s="69">
        <v>139354</v>
      </c>
      <c r="AO82" s="47">
        <v>1076774</v>
      </c>
      <c r="AP82" s="70">
        <v>70.12</v>
      </c>
      <c r="AQ82" s="71">
        <v>69.75</v>
      </c>
      <c r="AR82" s="72">
        <v>156241</v>
      </c>
      <c r="AS82" s="47">
        <v>1092216</v>
      </c>
      <c r="AT82" s="69">
        <v>202904</v>
      </c>
      <c r="AU82" s="47">
        <v>1452703</v>
      </c>
      <c r="AV82" s="70">
        <v>77</v>
      </c>
      <c r="AW82" s="71">
        <v>75.19</v>
      </c>
      <c r="AX82" s="50"/>
      <c r="AY82" s="50"/>
      <c r="AZ82" s="50"/>
      <c r="BA82" s="50"/>
      <c r="BB82" s="50"/>
      <c r="BC82" s="50"/>
      <c r="BD82" s="75">
        <v>66.38</v>
      </c>
      <c r="BE82" s="75">
        <v>67.67</v>
      </c>
      <c r="BF82" s="50"/>
      <c r="BG82" s="76">
        <v>97711</v>
      </c>
      <c r="BH82" s="76" t="s">
        <v>65</v>
      </c>
      <c r="BI82" s="50"/>
      <c r="BJ82" s="76">
        <v>139354</v>
      </c>
      <c r="BK82" s="76" t="s">
        <v>65</v>
      </c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</row>
    <row r="83" spans="1:91" ht="14.25" customHeight="1" x14ac:dyDescent="0.35">
      <c r="A83" s="67" t="s">
        <v>13</v>
      </c>
      <c r="B83" s="68">
        <v>50501</v>
      </c>
      <c r="C83" s="47">
        <v>492869</v>
      </c>
      <c r="D83" s="69">
        <v>81203</v>
      </c>
      <c r="E83" s="47">
        <v>809861</v>
      </c>
      <c r="F83" s="70">
        <v>62.19</v>
      </c>
      <c r="G83" s="71">
        <v>60.86</v>
      </c>
      <c r="H83" s="101"/>
      <c r="I83" s="47">
        <v>0</v>
      </c>
      <c r="J83" s="102"/>
      <c r="K83" s="47">
        <v>0</v>
      </c>
      <c r="L83" s="70">
        <v>0</v>
      </c>
      <c r="M83" s="71">
        <v>0</v>
      </c>
      <c r="N83" s="72">
        <v>50501</v>
      </c>
      <c r="O83" s="47">
        <v>492869</v>
      </c>
      <c r="P83" s="69">
        <v>81203</v>
      </c>
      <c r="Q83" s="47">
        <v>809861</v>
      </c>
      <c r="R83" s="70">
        <v>62.19</v>
      </c>
      <c r="S83" s="71">
        <v>60.86</v>
      </c>
      <c r="T83" s="72">
        <v>0</v>
      </c>
      <c r="U83" s="47">
        <v>0</v>
      </c>
      <c r="V83" s="69">
        <v>0</v>
      </c>
      <c r="W83" s="47">
        <v>0</v>
      </c>
      <c r="X83" s="70">
        <v>0</v>
      </c>
      <c r="Y83" s="71">
        <v>0</v>
      </c>
      <c r="Z83" s="72">
        <v>30835</v>
      </c>
      <c r="AA83" s="47">
        <v>178511</v>
      </c>
      <c r="AB83" s="69">
        <v>35459</v>
      </c>
      <c r="AC83" s="47">
        <v>205279</v>
      </c>
      <c r="AD83" s="70">
        <v>86.96</v>
      </c>
      <c r="AE83" s="71">
        <v>86.96</v>
      </c>
      <c r="AF83" s="72">
        <v>26923</v>
      </c>
      <c r="AG83" s="47">
        <v>187959</v>
      </c>
      <c r="AH83" s="69">
        <v>29808</v>
      </c>
      <c r="AI83" s="47">
        <v>208104</v>
      </c>
      <c r="AJ83" s="70">
        <v>90.32</v>
      </c>
      <c r="AK83" s="71">
        <v>90.32</v>
      </c>
      <c r="AL83" s="72">
        <v>108259</v>
      </c>
      <c r="AM83" s="47">
        <v>859340</v>
      </c>
      <c r="AN83" s="69">
        <v>146470</v>
      </c>
      <c r="AO83" s="47">
        <v>1223244</v>
      </c>
      <c r="AP83" s="70">
        <v>73.91</v>
      </c>
      <c r="AQ83" s="71">
        <v>70.25</v>
      </c>
      <c r="AR83" s="72">
        <v>187512</v>
      </c>
      <c r="AS83" s="47">
        <v>1279728</v>
      </c>
      <c r="AT83" s="69">
        <v>239397</v>
      </c>
      <c r="AU83" s="47">
        <v>1692101</v>
      </c>
      <c r="AV83" s="70">
        <v>78.33</v>
      </c>
      <c r="AW83" s="71">
        <v>75.63</v>
      </c>
      <c r="AX83" s="50"/>
      <c r="AY83" s="50"/>
      <c r="AZ83" s="50"/>
      <c r="BA83" s="50"/>
      <c r="BB83" s="50"/>
      <c r="BC83" s="50"/>
      <c r="BD83" s="75">
        <v>55.44</v>
      </c>
      <c r="BE83" s="75">
        <v>66.209999999999994</v>
      </c>
      <c r="BF83" s="50"/>
      <c r="BG83" s="76">
        <v>108259</v>
      </c>
      <c r="BH83" s="76" t="s">
        <v>65</v>
      </c>
      <c r="BI83" s="50"/>
      <c r="BJ83" s="76">
        <v>146470</v>
      </c>
      <c r="BK83" s="76" t="s">
        <v>65</v>
      </c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</row>
    <row r="84" spans="1:91" ht="14.25" customHeight="1" x14ac:dyDescent="0.35">
      <c r="A84" s="67" t="s">
        <v>14</v>
      </c>
      <c r="B84" s="68">
        <v>55436</v>
      </c>
      <c r="C84" s="47">
        <v>548306</v>
      </c>
      <c r="D84" s="69">
        <v>90604</v>
      </c>
      <c r="E84" s="47">
        <v>900464</v>
      </c>
      <c r="F84" s="70">
        <v>61.19</v>
      </c>
      <c r="G84" s="71">
        <v>60.89</v>
      </c>
      <c r="H84" s="101"/>
      <c r="I84" s="47">
        <v>0</v>
      </c>
      <c r="J84" s="102"/>
      <c r="K84" s="47">
        <v>0</v>
      </c>
      <c r="L84" s="70">
        <v>0</v>
      </c>
      <c r="M84" s="71">
        <v>0</v>
      </c>
      <c r="N84" s="72">
        <v>55436</v>
      </c>
      <c r="O84" s="47">
        <v>548306</v>
      </c>
      <c r="P84" s="69">
        <v>90604</v>
      </c>
      <c r="Q84" s="47">
        <v>900464</v>
      </c>
      <c r="R84" s="70">
        <v>61.19</v>
      </c>
      <c r="S84" s="71">
        <v>60.89</v>
      </c>
      <c r="T84" s="72">
        <v>0</v>
      </c>
      <c r="U84" s="47">
        <v>0</v>
      </c>
      <c r="V84" s="69">
        <v>0</v>
      </c>
      <c r="W84" s="47">
        <v>0</v>
      </c>
      <c r="X84" s="70">
        <v>0</v>
      </c>
      <c r="Y84" s="71">
        <v>0</v>
      </c>
      <c r="Z84" s="72">
        <v>25266</v>
      </c>
      <c r="AA84" s="47">
        <v>203776</v>
      </c>
      <c r="AB84" s="69">
        <v>29054</v>
      </c>
      <c r="AC84" s="47">
        <v>234334</v>
      </c>
      <c r="AD84" s="70">
        <v>86.96</v>
      </c>
      <c r="AE84" s="71">
        <v>86.96</v>
      </c>
      <c r="AF84" s="72">
        <v>22965</v>
      </c>
      <c r="AG84" s="47">
        <v>210925</v>
      </c>
      <c r="AH84" s="69">
        <v>25427</v>
      </c>
      <c r="AI84" s="47">
        <v>233530</v>
      </c>
      <c r="AJ84" s="70">
        <v>90.32</v>
      </c>
      <c r="AK84" s="71">
        <v>90.32</v>
      </c>
      <c r="AL84" s="72">
        <v>103667</v>
      </c>
      <c r="AM84" s="47">
        <v>963007</v>
      </c>
      <c r="AN84" s="69">
        <v>145085</v>
      </c>
      <c r="AO84" s="47">
        <v>1368328</v>
      </c>
      <c r="AP84" s="70">
        <v>71.45</v>
      </c>
      <c r="AQ84" s="71">
        <v>70.38</v>
      </c>
      <c r="AR84" s="72">
        <v>167272</v>
      </c>
      <c r="AS84" s="47">
        <v>1447001</v>
      </c>
      <c r="AT84" s="69">
        <v>214415</v>
      </c>
      <c r="AU84" s="47">
        <v>1906515</v>
      </c>
      <c r="AV84" s="70">
        <v>78.010000000000005</v>
      </c>
      <c r="AW84" s="71">
        <v>75.900000000000006</v>
      </c>
      <c r="AX84" s="50"/>
      <c r="AY84" s="50"/>
      <c r="AZ84" s="50"/>
      <c r="BA84" s="50"/>
      <c r="BB84" s="50"/>
      <c r="BC84" s="50"/>
      <c r="BD84" s="75">
        <v>62.45</v>
      </c>
      <c r="BE84" s="75">
        <v>65.81</v>
      </c>
      <c r="BF84" s="50"/>
      <c r="BG84" s="76">
        <v>103667</v>
      </c>
      <c r="BH84" s="76" t="s">
        <v>65</v>
      </c>
      <c r="BI84" s="50"/>
      <c r="BJ84" s="76">
        <v>145085</v>
      </c>
      <c r="BK84" s="76" t="s">
        <v>65</v>
      </c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</row>
    <row r="85" spans="1:91" ht="14.25" customHeight="1" x14ac:dyDescent="0.35">
      <c r="A85" s="67" t="s">
        <v>15</v>
      </c>
      <c r="B85" s="77">
        <v>50271</v>
      </c>
      <c r="C85" s="78">
        <v>598576</v>
      </c>
      <c r="D85" s="79">
        <v>82233</v>
      </c>
      <c r="E85" s="78">
        <v>982698</v>
      </c>
      <c r="F85" s="80">
        <v>61.13</v>
      </c>
      <c r="G85" s="81">
        <v>60.91</v>
      </c>
      <c r="H85" s="103"/>
      <c r="I85" s="78">
        <v>0</v>
      </c>
      <c r="J85" s="104"/>
      <c r="K85" s="78">
        <v>0</v>
      </c>
      <c r="L85" s="80">
        <v>0</v>
      </c>
      <c r="M85" s="81">
        <v>0</v>
      </c>
      <c r="N85" s="82">
        <v>50271</v>
      </c>
      <c r="O85" s="78">
        <v>598576</v>
      </c>
      <c r="P85" s="79">
        <v>82233</v>
      </c>
      <c r="Q85" s="78">
        <v>982698</v>
      </c>
      <c r="R85" s="80">
        <v>61.13</v>
      </c>
      <c r="S85" s="81">
        <v>60.91</v>
      </c>
      <c r="T85" s="82">
        <v>0</v>
      </c>
      <c r="U85" s="78">
        <v>0</v>
      </c>
      <c r="V85" s="79">
        <v>0</v>
      </c>
      <c r="W85" s="78">
        <v>0</v>
      </c>
      <c r="X85" s="80">
        <v>0</v>
      </c>
      <c r="Y85" s="81">
        <v>0</v>
      </c>
      <c r="Z85" s="82">
        <v>17424</v>
      </c>
      <c r="AA85" s="78">
        <v>221201</v>
      </c>
      <c r="AB85" s="79">
        <v>20037</v>
      </c>
      <c r="AC85" s="78">
        <v>254371</v>
      </c>
      <c r="AD85" s="80">
        <v>86.96</v>
      </c>
      <c r="AE85" s="81">
        <v>86.96</v>
      </c>
      <c r="AF85" s="82">
        <v>21287</v>
      </c>
      <c r="AG85" s="78">
        <v>232212</v>
      </c>
      <c r="AH85" s="79">
        <v>23569</v>
      </c>
      <c r="AI85" s="78">
        <v>257099</v>
      </c>
      <c r="AJ85" s="80">
        <v>90.32</v>
      </c>
      <c r="AK85" s="81">
        <v>90.32</v>
      </c>
      <c r="AL85" s="82">
        <v>88982</v>
      </c>
      <c r="AM85" s="78">
        <v>1051989</v>
      </c>
      <c r="AN85" s="79">
        <v>125839</v>
      </c>
      <c r="AO85" s="78">
        <v>1494168</v>
      </c>
      <c r="AP85" s="80">
        <v>70.709999999999994</v>
      </c>
      <c r="AQ85" s="81">
        <v>70.41</v>
      </c>
      <c r="AR85" s="82">
        <v>146423</v>
      </c>
      <c r="AS85" s="78">
        <v>1593423</v>
      </c>
      <c r="AT85" s="79">
        <v>190532</v>
      </c>
      <c r="AU85" s="78">
        <v>2097047</v>
      </c>
      <c r="AV85" s="80">
        <v>76.849999999999994</v>
      </c>
      <c r="AW85" s="81">
        <v>75.98</v>
      </c>
      <c r="AX85" s="50"/>
      <c r="AY85" s="50"/>
      <c r="AZ85" s="50"/>
      <c r="BA85" s="50"/>
      <c r="BB85" s="50"/>
      <c r="BC85" s="50"/>
      <c r="BD85" s="75">
        <v>65.349999999999994</v>
      </c>
      <c r="BE85" s="75">
        <v>65.77</v>
      </c>
      <c r="BF85" s="50"/>
      <c r="BG85" s="76">
        <v>88982</v>
      </c>
      <c r="BH85" s="76" t="s">
        <v>65</v>
      </c>
      <c r="BI85" s="50"/>
      <c r="BJ85" s="76">
        <v>125839</v>
      </c>
      <c r="BK85" s="76" t="s">
        <v>65</v>
      </c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</row>
    <row r="86" spans="1:91" ht="14.2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10">
        <v>0</v>
      </c>
      <c r="S86" s="10">
        <v>0</v>
      </c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10">
        <v>0</v>
      </c>
      <c r="AQ86" s="10">
        <v>0</v>
      </c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</row>
    <row r="87" spans="1:91" ht="14.2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</row>
    <row r="88" spans="1:91" ht="14.25" customHeight="1" x14ac:dyDescent="0.35">
      <c r="A88" s="56" t="s">
        <v>158</v>
      </c>
      <c r="B88" s="50"/>
      <c r="C88" s="50"/>
      <c r="D88" s="50"/>
      <c r="E88" s="50"/>
      <c r="F88" s="50"/>
      <c r="G88" s="50"/>
      <c r="H88" s="56" t="s">
        <v>116</v>
      </c>
      <c r="I88" s="50"/>
      <c r="J88" s="50"/>
      <c r="K88" s="50"/>
      <c r="L88" s="50"/>
      <c r="M88" s="50"/>
      <c r="N88" s="56" t="s">
        <v>131</v>
      </c>
      <c r="O88" s="50"/>
      <c r="P88" s="50"/>
      <c r="Q88" s="50"/>
      <c r="R88" s="50"/>
      <c r="S88" s="50"/>
      <c r="T88" s="50"/>
      <c r="U88" s="10" t="s">
        <v>101</v>
      </c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</row>
    <row r="89" spans="1:91" ht="14.25" customHeight="1" x14ac:dyDescent="0.35">
      <c r="A89" s="57" t="s">
        <v>102</v>
      </c>
      <c r="B89" s="58" t="s">
        <v>2</v>
      </c>
      <c r="C89" s="59"/>
      <c r="D89" s="58" t="s">
        <v>3</v>
      </c>
      <c r="E89" s="59"/>
      <c r="F89" s="58" t="s">
        <v>103</v>
      </c>
      <c r="G89" s="60"/>
      <c r="H89" s="61" t="s">
        <v>2</v>
      </c>
      <c r="I89" s="59"/>
      <c r="J89" s="58" t="s">
        <v>3</v>
      </c>
      <c r="K89" s="59"/>
      <c r="L89" s="58" t="s">
        <v>103</v>
      </c>
      <c r="M89" s="60"/>
      <c r="N89" s="61" t="s">
        <v>2</v>
      </c>
      <c r="O89" s="59"/>
      <c r="P89" s="58" t="s">
        <v>3</v>
      </c>
      <c r="Q89" s="59"/>
      <c r="R89" s="58" t="s">
        <v>103</v>
      </c>
      <c r="S89" s="60"/>
      <c r="T89" s="50"/>
      <c r="U89" s="50"/>
      <c r="V89" s="50"/>
      <c r="W89" s="50"/>
      <c r="X89" s="10" t="s">
        <v>104</v>
      </c>
      <c r="Y89" s="50"/>
      <c r="Z89" s="50"/>
      <c r="AA89" s="10" t="s">
        <v>105</v>
      </c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</row>
    <row r="90" spans="1:91" ht="14.25" customHeight="1" x14ac:dyDescent="0.35">
      <c r="A90" s="87" t="s">
        <v>102</v>
      </c>
      <c r="B90" s="63" t="s">
        <v>106</v>
      </c>
      <c r="C90" s="63" t="s">
        <v>107</v>
      </c>
      <c r="D90" s="63" t="s">
        <v>106</v>
      </c>
      <c r="E90" s="63" t="s">
        <v>107</v>
      </c>
      <c r="F90" s="63" t="s">
        <v>106</v>
      </c>
      <c r="G90" s="64" t="s">
        <v>107</v>
      </c>
      <c r="H90" s="65" t="s">
        <v>106</v>
      </c>
      <c r="I90" s="63" t="s">
        <v>107</v>
      </c>
      <c r="J90" s="63" t="s">
        <v>106</v>
      </c>
      <c r="K90" s="63" t="s">
        <v>107</v>
      </c>
      <c r="L90" s="63" t="s">
        <v>106</v>
      </c>
      <c r="M90" s="64" t="s">
        <v>107</v>
      </c>
      <c r="N90" s="65" t="s">
        <v>106</v>
      </c>
      <c r="O90" s="63" t="s">
        <v>107</v>
      </c>
      <c r="P90" s="63" t="s">
        <v>106</v>
      </c>
      <c r="Q90" s="63" t="s">
        <v>107</v>
      </c>
      <c r="R90" s="63" t="s">
        <v>106</v>
      </c>
      <c r="S90" s="64" t="s">
        <v>107</v>
      </c>
      <c r="T90" s="50"/>
      <c r="U90" s="66" t="s">
        <v>106</v>
      </c>
      <c r="V90" s="66" t="s">
        <v>107</v>
      </c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</row>
    <row r="91" spans="1:91" ht="14.25" customHeight="1" x14ac:dyDescent="0.35">
      <c r="A91" s="67" t="s">
        <v>4</v>
      </c>
      <c r="B91" s="68">
        <v>44878</v>
      </c>
      <c r="C91" s="47">
        <v>44878</v>
      </c>
      <c r="D91" s="69">
        <v>76715</v>
      </c>
      <c r="E91" s="47">
        <v>76715</v>
      </c>
      <c r="F91" s="70">
        <v>58.5</v>
      </c>
      <c r="G91" s="71">
        <v>58.5</v>
      </c>
      <c r="H91" s="72">
        <v>12824</v>
      </c>
      <c r="I91" s="47">
        <v>12824</v>
      </c>
      <c r="J91" s="69">
        <v>14998</v>
      </c>
      <c r="K91" s="47">
        <v>14998</v>
      </c>
      <c r="L91" s="70">
        <v>85.5</v>
      </c>
      <c r="M91" s="71">
        <v>85.5</v>
      </c>
      <c r="N91" s="72">
        <v>57702</v>
      </c>
      <c r="O91" s="47">
        <v>57702</v>
      </c>
      <c r="P91" s="69">
        <v>91713</v>
      </c>
      <c r="Q91" s="47">
        <v>91713</v>
      </c>
      <c r="R91" s="70">
        <v>62.92</v>
      </c>
      <c r="S91" s="71">
        <v>62.92</v>
      </c>
      <c r="T91" s="50"/>
      <c r="U91" s="75">
        <v>83.65</v>
      </c>
      <c r="V91" s="75">
        <v>83.65</v>
      </c>
      <c r="W91" s="50"/>
      <c r="X91" s="76">
        <v>57702</v>
      </c>
      <c r="Y91" s="76" t="s">
        <v>65</v>
      </c>
      <c r="Z91" s="51"/>
      <c r="AA91" s="76">
        <v>91713</v>
      </c>
      <c r="AB91" s="76" t="s">
        <v>65</v>
      </c>
      <c r="AC91" s="50"/>
      <c r="AD91" s="45"/>
      <c r="AE91" s="45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</row>
    <row r="92" spans="1:91" ht="14.25" customHeight="1" x14ac:dyDescent="0.35">
      <c r="A92" s="67" t="s">
        <v>5</v>
      </c>
      <c r="B92" s="68">
        <v>51719</v>
      </c>
      <c r="C92" s="47">
        <v>96597</v>
      </c>
      <c r="D92" s="69">
        <v>88408</v>
      </c>
      <c r="E92" s="47">
        <v>165124</v>
      </c>
      <c r="F92" s="70">
        <v>58.5</v>
      </c>
      <c r="G92" s="71">
        <v>58.5</v>
      </c>
      <c r="H92" s="72">
        <v>13843</v>
      </c>
      <c r="I92" s="47">
        <v>26666</v>
      </c>
      <c r="J92" s="69">
        <v>16190</v>
      </c>
      <c r="K92" s="47">
        <v>31189</v>
      </c>
      <c r="L92" s="70">
        <v>85.5</v>
      </c>
      <c r="M92" s="71">
        <v>85.5</v>
      </c>
      <c r="N92" s="72">
        <v>65562</v>
      </c>
      <c r="O92" s="47">
        <v>123264</v>
      </c>
      <c r="P92" s="69">
        <v>104599</v>
      </c>
      <c r="Q92" s="47">
        <v>196312</v>
      </c>
      <c r="R92" s="70">
        <v>62.68</v>
      </c>
      <c r="S92" s="71">
        <v>62.79</v>
      </c>
      <c r="T92" s="50"/>
      <c r="U92" s="75">
        <v>84.52</v>
      </c>
      <c r="V92" s="75">
        <v>84.11</v>
      </c>
      <c r="W92" s="50"/>
      <c r="X92" s="76">
        <v>65562</v>
      </c>
      <c r="Y92" s="76" t="s">
        <v>65</v>
      </c>
      <c r="Z92" s="51"/>
      <c r="AA92" s="76">
        <v>104599</v>
      </c>
      <c r="AB92" s="76" t="s">
        <v>65</v>
      </c>
      <c r="AC92" s="50"/>
      <c r="AD92" s="45"/>
      <c r="AE92" s="45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</row>
    <row r="93" spans="1:91" ht="14.25" customHeight="1" x14ac:dyDescent="0.35">
      <c r="A93" s="67" t="s">
        <v>6</v>
      </c>
      <c r="B93" s="68">
        <v>30459</v>
      </c>
      <c r="C93" s="47">
        <v>127056</v>
      </c>
      <c r="D93" s="69">
        <v>52066</v>
      </c>
      <c r="E93" s="47">
        <v>217190</v>
      </c>
      <c r="F93" s="70">
        <v>58.5</v>
      </c>
      <c r="G93" s="71">
        <v>58.5</v>
      </c>
      <c r="H93" s="72">
        <v>7873</v>
      </c>
      <c r="I93" s="47">
        <v>34540</v>
      </c>
      <c r="J93" s="69">
        <v>9209</v>
      </c>
      <c r="K93" s="47">
        <v>40397</v>
      </c>
      <c r="L93" s="70">
        <v>85.5</v>
      </c>
      <c r="M93" s="71">
        <v>85.5</v>
      </c>
      <c r="N93" s="72">
        <v>38332</v>
      </c>
      <c r="O93" s="47">
        <v>161596</v>
      </c>
      <c r="P93" s="69">
        <v>61275</v>
      </c>
      <c r="Q93" s="47">
        <v>257587</v>
      </c>
      <c r="R93" s="70">
        <v>62.56</v>
      </c>
      <c r="S93" s="71">
        <v>62.73</v>
      </c>
      <c r="T93" s="50"/>
      <c r="U93" s="75">
        <v>84.97</v>
      </c>
      <c r="V93" s="75">
        <v>84.32</v>
      </c>
      <c r="W93" s="50"/>
      <c r="X93" s="76">
        <v>38332</v>
      </c>
      <c r="Y93" s="76" t="s">
        <v>65</v>
      </c>
      <c r="Z93" s="51"/>
      <c r="AA93" s="76">
        <v>61275</v>
      </c>
      <c r="AB93" s="76" t="s">
        <v>65</v>
      </c>
      <c r="AC93" s="50"/>
      <c r="AD93" s="45"/>
      <c r="AE93" s="45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</row>
    <row r="94" spans="1:91" ht="14.25" customHeight="1" x14ac:dyDescent="0.35">
      <c r="A94" s="67" t="s">
        <v>7</v>
      </c>
      <c r="B94" s="68">
        <v>45234</v>
      </c>
      <c r="C94" s="47">
        <v>172290</v>
      </c>
      <c r="D94" s="69">
        <v>77323</v>
      </c>
      <c r="E94" s="47">
        <v>294513</v>
      </c>
      <c r="F94" s="70">
        <v>58.5</v>
      </c>
      <c r="G94" s="71">
        <v>58.5</v>
      </c>
      <c r="H94" s="72">
        <v>12803</v>
      </c>
      <c r="I94" s="47">
        <v>47343</v>
      </c>
      <c r="J94" s="69">
        <v>14974</v>
      </c>
      <c r="K94" s="47">
        <v>55371</v>
      </c>
      <c r="L94" s="70">
        <v>85.5</v>
      </c>
      <c r="M94" s="71">
        <v>85.5</v>
      </c>
      <c r="N94" s="72">
        <v>58037</v>
      </c>
      <c r="O94" s="47">
        <v>219633</v>
      </c>
      <c r="P94" s="69">
        <v>92297</v>
      </c>
      <c r="Q94" s="47">
        <v>349884</v>
      </c>
      <c r="R94" s="70">
        <v>62.88</v>
      </c>
      <c r="S94" s="71">
        <v>62.77</v>
      </c>
      <c r="T94" s="50"/>
      <c r="U94" s="75">
        <v>83.78</v>
      </c>
      <c r="V94" s="75">
        <v>84.17</v>
      </c>
      <c r="W94" s="50"/>
      <c r="X94" s="76">
        <v>58037</v>
      </c>
      <c r="Y94" s="76" t="s">
        <v>65</v>
      </c>
      <c r="Z94" s="51"/>
      <c r="AA94" s="76">
        <v>92297</v>
      </c>
      <c r="AB94" s="76" t="s">
        <v>65</v>
      </c>
      <c r="AC94" s="50"/>
      <c r="AD94" s="45"/>
      <c r="AE94" s="45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</row>
    <row r="95" spans="1:91" ht="14.25" customHeight="1" x14ac:dyDescent="0.35">
      <c r="A95" s="67" t="s">
        <v>8</v>
      </c>
      <c r="B95" s="68">
        <v>55781</v>
      </c>
      <c r="C95" s="47">
        <v>228071</v>
      </c>
      <c r="D95" s="69">
        <v>95352</v>
      </c>
      <c r="E95" s="47">
        <v>389865</v>
      </c>
      <c r="F95" s="70">
        <v>58.5</v>
      </c>
      <c r="G95" s="71">
        <v>58.5</v>
      </c>
      <c r="H95" s="72">
        <v>18762</v>
      </c>
      <c r="I95" s="47">
        <v>66104</v>
      </c>
      <c r="J95" s="69">
        <v>21944</v>
      </c>
      <c r="K95" s="47">
        <v>77315</v>
      </c>
      <c r="L95" s="70">
        <v>85.5</v>
      </c>
      <c r="M95" s="71">
        <v>85.5</v>
      </c>
      <c r="N95" s="72">
        <v>74543</v>
      </c>
      <c r="O95" s="47">
        <v>294175</v>
      </c>
      <c r="P95" s="69">
        <v>117296</v>
      </c>
      <c r="Q95" s="47">
        <v>467180</v>
      </c>
      <c r="R95" s="70">
        <v>63.55</v>
      </c>
      <c r="S95" s="71">
        <v>62.97</v>
      </c>
      <c r="T95" s="50"/>
      <c r="U95" s="75">
        <v>81.290000000000006</v>
      </c>
      <c r="V95" s="75">
        <v>83.45</v>
      </c>
      <c r="W95" s="50"/>
      <c r="X95" s="76">
        <v>74543</v>
      </c>
      <c r="Y95" s="76" t="s">
        <v>65</v>
      </c>
      <c r="Z95" s="51"/>
      <c r="AA95" s="76">
        <v>117296</v>
      </c>
      <c r="AB95" s="76" t="s">
        <v>65</v>
      </c>
      <c r="AC95" s="50"/>
      <c r="AD95" s="45"/>
      <c r="AE95" s="45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</row>
    <row r="96" spans="1:91" ht="14.25" customHeight="1" x14ac:dyDescent="0.35">
      <c r="A96" s="67" t="s">
        <v>9</v>
      </c>
      <c r="B96" s="68">
        <v>53019</v>
      </c>
      <c r="C96" s="47">
        <v>281090</v>
      </c>
      <c r="D96" s="69">
        <v>90630</v>
      </c>
      <c r="E96" s="47">
        <v>480495</v>
      </c>
      <c r="F96" s="70">
        <v>58.5</v>
      </c>
      <c r="G96" s="71">
        <v>58.5</v>
      </c>
      <c r="H96" s="72">
        <v>17933</v>
      </c>
      <c r="I96" s="47">
        <v>84037</v>
      </c>
      <c r="J96" s="69">
        <v>20974</v>
      </c>
      <c r="K96" s="47">
        <v>98289</v>
      </c>
      <c r="L96" s="70">
        <v>85.5</v>
      </c>
      <c r="M96" s="71">
        <v>85.5</v>
      </c>
      <c r="N96" s="72">
        <v>70951</v>
      </c>
      <c r="O96" s="47">
        <v>365127</v>
      </c>
      <c r="P96" s="69">
        <v>111604</v>
      </c>
      <c r="Q96" s="47">
        <v>578784</v>
      </c>
      <c r="R96" s="70">
        <v>63.57</v>
      </c>
      <c r="S96" s="71">
        <v>63.09</v>
      </c>
      <c r="T96" s="50"/>
      <c r="U96" s="75">
        <v>81.209999999999994</v>
      </c>
      <c r="V96" s="75">
        <v>83.02</v>
      </c>
      <c r="W96" s="50"/>
      <c r="X96" s="76">
        <v>70951</v>
      </c>
      <c r="Y96" s="76" t="s">
        <v>65</v>
      </c>
      <c r="Z96" s="51"/>
      <c r="AA96" s="76">
        <v>111604</v>
      </c>
      <c r="AB96" s="76" t="s">
        <v>65</v>
      </c>
      <c r="AC96" s="50"/>
      <c r="AD96" s="45"/>
      <c r="AE96" s="45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</row>
    <row r="97" spans="1:91" ht="14.25" customHeight="1" x14ac:dyDescent="0.35">
      <c r="A97" s="67" t="s">
        <v>10</v>
      </c>
      <c r="B97" s="68">
        <v>60432</v>
      </c>
      <c r="C97" s="47">
        <v>341522</v>
      </c>
      <c r="D97" s="69">
        <v>103302</v>
      </c>
      <c r="E97" s="47">
        <v>583798</v>
      </c>
      <c r="F97" s="70">
        <v>58.5</v>
      </c>
      <c r="G97" s="71">
        <v>58.5</v>
      </c>
      <c r="H97" s="72">
        <v>19639</v>
      </c>
      <c r="I97" s="47">
        <v>103676</v>
      </c>
      <c r="J97" s="69">
        <v>22970</v>
      </c>
      <c r="K97" s="47">
        <v>121258</v>
      </c>
      <c r="L97" s="70">
        <v>85.5</v>
      </c>
      <c r="M97" s="71">
        <v>85.5</v>
      </c>
      <c r="N97" s="72">
        <v>80071</v>
      </c>
      <c r="O97" s="47">
        <v>445198</v>
      </c>
      <c r="P97" s="69">
        <v>126272</v>
      </c>
      <c r="Q97" s="47">
        <v>705056</v>
      </c>
      <c r="R97" s="70">
        <v>63.41</v>
      </c>
      <c r="S97" s="71">
        <v>63.14</v>
      </c>
      <c r="T97" s="50"/>
      <c r="U97" s="75">
        <v>81.81</v>
      </c>
      <c r="V97" s="75">
        <v>82.8</v>
      </c>
      <c r="W97" s="50"/>
      <c r="X97" s="76">
        <v>80071</v>
      </c>
      <c r="Y97" s="76" t="s">
        <v>65</v>
      </c>
      <c r="Z97" s="51"/>
      <c r="AA97" s="76">
        <v>126272</v>
      </c>
      <c r="AB97" s="76" t="s">
        <v>65</v>
      </c>
      <c r="AC97" s="50"/>
      <c r="AD97" s="45"/>
      <c r="AE97" s="45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</row>
    <row r="98" spans="1:91" ht="14.25" customHeight="1" x14ac:dyDescent="0.35">
      <c r="A98" s="67" t="s">
        <v>11</v>
      </c>
      <c r="B98" s="68">
        <v>59330</v>
      </c>
      <c r="C98" s="47">
        <v>400852</v>
      </c>
      <c r="D98" s="69">
        <v>101419</v>
      </c>
      <c r="E98" s="47">
        <v>685217</v>
      </c>
      <c r="F98" s="70">
        <v>58.5</v>
      </c>
      <c r="G98" s="71">
        <v>58.5</v>
      </c>
      <c r="H98" s="72">
        <v>18999</v>
      </c>
      <c r="I98" s="47">
        <v>122675</v>
      </c>
      <c r="J98" s="69">
        <v>22222</v>
      </c>
      <c r="K98" s="47">
        <v>143480</v>
      </c>
      <c r="L98" s="70">
        <v>85.5</v>
      </c>
      <c r="M98" s="71">
        <v>85.5</v>
      </c>
      <c r="N98" s="72">
        <v>78330</v>
      </c>
      <c r="O98" s="47">
        <v>523527</v>
      </c>
      <c r="P98" s="69">
        <v>123641</v>
      </c>
      <c r="Q98" s="47">
        <v>828697</v>
      </c>
      <c r="R98" s="70">
        <v>63.35</v>
      </c>
      <c r="S98" s="71">
        <v>63.17</v>
      </c>
      <c r="T98" s="50"/>
      <c r="U98" s="75">
        <v>82.03</v>
      </c>
      <c r="V98" s="75">
        <v>82.69</v>
      </c>
      <c r="W98" s="50"/>
      <c r="X98" s="76">
        <v>78330</v>
      </c>
      <c r="Y98" s="76" t="s">
        <v>65</v>
      </c>
      <c r="Z98" s="51"/>
      <c r="AA98" s="76">
        <v>123641</v>
      </c>
      <c r="AB98" s="76" t="s">
        <v>65</v>
      </c>
      <c r="AC98" s="50"/>
      <c r="AD98" s="45"/>
      <c r="AE98" s="45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</row>
    <row r="99" spans="1:91" ht="14.25" customHeight="1" x14ac:dyDescent="0.35">
      <c r="A99" s="67" t="s">
        <v>12</v>
      </c>
      <c r="B99" s="68">
        <v>60555</v>
      </c>
      <c r="C99" s="47">
        <v>461407</v>
      </c>
      <c r="D99" s="69">
        <v>103512</v>
      </c>
      <c r="E99" s="47">
        <v>788729</v>
      </c>
      <c r="F99" s="70">
        <v>58.5</v>
      </c>
      <c r="G99" s="71">
        <v>58.5</v>
      </c>
      <c r="H99" s="72">
        <v>19002</v>
      </c>
      <c r="I99" s="47">
        <v>141678</v>
      </c>
      <c r="J99" s="69">
        <v>22225</v>
      </c>
      <c r="K99" s="47">
        <v>165705</v>
      </c>
      <c r="L99" s="70">
        <v>85.5</v>
      </c>
      <c r="M99" s="71">
        <v>85.5</v>
      </c>
      <c r="N99" s="72">
        <v>79557</v>
      </c>
      <c r="O99" s="47">
        <v>603084</v>
      </c>
      <c r="P99" s="69">
        <v>125737</v>
      </c>
      <c r="Q99" s="47">
        <v>954434</v>
      </c>
      <c r="R99" s="70">
        <v>63.27</v>
      </c>
      <c r="S99" s="71">
        <v>63.19</v>
      </c>
      <c r="T99" s="50"/>
      <c r="U99" s="75">
        <v>82.32</v>
      </c>
      <c r="V99" s="75">
        <v>82.64</v>
      </c>
      <c r="W99" s="50"/>
      <c r="X99" s="76">
        <v>79557</v>
      </c>
      <c r="Y99" s="76" t="s">
        <v>65</v>
      </c>
      <c r="Z99" s="51"/>
      <c r="AA99" s="76">
        <v>125737</v>
      </c>
      <c r="AB99" s="76" t="s">
        <v>65</v>
      </c>
      <c r="AC99" s="50"/>
      <c r="AD99" s="45"/>
      <c r="AE99" s="45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</row>
    <row r="100" spans="1:91" ht="14.25" customHeight="1" x14ac:dyDescent="0.35">
      <c r="A100" s="67" t="s">
        <v>13</v>
      </c>
      <c r="B100" s="68">
        <v>65079</v>
      </c>
      <c r="C100" s="47">
        <v>526486</v>
      </c>
      <c r="D100" s="69">
        <v>111246</v>
      </c>
      <c r="E100" s="47">
        <v>899976</v>
      </c>
      <c r="F100" s="70">
        <v>58.5</v>
      </c>
      <c r="G100" s="71">
        <v>58.5</v>
      </c>
      <c r="H100" s="72">
        <v>20869</v>
      </c>
      <c r="I100" s="47">
        <v>162547</v>
      </c>
      <c r="J100" s="69">
        <v>24409</v>
      </c>
      <c r="K100" s="47">
        <v>190113</v>
      </c>
      <c r="L100" s="70">
        <v>85.5</v>
      </c>
      <c r="M100" s="71">
        <v>85.5</v>
      </c>
      <c r="N100" s="72">
        <v>85948</v>
      </c>
      <c r="O100" s="47">
        <v>689033</v>
      </c>
      <c r="P100" s="69">
        <v>135655</v>
      </c>
      <c r="Q100" s="47">
        <v>1090089</v>
      </c>
      <c r="R100" s="70">
        <v>63.36</v>
      </c>
      <c r="S100" s="71">
        <v>63.21</v>
      </c>
      <c r="T100" s="50"/>
      <c r="U100" s="75">
        <v>82.01</v>
      </c>
      <c r="V100" s="75">
        <v>82.56</v>
      </c>
      <c r="W100" s="50"/>
      <c r="X100" s="76">
        <v>85948</v>
      </c>
      <c r="Y100" s="76" t="s">
        <v>65</v>
      </c>
      <c r="Z100" s="51"/>
      <c r="AA100" s="76">
        <v>135655</v>
      </c>
      <c r="AB100" s="76" t="s">
        <v>65</v>
      </c>
      <c r="AC100" s="50"/>
      <c r="AD100" s="45"/>
      <c r="AE100" s="45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</row>
    <row r="101" spans="1:91" ht="14.25" customHeight="1" x14ac:dyDescent="0.35">
      <c r="A101" s="67" t="s">
        <v>14</v>
      </c>
      <c r="B101" s="68">
        <v>58956</v>
      </c>
      <c r="C101" s="47">
        <v>585441</v>
      </c>
      <c r="D101" s="69">
        <v>100779</v>
      </c>
      <c r="E101" s="47">
        <v>1000754</v>
      </c>
      <c r="F101" s="70">
        <v>58.5</v>
      </c>
      <c r="G101" s="71">
        <v>58.5</v>
      </c>
      <c r="H101" s="72">
        <v>20754</v>
      </c>
      <c r="I101" s="47">
        <v>183301</v>
      </c>
      <c r="J101" s="69">
        <v>24274</v>
      </c>
      <c r="K101" s="47">
        <v>214387</v>
      </c>
      <c r="L101" s="70">
        <v>85.5</v>
      </c>
      <c r="M101" s="71">
        <v>85.5</v>
      </c>
      <c r="N101" s="72">
        <v>79710</v>
      </c>
      <c r="O101" s="47">
        <v>768742</v>
      </c>
      <c r="P101" s="69">
        <v>125053</v>
      </c>
      <c r="Q101" s="47">
        <v>1215142</v>
      </c>
      <c r="R101" s="70">
        <v>63.74</v>
      </c>
      <c r="S101" s="71">
        <v>63.26</v>
      </c>
      <c r="T101" s="50"/>
      <c r="U101" s="75">
        <v>80.59</v>
      </c>
      <c r="V101" s="75">
        <v>82.36</v>
      </c>
      <c r="W101" s="50"/>
      <c r="X101" s="76">
        <v>79710</v>
      </c>
      <c r="Y101" s="76" t="s">
        <v>65</v>
      </c>
      <c r="Z101" s="51"/>
      <c r="AA101" s="76">
        <v>125053</v>
      </c>
      <c r="AB101" s="76" t="s">
        <v>65</v>
      </c>
      <c r="AC101" s="50"/>
      <c r="AD101" s="45"/>
      <c r="AE101" s="45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</row>
    <row r="102" spans="1:91" ht="14.25" customHeight="1" x14ac:dyDescent="0.35">
      <c r="A102" s="67" t="s">
        <v>15</v>
      </c>
      <c r="B102" s="77">
        <v>57137</v>
      </c>
      <c r="C102" s="78">
        <v>642578</v>
      </c>
      <c r="D102" s="79">
        <v>97670</v>
      </c>
      <c r="E102" s="78">
        <v>1098425</v>
      </c>
      <c r="F102" s="80">
        <v>58.5</v>
      </c>
      <c r="G102" s="81">
        <v>58.5</v>
      </c>
      <c r="H102" s="82">
        <v>19684</v>
      </c>
      <c r="I102" s="78">
        <v>202985</v>
      </c>
      <c r="J102" s="79">
        <v>23022</v>
      </c>
      <c r="K102" s="78">
        <v>237409</v>
      </c>
      <c r="L102" s="80">
        <v>85.5</v>
      </c>
      <c r="M102" s="81">
        <v>85.5</v>
      </c>
      <c r="N102" s="82">
        <v>76821</v>
      </c>
      <c r="O102" s="78">
        <v>845564</v>
      </c>
      <c r="P102" s="79">
        <v>120693</v>
      </c>
      <c r="Q102" s="78">
        <v>1335834</v>
      </c>
      <c r="R102" s="80">
        <v>63.65</v>
      </c>
      <c r="S102" s="81">
        <v>63.3</v>
      </c>
      <c r="T102" s="50"/>
      <c r="U102" s="75">
        <v>80.92</v>
      </c>
      <c r="V102" s="75">
        <v>82.23</v>
      </c>
      <c r="W102" s="50"/>
      <c r="X102" s="76">
        <v>76821</v>
      </c>
      <c r="Y102" s="76" t="s">
        <v>65</v>
      </c>
      <c r="Z102" s="51"/>
      <c r="AA102" s="76">
        <v>120693</v>
      </c>
      <c r="AB102" s="76" t="s">
        <v>65</v>
      </c>
      <c r="AC102" s="50"/>
      <c r="AD102" s="45"/>
      <c r="AE102" s="45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</row>
    <row r="103" spans="1:91" ht="14.2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10">
        <v>0</v>
      </c>
      <c r="S103" s="10">
        <v>0</v>
      </c>
      <c r="T103" s="50"/>
      <c r="U103" s="50"/>
      <c r="V103" s="45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</row>
    <row r="104" spans="1:91" ht="14.25" customHeight="1" x14ac:dyDescent="0.35">
      <c r="A104" s="56" t="s">
        <v>132</v>
      </c>
      <c r="B104" s="50"/>
      <c r="C104" s="50"/>
      <c r="D104" s="50"/>
      <c r="E104" s="50"/>
      <c r="F104" s="50"/>
      <c r="G104" s="50"/>
      <c r="H104" s="56" t="s">
        <v>159</v>
      </c>
      <c r="I104" s="50"/>
      <c r="J104" s="50"/>
      <c r="K104" s="50"/>
      <c r="L104" s="50"/>
      <c r="M104" s="50"/>
      <c r="N104" s="56" t="s">
        <v>160</v>
      </c>
      <c r="O104" s="50"/>
      <c r="P104" s="50"/>
      <c r="Q104" s="50"/>
      <c r="R104" s="50"/>
      <c r="S104" s="50"/>
      <c r="T104" s="56" t="s">
        <v>161</v>
      </c>
      <c r="U104" s="50"/>
      <c r="V104" s="50"/>
      <c r="W104" s="50"/>
      <c r="X104" s="50"/>
      <c r="Y104" s="50"/>
      <c r="Z104" s="56" t="s">
        <v>134</v>
      </c>
      <c r="AA104" s="50"/>
      <c r="AB104" s="50"/>
      <c r="AC104" s="50"/>
      <c r="AD104" s="50"/>
      <c r="AE104" s="50"/>
      <c r="AF104" s="56" t="s">
        <v>162</v>
      </c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</row>
    <row r="105" spans="1:91" ht="14.25" customHeight="1" x14ac:dyDescent="0.35">
      <c r="A105" s="57" t="s">
        <v>102</v>
      </c>
      <c r="B105" s="58" t="s">
        <v>2</v>
      </c>
      <c r="C105" s="59"/>
      <c r="D105" s="58" t="s">
        <v>3</v>
      </c>
      <c r="E105" s="59"/>
      <c r="F105" s="58" t="s">
        <v>103</v>
      </c>
      <c r="G105" s="60"/>
      <c r="H105" s="61" t="s">
        <v>2</v>
      </c>
      <c r="I105" s="59"/>
      <c r="J105" s="58" t="s">
        <v>3</v>
      </c>
      <c r="K105" s="59"/>
      <c r="L105" s="58" t="s">
        <v>103</v>
      </c>
      <c r="M105" s="60"/>
      <c r="N105" s="61" t="s">
        <v>2</v>
      </c>
      <c r="O105" s="59"/>
      <c r="P105" s="58" t="s">
        <v>3</v>
      </c>
      <c r="Q105" s="59"/>
      <c r="R105" s="58" t="s">
        <v>103</v>
      </c>
      <c r="S105" s="60"/>
      <c r="T105" s="61" t="s">
        <v>2</v>
      </c>
      <c r="U105" s="59"/>
      <c r="V105" s="58" t="s">
        <v>3</v>
      </c>
      <c r="W105" s="59"/>
      <c r="X105" s="58" t="s">
        <v>103</v>
      </c>
      <c r="Y105" s="60"/>
      <c r="Z105" s="61" t="s">
        <v>2</v>
      </c>
      <c r="AA105" s="59"/>
      <c r="AB105" s="58" t="s">
        <v>3</v>
      </c>
      <c r="AC105" s="59"/>
      <c r="AD105" s="58" t="s">
        <v>103</v>
      </c>
      <c r="AE105" s="60"/>
      <c r="AF105" s="61" t="s">
        <v>2</v>
      </c>
      <c r="AG105" s="59"/>
      <c r="AH105" s="58" t="s">
        <v>3</v>
      </c>
      <c r="AI105" s="59"/>
      <c r="AJ105" s="58" t="s">
        <v>103</v>
      </c>
      <c r="AK105" s="60"/>
      <c r="AL105" s="50"/>
      <c r="AM105" s="105" t="s">
        <v>101</v>
      </c>
      <c r="AN105" s="106"/>
      <c r="AO105" s="105" t="s">
        <v>163</v>
      </c>
      <c r="AP105" s="106"/>
      <c r="AQ105" s="105" t="s">
        <v>164</v>
      </c>
      <c r="AR105" s="106"/>
      <c r="AS105" s="105" t="s">
        <v>165</v>
      </c>
      <c r="AT105" s="106"/>
      <c r="AU105" s="50"/>
      <c r="AV105" s="10" t="s">
        <v>104</v>
      </c>
      <c r="AW105" s="50"/>
      <c r="AX105" s="50"/>
      <c r="AY105" s="10" t="s">
        <v>105</v>
      </c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</row>
    <row r="106" spans="1:91" ht="14.25" customHeight="1" x14ac:dyDescent="0.35">
      <c r="A106" s="87" t="s">
        <v>102</v>
      </c>
      <c r="B106" s="63" t="s">
        <v>106</v>
      </c>
      <c r="C106" s="63" t="s">
        <v>107</v>
      </c>
      <c r="D106" s="63" t="s">
        <v>106</v>
      </c>
      <c r="E106" s="63" t="s">
        <v>107</v>
      </c>
      <c r="F106" s="63" t="s">
        <v>106</v>
      </c>
      <c r="G106" s="64" t="s">
        <v>107</v>
      </c>
      <c r="H106" s="65" t="s">
        <v>106</v>
      </c>
      <c r="I106" s="63" t="s">
        <v>107</v>
      </c>
      <c r="J106" s="63" t="s">
        <v>106</v>
      </c>
      <c r="K106" s="63" t="s">
        <v>107</v>
      </c>
      <c r="L106" s="63" t="s">
        <v>106</v>
      </c>
      <c r="M106" s="64" t="s">
        <v>107</v>
      </c>
      <c r="N106" s="65" t="s">
        <v>106</v>
      </c>
      <c r="O106" s="63" t="s">
        <v>107</v>
      </c>
      <c r="P106" s="63" t="s">
        <v>106</v>
      </c>
      <c r="Q106" s="63" t="s">
        <v>107</v>
      </c>
      <c r="R106" s="63" t="s">
        <v>106</v>
      </c>
      <c r="S106" s="64" t="s">
        <v>107</v>
      </c>
      <c r="T106" s="65" t="s">
        <v>106</v>
      </c>
      <c r="U106" s="63" t="s">
        <v>107</v>
      </c>
      <c r="V106" s="63" t="s">
        <v>106</v>
      </c>
      <c r="W106" s="63" t="s">
        <v>107</v>
      </c>
      <c r="X106" s="63" t="s">
        <v>106</v>
      </c>
      <c r="Y106" s="64" t="s">
        <v>107</v>
      </c>
      <c r="Z106" s="65" t="s">
        <v>106</v>
      </c>
      <c r="AA106" s="63" t="s">
        <v>107</v>
      </c>
      <c r="AB106" s="63" t="s">
        <v>106</v>
      </c>
      <c r="AC106" s="63" t="s">
        <v>107</v>
      </c>
      <c r="AD106" s="63" t="s">
        <v>106</v>
      </c>
      <c r="AE106" s="64" t="s">
        <v>107</v>
      </c>
      <c r="AF106" s="65" t="s">
        <v>106</v>
      </c>
      <c r="AG106" s="63" t="s">
        <v>107</v>
      </c>
      <c r="AH106" s="63" t="s">
        <v>106</v>
      </c>
      <c r="AI106" s="63" t="s">
        <v>107</v>
      </c>
      <c r="AJ106" s="63" t="s">
        <v>106</v>
      </c>
      <c r="AK106" s="64" t="s">
        <v>107</v>
      </c>
      <c r="AL106" s="50"/>
      <c r="AM106" s="63" t="s">
        <v>106</v>
      </c>
      <c r="AN106" s="63" t="s">
        <v>107</v>
      </c>
      <c r="AO106" s="63" t="s">
        <v>106</v>
      </c>
      <c r="AP106" s="63" t="s">
        <v>107</v>
      </c>
      <c r="AQ106" s="63" t="s">
        <v>106</v>
      </c>
      <c r="AR106" s="63" t="s">
        <v>107</v>
      </c>
      <c r="AS106" s="63" t="s">
        <v>106</v>
      </c>
      <c r="AT106" s="63" t="s">
        <v>107</v>
      </c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</row>
    <row r="107" spans="1:91" ht="14.25" customHeight="1" x14ac:dyDescent="0.35">
      <c r="A107" s="67" t="s">
        <v>4</v>
      </c>
      <c r="B107" s="72">
        <v>545568</v>
      </c>
      <c r="C107" s="47">
        <v>545568</v>
      </c>
      <c r="D107" s="69">
        <v>799306</v>
      </c>
      <c r="E107" s="47">
        <v>799306</v>
      </c>
      <c r="F107" s="70">
        <v>68.260000000000005</v>
      </c>
      <c r="G107" s="71">
        <v>68.260000000000005</v>
      </c>
      <c r="H107" s="72">
        <v>212068</v>
      </c>
      <c r="I107" s="47">
        <v>212068</v>
      </c>
      <c r="J107" s="69">
        <v>236692</v>
      </c>
      <c r="K107" s="47">
        <v>236692</v>
      </c>
      <c r="L107" s="70">
        <v>89.6</v>
      </c>
      <c r="M107" s="71">
        <v>89.6</v>
      </c>
      <c r="N107" s="72">
        <v>333500</v>
      </c>
      <c r="O107" s="47">
        <v>333500</v>
      </c>
      <c r="P107" s="69">
        <v>562614</v>
      </c>
      <c r="Q107" s="47">
        <v>562614</v>
      </c>
      <c r="R107" s="70">
        <v>59.28</v>
      </c>
      <c r="S107" s="71">
        <v>59.28</v>
      </c>
      <c r="T107" s="72">
        <v>314066</v>
      </c>
      <c r="U107" s="47">
        <v>314066</v>
      </c>
      <c r="V107" s="69">
        <v>538098</v>
      </c>
      <c r="W107" s="47">
        <v>538098</v>
      </c>
      <c r="X107" s="70">
        <v>58.37</v>
      </c>
      <c r="Y107" s="71">
        <v>58.37</v>
      </c>
      <c r="Z107" s="72">
        <v>231502</v>
      </c>
      <c r="AA107" s="47">
        <v>231502</v>
      </c>
      <c r="AB107" s="69">
        <v>261209</v>
      </c>
      <c r="AC107" s="47">
        <v>261209</v>
      </c>
      <c r="AD107" s="70">
        <v>88.63</v>
      </c>
      <c r="AE107" s="71">
        <v>88.63</v>
      </c>
      <c r="AF107" s="72">
        <v>324617</v>
      </c>
      <c r="AG107" s="47">
        <v>324617</v>
      </c>
      <c r="AH107" s="69">
        <v>549925</v>
      </c>
      <c r="AI107" s="47">
        <v>549925</v>
      </c>
      <c r="AJ107" s="70">
        <v>59.03</v>
      </c>
      <c r="AK107" s="71">
        <v>59.03</v>
      </c>
      <c r="AL107" s="52">
        <v>45679</v>
      </c>
      <c r="AM107" s="107">
        <v>70</v>
      </c>
      <c r="AN107" s="107">
        <v>70</v>
      </c>
      <c r="AO107" s="107">
        <v>30</v>
      </c>
      <c r="AP107" s="107">
        <v>30</v>
      </c>
      <c r="AQ107" s="107">
        <v>33</v>
      </c>
      <c r="AR107" s="107">
        <v>33</v>
      </c>
      <c r="AS107" s="107">
        <v>67</v>
      </c>
      <c r="AT107" s="107">
        <v>67</v>
      </c>
      <c r="AU107" s="50"/>
      <c r="AV107" s="76">
        <v>545568</v>
      </c>
      <c r="AW107" s="76" t="s">
        <v>65</v>
      </c>
      <c r="AX107" s="50"/>
      <c r="AY107" s="76">
        <v>799306</v>
      </c>
      <c r="AZ107" s="76" t="s">
        <v>65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</row>
    <row r="108" spans="1:91" ht="14.25" customHeight="1" x14ac:dyDescent="0.35">
      <c r="A108" s="67" t="s">
        <v>5</v>
      </c>
      <c r="B108" s="72">
        <v>534332</v>
      </c>
      <c r="C108" s="47">
        <v>1079901</v>
      </c>
      <c r="D108" s="69">
        <v>773919</v>
      </c>
      <c r="E108" s="47">
        <v>1573226</v>
      </c>
      <c r="F108" s="70">
        <v>69.040000000000006</v>
      </c>
      <c r="G108" s="71">
        <v>68.64</v>
      </c>
      <c r="H108" s="72">
        <v>221335</v>
      </c>
      <c r="I108" s="47">
        <v>433404</v>
      </c>
      <c r="J108" s="69">
        <v>247152</v>
      </c>
      <c r="K108" s="47">
        <v>483844</v>
      </c>
      <c r="L108" s="70">
        <v>89.55</v>
      </c>
      <c r="M108" s="71">
        <v>89.58</v>
      </c>
      <c r="N108" s="72">
        <v>312997</v>
      </c>
      <c r="O108" s="47">
        <v>646497</v>
      </c>
      <c r="P108" s="69">
        <v>526768</v>
      </c>
      <c r="Q108" s="47">
        <v>1089382</v>
      </c>
      <c r="R108" s="70">
        <v>59.42</v>
      </c>
      <c r="S108" s="71">
        <v>59.35</v>
      </c>
      <c r="T108" s="72">
        <v>292929</v>
      </c>
      <c r="U108" s="47">
        <v>606995</v>
      </c>
      <c r="V108" s="69">
        <v>501421</v>
      </c>
      <c r="W108" s="47">
        <v>1039519</v>
      </c>
      <c r="X108" s="70">
        <v>58.42</v>
      </c>
      <c r="Y108" s="71">
        <v>58.39</v>
      </c>
      <c r="Z108" s="72">
        <v>241403</v>
      </c>
      <c r="AA108" s="47">
        <v>472906</v>
      </c>
      <c r="AB108" s="69">
        <v>272498</v>
      </c>
      <c r="AC108" s="47">
        <v>533707</v>
      </c>
      <c r="AD108" s="70">
        <v>88.59</v>
      </c>
      <c r="AE108" s="71">
        <v>88.61</v>
      </c>
      <c r="AF108" s="72">
        <v>303778</v>
      </c>
      <c r="AG108" s="47">
        <v>628395</v>
      </c>
      <c r="AH108" s="69">
        <v>513598</v>
      </c>
      <c r="AI108" s="47">
        <v>1063523</v>
      </c>
      <c r="AJ108" s="70">
        <v>59.15</v>
      </c>
      <c r="AK108" s="71">
        <v>59.09</v>
      </c>
      <c r="AL108" s="52">
        <v>45710</v>
      </c>
      <c r="AM108" s="107">
        <v>68</v>
      </c>
      <c r="AN108" s="107">
        <v>69</v>
      </c>
      <c r="AO108" s="107">
        <v>32</v>
      </c>
      <c r="AP108" s="107">
        <v>31</v>
      </c>
      <c r="AQ108" s="107">
        <v>35</v>
      </c>
      <c r="AR108" s="107">
        <v>34</v>
      </c>
      <c r="AS108" s="107">
        <v>65</v>
      </c>
      <c r="AT108" s="107">
        <v>66</v>
      </c>
      <c r="AU108" s="50"/>
      <c r="AV108" s="76">
        <v>534332</v>
      </c>
      <c r="AW108" s="76" t="s">
        <v>65</v>
      </c>
      <c r="AX108" s="50"/>
      <c r="AY108" s="76">
        <v>773919</v>
      </c>
      <c r="AZ108" s="76" t="s">
        <v>65</v>
      </c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</row>
    <row r="109" spans="1:91" ht="14.25" customHeight="1" x14ac:dyDescent="0.35">
      <c r="A109" s="67" t="s">
        <v>6</v>
      </c>
      <c r="B109" s="72">
        <v>346195</v>
      </c>
      <c r="C109" s="47">
        <v>1426095</v>
      </c>
      <c r="D109" s="69">
        <v>501426</v>
      </c>
      <c r="E109" s="47">
        <v>2074652</v>
      </c>
      <c r="F109" s="70">
        <v>69.040000000000006</v>
      </c>
      <c r="G109" s="71">
        <v>68.739999999999995</v>
      </c>
      <c r="H109" s="72">
        <v>141266</v>
      </c>
      <c r="I109" s="47">
        <v>574669</v>
      </c>
      <c r="J109" s="69">
        <v>156905</v>
      </c>
      <c r="K109" s="47">
        <v>640749</v>
      </c>
      <c r="L109" s="70">
        <v>90.03</v>
      </c>
      <c r="M109" s="71">
        <v>89.69</v>
      </c>
      <c r="N109" s="72">
        <v>204929</v>
      </c>
      <c r="O109" s="47">
        <v>851426</v>
      </c>
      <c r="P109" s="69">
        <v>344521</v>
      </c>
      <c r="Q109" s="47">
        <v>1433903</v>
      </c>
      <c r="R109" s="70">
        <v>59.48</v>
      </c>
      <c r="S109" s="71">
        <v>59.38</v>
      </c>
      <c r="T109" s="72">
        <v>191227</v>
      </c>
      <c r="U109" s="47">
        <v>798222</v>
      </c>
      <c r="V109" s="69">
        <v>327573</v>
      </c>
      <c r="W109" s="47">
        <v>1367092</v>
      </c>
      <c r="X109" s="70">
        <v>58.38</v>
      </c>
      <c r="Y109" s="71">
        <v>58.39</v>
      </c>
      <c r="Z109" s="72">
        <v>154968</v>
      </c>
      <c r="AA109" s="47">
        <v>627873</v>
      </c>
      <c r="AB109" s="69">
        <v>173853</v>
      </c>
      <c r="AC109" s="47">
        <v>707560</v>
      </c>
      <c r="AD109" s="70">
        <v>89.14</v>
      </c>
      <c r="AE109" s="71">
        <v>88.74</v>
      </c>
      <c r="AF109" s="72">
        <v>199369</v>
      </c>
      <c r="AG109" s="47">
        <v>827764</v>
      </c>
      <c r="AH109" s="69">
        <v>336578</v>
      </c>
      <c r="AI109" s="47">
        <v>1400101</v>
      </c>
      <c r="AJ109" s="70">
        <v>59.23</v>
      </c>
      <c r="AK109" s="71">
        <v>59.12</v>
      </c>
      <c r="AL109" s="52">
        <v>45738</v>
      </c>
      <c r="AM109" s="107">
        <v>69</v>
      </c>
      <c r="AN109" s="107">
        <v>69</v>
      </c>
      <c r="AO109" s="107">
        <v>31</v>
      </c>
      <c r="AP109" s="107">
        <v>31</v>
      </c>
      <c r="AQ109" s="107">
        <v>35</v>
      </c>
      <c r="AR109" s="107">
        <v>34</v>
      </c>
      <c r="AS109" s="107">
        <v>65</v>
      </c>
      <c r="AT109" s="107">
        <v>66</v>
      </c>
      <c r="AU109" s="50"/>
      <c r="AV109" s="76">
        <v>346195</v>
      </c>
      <c r="AW109" s="76" t="s">
        <v>65</v>
      </c>
      <c r="AX109" s="50"/>
      <c r="AY109" s="76">
        <v>501426</v>
      </c>
      <c r="AZ109" s="76" t="s">
        <v>65</v>
      </c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</row>
    <row r="110" spans="1:91" ht="14.25" customHeight="1" x14ac:dyDescent="0.35">
      <c r="A110" s="67" t="s">
        <v>7</v>
      </c>
      <c r="B110" s="72">
        <v>526801</v>
      </c>
      <c r="C110" s="47">
        <v>1952897</v>
      </c>
      <c r="D110" s="69">
        <v>761181</v>
      </c>
      <c r="E110" s="47">
        <v>2835833</v>
      </c>
      <c r="F110" s="70">
        <v>69.209999999999994</v>
      </c>
      <c r="G110" s="71">
        <v>68.87</v>
      </c>
      <c r="H110" s="72">
        <v>220781</v>
      </c>
      <c r="I110" s="47">
        <v>795450</v>
      </c>
      <c r="J110" s="69">
        <v>246606</v>
      </c>
      <c r="K110" s="47">
        <v>887355</v>
      </c>
      <c r="L110" s="70">
        <v>89.53</v>
      </c>
      <c r="M110" s="71">
        <v>89.64</v>
      </c>
      <c r="N110" s="72">
        <v>306021</v>
      </c>
      <c r="O110" s="47">
        <v>1157446</v>
      </c>
      <c r="P110" s="69">
        <v>514575</v>
      </c>
      <c r="Q110" s="47">
        <v>1948478</v>
      </c>
      <c r="R110" s="70">
        <v>59.47</v>
      </c>
      <c r="S110" s="71">
        <v>59.4</v>
      </c>
      <c r="T110" s="72">
        <v>286447</v>
      </c>
      <c r="U110" s="47">
        <v>1084669</v>
      </c>
      <c r="V110" s="69">
        <v>489901</v>
      </c>
      <c r="W110" s="47">
        <v>1856993</v>
      </c>
      <c r="X110" s="70">
        <v>58.47</v>
      </c>
      <c r="Y110" s="71">
        <v>58.41</v>
      </c>
      <c r="Z110" s="72">
        <v>240355</v>
      </c>
      <c r="AA110" s="47">
        <v>868228</v>
      </c>
      <c r="AB110" s="69">
        <v>271280</v>
      </c>
      <c r="AC110" s="47">
        <v>978840</v>
      </c>
      <c r="AD110" s="70">
        <v>88.6</v>
      </c>
      <c r="AE110" s="71">
        <v>88.7</v>
      </c>
      <c r="AF110" s="72">
        <v>297148</v>
      </c>
      <c r="AG110" s="47">
        <v>1124912</v>
      </c>
      <c r="AH110" s="69">
        <v>501900</v>
      </c>
      <c r="AI110" s="47">
        <v>1902001</v>
      </c>
      <c r="AJ110" s="70">
        <v>59.2</v>
      </c>
      <c r="AK110" s="71">
        <v>59.14</v>
      </c>
      <c r="AL110" s="52">
        <v>45769</v>
      </c>
      <c r="AM110" s="107">
        <v>68</v>
      </c>
      <c r="AN110" s="107">
        <v>69</v>
      </c>
      <c r="AO110" s="107">
        <v>32</v>
      </c>
      <c r="AP110" s="107">
        <v>31</v>
      </c>
      <c r="AQ110" s="107">
        <v>36</v>
      </c>
      <c r="AR110" s="107">
        <v>35</v>
      </c>
      <c r="AS110" s="107">
        <v>64</v>
      </c>
      <c r="AT110" s="107">
        <v>65</v>
      </c>
      <c r="AU110" s="50"/>
      <c r="AV110" s="76">
        <v>526801</v>
      </c>
      <c r="AW110" s="76" t="s">
        <v>65</v>
      </c>
      <c r="AX110" s="50"/>
      <c r="AY110" s="76">
        <v>761181</v>
      </c>
      <c r="AZ110" s="76" t="s">
        <v>65</v>
      </c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</row>
    <row r="111" spans="1:91" ht="14.25" customHeight="1" x14ac:dyDescent="0.35">
      <c r="A111" s="67" t="s">
        <v>8</v>
      </c>
      <c r="B111" s="72">
        <v>654616</v>
      </c>
      <c r="C111" s="47">
        <v>2607512</v>
      </c>
      <c r="D111" s="69">
        <v>961262</v>
      </c>
      <c r="E111" s="47">
        <v>3797095</v>
      </c>
      <c r="F111" s="70">
        <v>68.099999999999994</v>
      </c>
      <c r="G111" s="71">
        <v>68.67</v>
      </c>
      <c r="H111" s="72">
        <v>258111</v>
      </c>
      <c r="I111" s="47">
        <v>1053561</v>
      </c>
      <c r="J111" s="69">
        <v>290852</v>
      </c>
      <c r="K111" s="47">
        <v>1178207</v>
      </c>
      <c r="L111" s="70">
        <v>88.74</v>
      </c>
      <c r="M111" s="71">
        <v>89.42</v>
      </c>
      <c r="N111" s="72">
        <v>396505</v>
      </c>
      <c r="O111" s="47">
        <v>1553951</v>
      </c>
      <c r="P111" s="69">
        <v>670410</v>
      </c>
      <c r="Q111" s="47">
        <v>2618889</v>
      </c>
      <c r="R111" s="70">
        <v>59.14</v>
      </c>
      <c r="S111" s="71">
        <v>59.34</v>
      </c>
      <c r="T111" s="72">
        <v>376781</v>
      </c>
      <c r="U111" s="47">
        <v>1461450</v>
      </c>
      <c r="V111" s="69">
        <v>644464</v>
      </c>
      <c r="W111" s="47">
        <v>2501457</v>
      </c>
      <c r="X111" s="70">
        <v>58.46</v>
      </c>
      <c r="Y111" s="71">
        <v>58.42</v>
      </c>
      <c r="Z111" s="72">
        <v>277834</v>
      </c>
      <c r="AA111" s="47">
        <v>1146062</v>
      </c>
      <c r="AB111" s="69">
        <v>316798</v>
      </c>
      <c r="AC111" s="47">
        <v>1295638</v>
      </c>
      <c r="AD111" s="70">
        <v>87.7</v>
      </c>
      <c r="AE111" s="71">
        <v>88.46</v>
      </c>
      <c r="AF111" s="72">
        <v>385384</v>
      </c>
      <c r="AG111" s="47">
        <v>1510297</v>
      </c>
      <c r="AH111" s="69">
        <v>654524</v>
      </c>
      <c r="AI111" s="47">
        <v>2556525</v>
      </c>
      <c r="AJ111" s="70">
        <v>58.88</v>
      </c>
      <c r="AK111" s="71">
        <v>59.08</v>
      </c>
      <c r="AL111" s="52">
        <v>45799</v>
      </c>
      <c r="AM111" s="107">
        <v>70</v>
      </c>
      <c r="AN111" s="107">
        <v>69</v>
      </c>
      <c r="AO111" s="107">
        <v>30</v>
      </c>
      <c r="AP111" s="107">
        <v>31</v>
      </c>
      <c r="AQ111" s="107">
        <v>33</v>
      </c>
      <c r="AR111" s="107">
        <v>34</v>
      </c>
      <c r="AS111" s="107">
        <v>67</v>
      </c>
      <c r="AT111" s="107">
        <v>66</v>
      </c>
      <c r="AU111" s="50"/>
      <c r="AV111" s="76">
        <v>654616</v>
      </c>
      <c r="AW111" s="76" t="s">
        <v>65</v>
      </c>
      <c r="AX111" s="50"/>
      <c r="AY111" s="76">
        <v>961262</v>
      </c>
      <c r="AZ111" s="76" t="s">
        <v>65</v>
      </c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</row>
    <row r="112" spans="1:91" ht="14.25" customHeight="1" x14ac:dyDescent="0.35">
      <c r="A112" s="67" t="s">
        <v>9</v>
      </c>
      <c r="B112" s="72">
        <v>649207</v>
      </c>
      <c r="C112" s="47">
        <v>3256720</v>
      </c>
      <c r="D112" s="69">
        <v>950619</v>
      </c>
      <c r="E112" s="47">
        <v>4747714</v>
      </c>
      <c r="F112" s="70">
        <v>68.290000000000006</v>
      </c>
      <c r="G112" s="71">
        <v>68.599999999999994</v>
      </c>
      <c r="H112" s="72">
        <v>259895</v>
      </c>
      <c r="I112" s="47">
        <v>1313455</v>
      </c>
      <c r="J112" s="69">
        <v>292963</v>
      </c>
      <c r="K112" s="47">
        <v>1471169</v>
      </c>
      <c r="L112" s="70">
        <v>88.71</v>
      </c>
      <c r="M112" s="71">
        <v>89.28</v>
      </c>
      <c r="N112" s="72">
        <v>389313</v>
      </c>
      <c r="O112" s="47">
        <v>1943264</v>
      </c>
      <c r="P112" s="69">
        <v>657656</v>
      </c>
      <c r="Q112" s="47">
        <v>3276545</v>
      </c>
      <c r="R112" s="70">
        <v>59.2</v>
      </c>
      <c r="S112" s="71">
        <v>59.31</v>
      </c>
      <c r="T112" s="72">
        <v>370187</v>
      </c>
      <c r="U112" s="47">
        <v>1831637</v>
      </c>
      <c r="V112" s="69">
        <v>632539</v>
      </c>
      <c r="W112" s="47">
        <v>3133996</v>
      </c>
      <c r="X112" s="70">
        <v>58.52</v>
      </c>
      <c r="Y112" s="71">
        <v>58.44</v>
      </c>
      <c r="Z112" s="72">
        <v>279020</v>
      </c>
      <c r="AA112" s="47">
        <v>1425083</v>
      </c>
      <c r="AB112" s="69">
        <v>318080</v>
      </c>
      <c r="AC112" s="47">
        <v>1613719</v>
      </c>
      <c r="AD112" s="70">
        <v>87.72</v>
      </c>
      <c r="AE112" s="71">
        <v>88.31</v>
      </c>
      <c r="AF112" s="72">
        <v>378683</v>
      </c>
      <c r="AG112" s="47">
        <v>1888979</v>
      </c>
      <c r="AH112" s="69">
        <v>642470</v>
      </c>
      <c r="AI112" s="47">
        <v>3198995</v>
      </c>
      <c r="AJ112" s="70">
        <v>58.94</v>
      </c>
      <c r="AK112" s="71">
        <v>59.05</v>
      </c>
      <c r="AL112" s="52">
        <v>45830</v>
      </c>
      <c r="AM112" s="107">
        <v>69</v>
      </c>
      <c r="AN112" s="107">
        <v>69</v>
      </c>
      <c r="AO112" s="107">
        <v>31</v>
      </c>
      <c r="AP112" s="107">
        <v>31</v>
      </c>
      <c r="AQ112" s="107">
        <v>33</v>
      </c>
      <c r="AR112" s="107">
        <v>34</v>
      </c>
      <c r="AS112" s="107">
        <v>67</v>
      </c>
      <c r="AT112" s="107">
        <v>66</v>
      </c>
      <c r="AU112" s="50"/>
      <c r="AV112" s="76">
        <v>649207</v>
      </c>
      <c r="AW112" s="76" t="s">
        <v>65</v>
      </c>
      <c r="AX112" s="50"/>
      <c r="AY112" s="76">
        <v>950619</v>
      </c>
      <c r="AZ112" s="76" t="s">
        <v>65</v>
      </c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</row>
    <row r="113" spans="1:91" ht="14.25" customHeight="1" x14ac:dyDescent="0.35">
      <c r="A113" s="67" t="s">
        <v>10</v>
      </c>
      <c r="B113" s="72">
        <v>700811</v>
      </c>
      <c r="C113" s="47">
        <v>3957530</v>
      </c>
      <c r="D113" s="69">
        <v>1025821</v>
      </c>
      <c r="E113" s="47">
        <v>5773535</v>
      </c>
      <c r="F113" s="70">
        <v>68.319999999999993</v>
      </c>
      <c r="G113" s="71">
        <v>68.55</v>
      </c>
      <c r="H113" s="72">
        <v>280995</v>
      </c>
      <c r="I113" s="47">
        <v>1594451</v>
      </c>
      <c r="J113" s="69">
        <v>316866</v>
      </c>
      <c r="K113" s="47">
        <v>1788035</v>
      </c>
      <c r="L113" s="70">
        <v>88.68</v>
      </c>
      <c r="M113" s="71">
        <v>89.17</v>
      </c>
      <c r="N113" s="72">
        <v>419816</v>
      </c>
      <c r="O113" s="47">
        <v>2363080</v>
      </c>
      <c r="P113" s="69">
        <v>708955</v>
      </c>
      <c r="Q113" s="47">
        <v>3985500</v>
      </c>
      <c r="R113" s="70">
        <v>59.22</v>
      </c>
      <c r="S113" s="71">
        <v>59.29</v>
      </c>
      <c r="T113" s="72">
        <v>395058</v>
      </c>
      <c r="U113" s="47">
        <v>2226695</v>
      </c>
      <c r="V113" s="69">
        <v>674796</v>
      </c>
      <c r="W113" s="47">
        <v>3808791</v>
      </c>
      <c r="X113" s="70">
        <v>58.54</v>
      </c>
      <c r="Y113" s="71">
        <v>58.46</v>
      </c>
      <c r="Z113" s="72">
        <v>305753</v>
      </c>
      <c r="AA113" s="47">
        <v>1730835</v>
      </c>
      <c r="AB113" s="69">
        <v>351025</v>
      </c>
      <c r="AC113" s="47">
        <v>1964744</v>
      </c>
      <c r="AD113" s="70">
        <v>87.1</v>
      </c>
      <c r="AE113" s="71">
        <v>88.09</v>
      </c>
      <c r="AF113" s="72">
        <v>408362</v>
      </c>
      <c r="AG113" s="47">
        <v>2297341</v>
      </c>
      <c r="AH113" s="69">
        <v>692592</v>
      </c>
      <c r="AI113" s="47">
        <v>3891588</v>
      </c>
      <c r="AJ113" s="70">
        <v>58.96</v>
      </c>
      <c r="AK113" s="71">
        <v>59.03</v>
      </c>
      <c r="AL113" s="52">
        <v>45860</v>
      </c>
      <c r="AM113" s="107">
        <v>69</v>
      </c>
      <c r="AN113" s="107">
        <v>69</v>
      </c>
      <c r="AO113" s="107">
        <v>31</v>
      </c>
      <c r="AP113" s="107">
        <v>31</v>
      </c>
      <c r="AQ113" s="107">
        <v>34</v>
      </c>
      <c r="AR113" s="107">
        <v>34</v>
      </c>
      <c r="AS113" s="107">
        <v>66</v>
      </c>
      <c r="AT113" s="107">
        <v>66</v>
      </c>
      <c r="AU113" s="50"/>
      <c r="AV113" s="76">
        <v>700811</v>
      </c>
      <c r="AW113" s="76" t="s">
        <v>65</v>
      </c>
      <c r="AX113" s="50"/>
      <c r="AY113" s="76">
        <v>1025821</v>
      </c>
      <c r="AZ113" s="76" t="s">
        <v>65</v>
      </c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</row>
    <row r="114" spans="1:91" ht="14.25" customHeight="1" x14ac:dyDescent="0.35">
      <c r="A114" s="67" t="s">
        <v>11</v>
      </c>
      <c r="B114" s="72">
        <v>674190</v>
      </c>
      <c r="C114" s="47">
        <v>4631721</v>
      </c>
      <c r="D114" s="69">
        <v>994857</v>
      </c>
      <c r="E114" s="47">
        <v>6768392</v>
      </c>
      <c r="F114" s="70">
        <v>67.77</v>
      </c>
      <c r="G114" s="71">
        <v>68.430000000000007</v>
      </c>
      <c r="H114" s="72">
        <v>258303</v>
      </c>
      <c r="I114" s="47">
        <v>1852754</v>
      </c>
      <c r="J114" s="69">
        <v>291079</v>
      </c>
      <c r="K114" s="47">
        <v>2079114</v>
      </c>
      <c r="L114" s="70">
        <v>88.74</v>
      </c>
      <c r="M114" s="71">
        <v>89.11</v>
      </c>
      <c r="N114" s="72">
        <v>415887</v>
      </c>
      <c r="O114" s="47">
        <v>2778967</v>
      </c>
      <c r="P114" s="69">
        <v>703779</v>
      </c>
      <c r="Q114" s="47">
        <v>4689279</v>
      </c>
      <c r="R114" s="70">
        <v>59.09</v>
      </c>
      <c r="S114" s="71">
        <v>59.26</v>
      </c>
      <c r="T114" s="72">
        <v>396167</v>
      </c>
      <c r="U114" s="47">
        <v>2622862</v>
      </c>
      <c r="V114" s="69">
        <v>677837</v>
      </c>
      <c r="W114" s="47">
        <v>4486628</v>
      </c>
      <c r="X114" s="70">
        <v>58.45</v>
      </c>
      <c r="Y114" s="71">
        <v>58.46</v>
      </c>
      <c r="Z114" s="72">
        <v>278023</v>
      </c>
      <c r="AA114" s="47">
        <v>2008859</v>
      </c>
      <c r="AB114" s="69">
        <v>317020</v>
      </c>
      <c r="AC114" s="47">
        <v>2281764</v>
      </c>
      <c r="AD114" s="70">
        <v>87.7</v>
      </c>
      <c r="AE114" s="71">
        <v>88.04</v>
      </c>
      <c r="AF114" s="72">
        <v>404769</v>
      </c>
      <c r="AG114" s="47">
        <v>2702110</v>
      </c>
      <c r="AH114" s="69">
        <v>687896</v>
      </c>
      <c r="AI114" s="47">
        <v>4579483</v>
      </c>
      <c r="AJ114" s="70">
        <v>58.84</v>
      </c>
      <c r="AK114" s="71">
        <v>59</v>
      </c>
      <c r="AL114" s="52">
        <v>45891</v>
      </c>
      <c r="AM114" s="107">
        <v>71</v>
      </c>
      <c r="AN114" s="107">
        <v>69</v>
      </c>
      <c r="AO114" s="107">
        <v>29</v>
      </c>
      <c r="AP114" s="107">
        <v>31</v>
      </c>
      <c r="AQ114" s="107">
        <v>32</v>
      </c>
      <c r="AR114" s="107">
        <v>34</v>
      </c>
      <c r="AS114" s="107">
        <v>68</v>
      </c>
      <c r="AT114" s="107">
        <v>66</v>
      </c>
      <c r="AU114" s="50"/>
      <c r="AV114" s="76">
        <v>674190</v>
      </c>
      <c r="AW114" s="76" t="s">
        <v>65</v>
      </c>
      <c r="AX114" s="50"/>
      <c r="AY114" s="76">
        <v>994857</v>
      </c>
      <c r="AZ114" s="76" t="s">
        <v>65</v>
      </c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</row>
    <row r="115" spans="1:91" ht="14.25" customHeight="1" x14ac:dyDescent="0.35">
      <c r="A115" s="67" t="s">
        <v>12</v>
      </c>
      <c r="B115" s="72">
        <v>704370</v>
      </c>
      <c r="C115" s="47">
        <v>5336091</v>
      </c>
      <c r="D115" s="69">
        <v>1024618</v>
      </c>
      <c r="E115" s="47">
        <v>7793010</v>
      </c>
      <c r="F115" s="70">
        <v>68.739999999999995</v>
      </c>
      <c r="G115" s="71">
        <v>68.47</v>
      </c>
      <c r="H115" s="72">
        <v>286727</v>
      </c>
      <c r="I115" s="47">
        <v>2139481</v>
      </c>
      <c r="J115" s="69">
        <v>320875</v>
      </c>
      <c r="K115" s="47">
        <v>2399989</v>
      </c>
      <c r="L115" s="70">
        <v>89.36</v>
      </c>
      <c r="M115" s="71">
        <v>89.15</v>
      </c>
      <c r="N115" s="72">
        <v>417643</v>
      </c>
      <c r="O115" s="47">
        <v>3196610</v>
      </c>
      <c r="P115" s="69">
        <v>703742</v>
      </c>
      <c r="Q115" s="47">
        <v>5393021</v>
      </c>
      <c r="R115" s="70">
        <v>59.35</v>
      </c>
      <c r="S115" s="71">
        <v>59.27</v>
      </c>
      <c r="T115" s="72">
        <v>393547</v>
      </c>
      <c r="U115" s="47">
        <v>3016409</v>
      </c>
      <c r="V115" s="69">
        <v>673232</v>
      </c>
      <c r="W115" s="47">
        <v>5159861</v>
      </c>
      <c r="X115" s="70">
        <v>58.46</v>
      </c>
      <c r="Y115" s="71">
        <v>58.46</v>
      </c>
      <c r="Z115" s="72">
        <v>310823</v>
      </c>
      <c r="AA115" s="47">
        <v>2319682</v>
      </c>
      <c r="AB115" s="69">
        <v>351385</v>
      </c>
      <c r="AC115" s="47">
        <v>2633149</v>
      </c>
      <c r="AD115" s="70">
        <v>88.46</v>
      </c>
      <c r="AE115" s="71">
        <v>88.1</v>
      </c>
      <c r="AF115" s="72">
        <v>406512</v>
      </c>
      <c r="AG115" s="47">
        <v>3108622</v>
      </c>
      <c r="AH115" s="69">
        <v>687841</v>
      </c>
      <c r="AI115" s="47">
        <v>5267324</v>
      </c>
      <c r="AJ115" s="70">
        <v>59.1</v>
      </c>
      <c r="AK115" s="71">
        <v>59.02</v>
      </c>
      <c r="AL115" s="52">
        <v>45922</v>
      </c>
      <c r="AM115" s="107">
        <v>69</v>
      </c>
      <c r="AN115" s="107">
        <v>69</v>
      </c>
      <c r="AO115" s="107">
        <v>31</v>
      </c>
      <c r="AP115" s="107">
        <v>31</v>
      </c>
      <c r="AQ115" s="107">
        <v>34</v>
      </c>
      <c r="AR115" s="107">
        <v>34</v>
      </c>
      <c r="AS115" s="107">
        <v>66</v>
      </c>
      <c r="AT115" s="107">
        <v>66</v>
      </c>
      <c r="AU115" s="50"/>
      <c r="AV115" s="76">
        <v>704370</v>
      </c>
      <c r="AW115" s="76" t="s">
        <v>65</v>
      </c>
      <c r="AX115" s="50"/>
      <c r="AY115" s="76">
        <v>1024618</v>
      </c>
      <c r="AZ115" s="76" t="s">
        <v>65</v>
      </c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</row>
    <row r="116" spans="1:91" ht="14.25" customHeight="1" x14ac:dyDescent="0.35">
      <c r="A116" s="67" t="s">
        <v>13</v>
      </c>
      <c r="B116" s="72">
        <v>764956</v>
      </c>
      <c r="C116" s="47">
        <v>6101047</v>
      </c>
      <c r="D116" s="69">
        <v>1100671</v>
      </c>
      <c r="E116" s="47">
        <v>8893681</v>
      </c>
      <c r="F116" s="70">
        <v>69.5</v>
      </c>
      <c r="G116" s="71">
        <v>68.599999999999994</v>
      </c>
      <c r="H116" s="72">
        <v>328561</v>
      </c>
      <c r="I116" s="47">
        <v>2468042</v>
      </c>
      <c r="J116" s="69">
        <v>367685</v>
      </c>
      <c r="K116" s="47">
        <v>2767674</v>
      </c>
      <c r="L116" s="70">
        <v>89.36</v>
      </c>
      <c r="M116" s="71">
        <v>89.17</v>
      </c>
      <c r="N116" s="72">
        <v>436396</v>
      </c>
      <c r="O116" s="47">
        <v>3633006</v>
      </c>
      <c r="P116" s="69">
        <v>732986</v>
      </c>
      <c r="Q116" s="47">
        <v>6126007</v>
      </c>
      <c r="R116" s="70">
        <v>59.54</v>
      </c>
      <c r="S116" s="71">
        <v>59.3</v>
      </c>
      <c r="T116" s="72">
        <v>398445</v>
      </c>
      <c r="U116" s="47">
        <v>3414855</v>
      </c>
      <c r="V116" s="69">
        <v>680147</v>
      </c>
      <c r="W116" s="47">
        <v>5840008</v>
      </c>
      <c r="X116" s="70">
        <v>58.58</v>
      </c>
      <c r="Y116" s="71">
        <v>58.47</v>
      </c>
      <c r="Z116" s="72">
        <v>366511</v>
      </c>
      <c r="AA116" s="47">
        <v>2686193</v>
      </c>
      <c r="AB116" s="69">
        <v>420523</v>
      </c>
      <c r="AC116" s="47">
        <v>3053672</v>
      </c>
      <c r="AD116" s="70">
        <v>87.16</v>
      </c>
      <c r="AE116" s="71">
        <v>87.97</v>
      </c>
      <c r="AF116" s="72">
        <v>422471</v>
      </c>
      <c r="AG116" s="47">
        <v>3531093</v>
      </c>
      <c r="AH116" s="69">
        <v>713094</v>
      </c>
      <c r="AI116" s="47">
        <v>5980417</v>
      </c>
      <c r="AJ116" s="70">
        <v>59.24</v>
      </c>
      <c r="AK116" s="71">
        <v>59.04</v>
      </c>
      <c r="AL116" s="52">
        <v>45952</v>
      </c>
      <c r="AM116" s="107">
        <v>67</v>
      </c>
      <c r="AN116" s="107">
        <v>69</v>
      </c>
      <c r="AO116" s="107">
        <v>33</v>
      </c>
      <c r="AP116" s="107">
        <v>31</v>
      </c>
      <c r="AQ116" s="107">
        <v>38</v>
      </c>
      <c r="AR116" s="107">
        <v>34</v>
      </c>
      <c r="AS116" s="107">
        <v>62</v>
      </c>
      <c r="AT116" s="107">
        <v>66</v>
      </c>
      <c r="AU116" s="50"/>
      <c r="AV116" s="76">
        <v>764956</v>
      </c>
      <c r="AW116" s="76" t="s">
        <v>65</v>
      </c>
      <c r="AX116" s="50"/>
      <c r="AY116" s="76">
        <v>1100671</v>
      </c>
      <c r="AZ116" s="76" t="s">
        <v>65</v>
      </c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</row>
    <row r="117" spans="1:91" ht="14.25" customHeight="1" x14ac:dyDescent="0.35">
      <c r="A117" s="67" t="s">
        <v>14</v>
      </c>
      <c r="B117" s="72">
        <v>716174</v>
      </c>
      <c r="C117" s="47">
        <v>6817222</v>
      </c>
      <c r="D117" s="69">
        <v>1030459</v>
      </c>
      <c r="E117" s="47">
        <v>9924139</v>
      </c>
      <c r="F117" s="70">
        <v>69.5</v>
      </c>
      <c r="G117" s="71">
        <v>68.69</v>
      </c>
      <c r="H117" s="72">
        <v>307300</v>
      </c>
      <c r="I117" s="47">
        <v>2775342</v>
      </c>
      <c r="J117" s="69">
        <v>343549</v>
      </c>
      <c r="K117" s="47">
        <v>3111223</v>
      </c>
      <c r="L117" s="70">
        <v>89.45</v>
      </c>
      <c r="M117" s="71">
        <v>89.2</v>
      </c>
      <c r="N117" s="72">
        <v>408874</v>
      </c>
      <c r="O117" s="47">
        <v>4041880</v>
      </c>
      <c r="P117" s="69">
        <v>686910</v>
      </c>
      <c r="Q117" s="47">
        <v>6812917</v>
      </c>
      <c r="R117" s="70">
        <v>59.52</v>
      </c>
      <c r="S117" s="71">
        <v>59.33</v>
      </c>
      <c r="T117" s="72">
        <v>381455</v>
      </c>
      <c r="U117" s="47">
        <v>3796309</v>
      </c>
      <c r="V117" s="69">
        <v>651836</v>
      </c>
      <c r="W117" s="47">
        <v>6491844</v>
      </c>
      <c r="X117" s="70">
        <v>58.52</v>
      </c>
      <c r="Y117" s="71">
        <v>58.48</v>
      </c>
      <c r="Z117" s="72">
        <v>334720</v>
      </c>
      <c r="AA117" s="47">
        <v>3020912</v>
      </c>
      <c r="AB117" s="69">
        <v>378623</v>
      </c>
      <c r="AC117" s="47">
        <v>3432296</v>
      </c>
      <c r="AD117" s="70">
        <v>88.4</v>
      </c>
      <c r="AE117" s="71">
        <v>88.01</v>
      </c>
      <c r="AF117" s="72">
        <v>395091</v>
      </c>
      <c r="AG117" s="47">
        <v>3926184</v>
      </c>
      <c r="AH117" s="69">
        <v>667219</v>
      </c>
      <c r="AI117" s="47">
        <v>6647636</v>
      </c>
      <c r="AJ117" s="70">
        <v>59.21</v>
      </c>
      <c r="AK117" s="71">
        <v>59.06</v>
      </c>
      <c r="AL117" s="52">
        <v>45983</v>
      </c>
      <c r="AM117" s="107">
        <v>67</v>
      </c>
      <c r="AN117" s="107">
        <v>69</v>
      </c>
      <c r="AO117" s="107">
        <v>33</v>
      </c>
      <c r="AP117" s="107">
        <v>31</v>
      </c>
      <c r="AQ117" s="107">
        <v>37</v>
      </c>
      <c r="AR117" s="107">
        <v>35</v>
      </c>
      <c r="AS117" s="107">
        <v>63</v>
      </c>
      <c r="AT117" s="107">
        <v>65</v>
      </c>
      <c r="AU117" s="50"/>
      <c r="AV117" s="76">
        <v>716174</v>
      </c>
      <c r="AW117" s="76" t="s">
        <v>65</v>
      </c>
      <c r="AX117" s="50"/>
      <c r="AY117" s="76">
        <v>1030459</v>
      </c>
      <c r="AZ117" s="76" t="s">
        <v>65</v>
      </c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</row>
    <row r="118" spans="1:91" ht="14.25" customHeight="1" x14ac:dyDescent="0.35">
      <c r="A118" s="67" t="s">
        <v>15</v>
      </c>
      <c r="B118" s="82">
        <v>699524</v>
      </c>
      <c r="C118" s="78">
        <v>7516746</v>
      </c>
      <c r="D118" s="79">
        <v>1007228</v>
      </c>
      <c r="E118" s="78">
        <v>10931367</v>
      </c>
      <c r="F118" s="80">
        <v>69.45</v>
      </c>
      <c r="G118" s="81">
        <v>68.760000000000005</v>
      </c>
      <c r="H118" s="82">
        <v>299476</v>
      </c>
      <c r="I118" s="78">
        <v>3074818</v>
      </c>
      <c r="J118" s="79">
        <v>334618</v>
      </c>
      <c r="K118" s="78">
        <v>3445840</v>
      </c>
      <c r="L118" s="80">
        <v>89.5</v>
      </c>
      <c r="M118" s="81">
        <v>89.23</v>
      </c>
      <c r="N118" s="82">
        <v>400048</v>
      </c>
      <c r="O118" s="78">
        <v>4441928</v>
      </c>
      <c r="P118" s="79">
        <v>672610</v>
      </c>
      <c r="Q118" s="78">
        <v>7485527</v>
      </c>
      <c r="R118" s="80">
        <v>59.48</v>
      </c>
      <c r="S118" s="81">
        <v>59.34</v>
      </c>
      <c r="T118" s="82">
        <v>369586</v>
      </c>
      <c r="U118" s="78">
        <v>4165895</v>
      </c>
      <c r="V118" s="79">
        <v>631935</v>
      </c>
      <c r="W118" s="78">
        <v>7123779</v>
      </c>
      <c r="X118" s="80">
        <v>58.48</v>
      </c>
      <c r="Y118" s="81">
        <v>58.48</v>
      </c>
      <c r="Z118" s="82">
        <v>329938</v>
      </c>
      <c r="AA118" s="78">
        <v>3350851</v>
      </c>
      <c r="AB118" s="79">
        <v>375293</v>
      </c>
      <c r="AC118" s="78">
        <v>3807589</v>
      </c>
      <c r="AD118" s="80">
        <v>87.91</v>
      </c>
      <c r="AE118" s="81">
        <v>88</v>
      </c>
      <c r="AF118" s="82">
        <v>386960</v>
      </c>
      <c r="AG118" s="78">
        <v>4313144</v>
      </c>
      <c r="AH118" s="79">
        <v>653913</v>
      </c>
      <c r="AI118" s="78">
        <v>7301550</v>
      </c>
      <c r="AJ118" s="80">
        <v>59.18</v>
      </c>
      <c r="AK118" s="81">
        <v>59.07</v>
      </c>
      <c r="AL118" s="52">
        <v>46013</v>
      </c>
      <c r="AM118" s="107">
        <v>67</v>
      </c>
      <c r="AN118" s="107">
        <v>68</v>
      </c>
      <c r="AO118" s="107">
        <v>33</v>
      </c>
      <c r="AP118" s="107">
        <v>32</v>
      </c>
      <c r="AQ118" s="107">
        <v>37</v>
      </c>
      <c r="AR118" s="107">
        <v>35</v>
      </c>
      <c r="AS118" s="107">
        <v>63</v>
      </c>
      <c r="AT118" s="107">
        <v>65</v>
      </c>
      <c r="AU118" s="50"/>
      <c r="AV118" s="76">
        <v>699524</v>
      </c>
      <c r="AW118" s="76" t="s">
        <v>65</v>
      </c>
      <c r="AX118" s="50"/>
      <c r="AY118" s="76">
        <v>1007228</v>
      </c>
      <c r="AZ118" s="76" t="s">
        <v>65</v>
      </c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</row>
    <row r="119" spans="1:91" ht="14.25" customHeight="1" x14ac:dyDescent="0.35">
      <c r="A119" s="50"/>
      <c r="B119" s="50"/>
      <c r="C119" s="50"/>
      <c r="D119" s="50"/>
      <c r="E119" s="50"/>
      <c r="F119" s="10">
        <v>0</v>
      </c>
      <c r="G119" s="10">
        <v>0</v>
      </c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10" t="s">
        <v>138</v>
      </c>
      <c r="AN119" s="50"/>
      <c r="AO119" s="50"/>
      <c r="AP119" s="46"/>
      <c r="AQ119" s="50"/>
      <c r="AR119" s="50"/>
      <c r="AS119" s="46"/>
      <c r="AT119" s="50"/>
      <c r="AU119" s="50"/>
      <c r="AV119" s="46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</row>
    <row r="120" spans="1:91" ht="14.25" customHeight="1" x14ac:dyDescent="0.35">
      <c r="A120" s="50"/>
      <c r="B120" s="50"/>
      <c r="C120" s="50"/>
      <c r="D120" s="50"/>
      <c r="E120" s="50"/>
      <c r="F120" s="50"/>
      <c r="G120" s="55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49"/>
      <c r="X120" s="50"/>
      <c r="Y120" s="50"/>
      <c r="Z120" s="50"/>
      <c r="AA120" s="50"/>
      <c r="AB120" s="50"/>
      <c r="AC120" s="49"/>
      <c r="AD120" s="50"/>
      <c r="AE120" s="50"/>
      <c r="AF120" s="50"/>
      <c r="AG120" s="50"/>
      <c r="AH120" s="50"/>
      <c r="AI120" s="50"/>
      <c r="AJ120" s="50"/>
      <c r="AK120" s="50"/>
      <c r="AL120" s="50"/>
      <c r="AM120" s="10" t="s">
        <v>141</v>
      </c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</row>
    <row r="121" spans="1:91" ht="14.25" customHeight="1" x14ac:dyDescent="0.35">
      <c r="A121" s="50"/>
      <c r="B121" s="50"/>
      <c r="C121" s="50"/>
      <c r="D121" s="50"/>
      <c r="E121" s="50"/>
      <c r="F121" s="50"/>
      <c r="G121" s="50"/>
      <c r="H121" s="76"/>
      <c r="I121" s="46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10"/>
      <c r="AG121" s="50"/>
      <c r="AH121" s="50"/>
      <c r="AI121" s="50"/>
      <c r="AJ121" s="50"/>
      <c r="AK121" s="50"/>
      <c r="AL121" s="50"/>
      <c r="AM121" s="10" t="s">
        <v>142</v>
      </c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</row>
    <row r="122" spans="1:91" ht="14.25" customHeight="1" x14ac:dyDescent="0.35">
      <c r="A122" s="50"/>
      <c r="B122" s="50"/>
      <c r="C122" s="50"/>
      <c r="D122" s="50"/>
      <c r="E122" s="50"/>
      <c r="F122" s="50"/>
      <c r="G122" s="50"/>
      <c r="H122" s="76"/>
      <c r="I122" s="46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1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</row>
    <row r="123" spans="1:91" ht="14.25" customHeight="1" x14ac:dyDescent="0.35">
      <c r="A123" s="50"/>
      <c r="B123" s="50"/>
      <c r="C123" s="50"/>
      <c r="D123" s="50"/>
      <c r="E123" s="50"/>
      <c r="F123" s="50"/>
      <c r="G123" s="50"/>
      <c r="H123" s="46"/>
      <c r="I123" s="46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</row>
    <row r="124" spans="1:91" ht="14.25" customHeight="1" x14ac:dyDescent="0.35">
      <c r="A124" s="50"/>
      <c r="B124" s="50"/>
      <c r="C124" s="50"/>
      <c r="D124" s="50"/>
      <c r="E124" s="50"/>
      <c r="F124" s="50"/>
      <c r="G124" s="50"/>
      <c r="H124" s="46"/>
      <c r="I124" s="46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</row>
    <row r="125" spans="1:91" ht="14.25" customHeight="1" x14ac:dyDescent="0.35">
      <c r="A125" s="50"/>
      <c r="B125" s="50"/>
      <c r="C125" s="50"/>
      <c r="D125" s="50"/>
      <c r="E125" s="50"/>
      <c r="F125" s="50"/>
      <c r="G125" s="50"/>
      <c r="H125" s="46"/>
      <c r="I125" s="46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</row>
    <row r="126" spans="1:91" ht="14.25" customHeight="1" x14ac:dyDescent="0.35">
      <c r="A126" s="50"/>
      <c r="B126" s="50"/>
      <c r="C126" s="50"/>
      <c r="D126" s="50"/>
      <c r="E126" s="50"/>
      <c r="F126" s="50"/>
      <c r="G126" s="50"/>
      <c r="H126" s="46"/>
      <c r="I126" s="46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</row>
    <row r="127" spans="1:91" ht="14.25" customHeight="1" x14ac:dyDescent="0.35">
      <c r="A127" s="50"/>
      <c r="B127" s="50"/>
      <c r="C127" s="50"/>
      <c r="D127" s="50"/>
      <c r="E127" s="50"/>
      <c r="F127" s="50"/>
      <c r="G127" s="50"/>
      <c r="H127" s="46"/>
      <c r="I127" s="46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</row>
    <row r="128" spans="1:91" ht="14.25" customHeight="1" x14ac:dyDescent="0.35">
      <c r="A128" s="50"/>
      <c r="B128" s="50"/>
      <c r="C128" s="50"/>
      <c r="D128" s="50"/>
      <c r="E128" s="50"/>
      <c r="F128" s="50"/>
      <c r="G128" s="50"/>
      <c r="H128" s="46"/>
      <c r="I128" s="46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</row>
    <row r="129" spans="1:91" ht="14.25" customHeight="1" x14ac:dyDescent="0.35">
      <c r="A129" s="50"/>
      <c r="B129" s="50"/>
      <c r="C129" s="50"/>
      <c r="D129" s="50"/>
      <c r="E129" s="50"/>
      <c r="F129" s="50"/>
      <c r="G129" s="50"/>
      <c r="H129" s="46"/>
      <c r="I129" s="46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</row>
    <row r="130" spans="1:91" ht="14.25" customHeight="1" x14ac:dyDescent="0.35">
      <c r="A130" s="50"/>
      <c r="B130" s="50"/>
      <c r="C130" s="50"/>
      <c r="D130" s="50"/>
      <c r="E130" s="50"/>
      <c r="F130" s="50"/>
      <c r="G130" s="50"/>
      <c r="H130" s="46"/>
      <c r="I130" s="46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</row>
    <row r="131" spans="1:91" ht="14.25" customHeight="1" x14ac:dyDescent="0.35">
      <c r="A131" s="50"/>
      <c r="B131" s="50"/>
      <c r="C131" s="50"/>
      <c r="D131" s="50"/>
      <c r="E131" s="50"/>
      <c r="F131" s="50"/>
      <c r="G131" s="50"/>
      <c r="H131" s="46"/>
      <c r="I131" s="46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</row>
    <row r="132" spans="1:91" ht="14.25" customHeight="1" x14ac:dyDescent="0.35">
      <c r="A132" s="50"/>
      <c r="B132" s="50"/>
      <c r="C132" s="50"/>
      <c r="D132" s="50"/>
      <c r="E132" s="50"/>
      <c r="F132" s="50"/>
      <c r="G132" s="50"/>
      <c r="H132" s="46"/>
      <c r="I132" s="46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</row>
    <row r="133" spans="1:91" ht="14.2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</row>
    <row r="134" spans="1:91" ht="14.2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</row>
    <row r="135" spans="1:91" ht="14.2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</row>
    <row r="136" spans="1:91" ht="14.2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</row>
    <row r="137" spans="1:91" ht="14.2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</row>
    <row r="138" spans="1:91" ht="14.2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</row>
    <row r="139" spans="1:91" ht="14.2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</row>
    <row r="140" spans="1:91" ht="14.2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</row>
    <row r="141" spans="1:91" ht="14.2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</row>
    <row r="142" spans="1:91" ht="14.2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</row>
    <row r="143" spans="1:91" ht="14.2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</row>
    <row r="144" spans="1:91" ht="14.2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</row>
    <row r="145" spans="1:91" ht="14.2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</row>
    <row r="146" spans="1:91" ht="14.2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</row>
    <row r="147" spans="1:91" ht="14.2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</row>
    <row r="148" spans="1:91" ht="14.2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</row>
    <row r="149" spans="1:91" ht="14.2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</row>
    <row r="150" spans="1:91" ht="14.2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</row>
    <row r="151" spans="1:91" ht="14.2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</row>
    <row r="152" spans="1:91" ht="14.2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</row>
    <row r="153" spans="1:91" ht="14.2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</row>
    <row r="154" spans="1:91" ht="14.2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</row>
    <row r="155" spans="1:91" ht="14.2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</row>
    <row r="156" spans="1:91" ht="14.2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</row>
    <row r="157" spans="1:91" ht="14.2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</row>
    <row r="158" spans="1:91" ht="14.2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</row>
    <row r="159" spans="1:91" ht="14.2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</row>
    <row r="160" spans="1:91" ht="14.2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</row>
    <row r="161" spans="1:91" ht="14.2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</row>
    <row r="162" spans="1:91" ht="14.2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</row>
    <row r="163" spans="1:91" ht="14.2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</row>
    <row r="164" spans="1:91" ht="14.2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</row>
    <row r="165" spans="1:91" ht="14.2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</row>
    <row r="166" spans="1:91" ht="14.2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</row>
    <row r="167" spans="1:91" ht="14.2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</row>
    <row r="168" spans="1:91" ht="14.2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</row>
    <row r="169" spans="1:91" ht="14.2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</row>
    <row r="170" spans="1:91" ht="14.2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</row>
    <row r="171" spans="1:91" ht="14.2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</row>
    <row r="172" spans="1:91" ht="14.2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</row>
    <row r="173" spans="1:91" ht="14.2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</row>
    <row r="174" spans="1:91" ht="14.2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</row>
    <row r="175" spans="1:91" ht="14.2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</row>
    <row r="176" spans="1:91" ht="14.2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</row>
    <row r="177" spans="1:91" ht="14.2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</row>
    <row r="178" spans="1:91" ht="14.2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</row>
    <row r="179" spans="1:91" ht="14.2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</row>
    <row r="180" spans="1:91" ht="14.2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</row>
    <row r="181" spans="1:91" ht="14.2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</row>
    <row r="182" spans="1:91" ht="14.2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</row>
    <row r="183" spans="1:91" ht="14.2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</row>
    <row r="184" spans="1:91" ht="14.2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</row>
    <row r="185" spans="1:91" ht="14.2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</row>
    <row r="186" spans="1:91" ht="14.2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</row>
    <row r="187" spans="1:91" ht="14.2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</row>
    <row r="188" spans="1:91" ht="14.2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</row>
    <row r="189" spans="1:91" ht="14.2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</row>
    <row r="190" spans="1:91" ht="14.2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</row>
    <row r="191" spans="1:91" ht="14.2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</row>
    <row r="192" spans="1:91" ht="14.2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</row>
    <row r="193" spans="1:91" ht="14.2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</row>
    <row r="194" spans="1:91" ht="14.2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</row>
    <row r="195" spans="1:91" ht="14.2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</row>
    <row r="196" spans="1:91" ht="14.2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</row>
    <row r="197" spans="1:91" ht="14.2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</row>
    <row r="198" spans="1:91" ht="14.2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</row>
    <row r="199" spans="1:91" ht="14.2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</row>
    <row r="200" spans="1:91" ht="14.2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</row>
    <row r="201" spans="1:91" ht="14.2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</row>
    <row r="202" spans="1:91" ht="14.2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</row>
    <row r="203" spans="1:91" ht="14.2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</row>
    <row r="204" spans="1:91" ht="14.2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</row>
    <row r="205" spans="1:91" ht="14.2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</row>
    <row r="206" spans="1:91" ht="14.2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</row>
    <row r="207" spans="1:91" ht="14.2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</row>
    <row r="208" spans="1:91" ht="14.2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</row>
    <row r="209" spans="1:91" ht="14.2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</row>
    <row r="210" spans="1:91" ht="14.2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</row>
    <row r="211" spans="1:91" ht="14.2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</row>
    <row r="212" spans="1:91" ht="14.2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</row>
    <row r="213" spans="1:91" ht="14.2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</row>
    <row r="214" spans="1:91" ht="14.2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</row>
    <row r="215" spans="1:91" ht="14.2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</row>
    <row r="216" spans="1:91" ht="14.2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</row>
    <row r="217" spans="1:91" ht="14.2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</row>
    <row r="218" spans="1:91" ht="14.2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</row>
    <row r="219" spans="1:91" ht="14.2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</row>
    <row r="220" spans="1:91" ht="14.2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</row>
    <row r="221" spans="1:91" ht="14.2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</row>
    <row r="222" spans="1:91" ht="14.2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</row>
    <row r="223" spans="1:91" ht="14.2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</row>
    <row r="224" spans="1:91" ht="14.2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</row>
    <row r="225" spans="1:91" ht="14.2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</row>
    <row r="226" spans="1:91" ht="14.2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</row>
    <row r="227" spans="1:91" ht="14.2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</row>
    <row r="228" spans="1:91" ht="14.2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</row>
    <row r="229" spans="1:91" ht="14.2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</row>
    <row r="230" spans="1:91" ht="14.2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</row>
    <row r="231" spans="1:91" ht="14.2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</row>
    <row r="232" spans="1:91" ht="14.2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</row>
    <row r="233" spans="1:91" ht="14.2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</row>
    <row r="234" spans="1:91" ht="14.2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</row>
    <row r="235" spans="1:91" ht="14.2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</row>
    <row r="236" spans="1:91" ht="14.2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</row>
    <row r="237" spans="1:91" ht="14.2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</row>
    <row r="238" spans="1:91" ht="14.2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</row>
    <row r="239" spans="1:91" ht="14.2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</row>
    <row r="240" spans="1:91" ht="14.2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</row>
    <row r="241" spans="1:91" ht="14.2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</row>
    <row r="242" spans="1:91" ht="14.2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</row>
    <row r="243" spans="1:91" ht="14.2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</row>
    <row r="244" spans="1:91" ht="14.2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</row>
    <row r="245" spans="1:91" ht="14.2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</row>
    <row r="246" spans="1:91" ht="14.2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</row>
    <row r="247" spans="1:91" ht="14.2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</row>
    <row r="248" spans="1:91" ht="14.2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</row>
    <row r="249" spans="1:91" ht="14.2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</row>
    <row r="250" spans="1:91" ht="14.2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</row>
    <row r="251" spans="1:91" ht="14.2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</row>
    <row r="252" spans="1:91" ht="14.2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</row>
    <row r="253" spans="1:91" ht="14.2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</row>
    <row r="254" spans="1:91" ht="14.2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</row>
    <row r="255" spans="1:91" ht="14.2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</row>
    <row r="256" spans="1:91" ht="14.2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</row>
    <row r="257" spans="1:91" ht="14.2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</row>
    <row r="258" spans="1:91" ht="14.2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</row>
    <row r="259" spans="1:91" ht="14.2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</row>
    <row r="260" spans="1:91" ht="14.2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</row>
    <row r="261" spans="1:91" ht="14.2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</row>
    <row r="262" spans="1:91" ht="14.2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</row>
    <row r="263" spans="1:91" ht="14.2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</row>
    <row r="264" spans="1:91" ht="14.2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</row>
    <row r="265" spans="1:91" ht="14.2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</row>
    <row r="266" spans="1:91" ht="14.2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</row>
    <row r="267" spans="1:91" ht="14.2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</row>
    <row r="268" spans="1:91" ht="14.2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</row>
    <row r="269" spans="1:91" ht="14.2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</row>
    <row r="270" spans="1:91" ht="14.2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</row>
    <row r="271" spans="1:91" ht="14.2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</row>
    <row r="272" spans="1:91" ht="14.2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</row>
    <row r="273" spans="1:91" ht="14.2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</row>
    <row r="274" spans="1:91" ht="14.2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</row>
    <row r="275" spans="1:91" ht="14.2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</row>
    <row r="276" spans="1:91" ht="14.2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</row>
    <row r="277" spans="1:91" ht="14.2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</row>
    <row r="278" spans="1:91" ht="14.2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</row>
    <row r="279" spans="1:91" ht="14.2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</row>
    <row r="280" spans="1:91" ht="14.2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</row>
    <row r="281" spans="1:91" ht="14.2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</row>
    <row r="282" spans="1:91" ht="14.2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</row>
    <row r="283" spans="1:91" ht="14.2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</row>
    <row r="284" spans="1:91" ht="14.2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</row>
    <row r="285" spans="1:91" ht="14.2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</row>
    <row r="286" spans="1:91" ht="14.2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</row>
    <row r="287" spans="1:91" ht="14.2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</row>
    <row r="288" spans="1:91" ht="14.2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</row>
    <row r="289" spans="1:91" ht="14.2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</row>
    <row r="290" spans="1:91" ht="14.2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</row>
    <row r="291" spans="1:91" ht="14.2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</row>
    <row r="292" spans="1:91" ht="14.2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</row>
    <row r="293" spans="1:91" ht="14.2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</row>
    <row r="294" spans="1:91" ht="14.2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</row>
    <row r="295" spans="1:91" ht="14.2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</row>
    <row r="296" spans="1:91" ht="14.2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</row>
    <row r="297" spans="1:91" ht="14.2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</row>
    <row r="298" spans="1:91" ht="14.2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</row>
    <row r="299" spans="1:91" ht="14.2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</row>
    <row r="300" spans="1:91" ht="14.2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</row>
    <row r="301" spans="1:91" ht="14.2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</row>
    <row r="302" spans="1:91" ht="14.2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</row>
    <row r="303" spans="1:91" ht="14.2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</row>
    <row r="304" spans="1:91" ht="14.2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</row>
    <row r="305" spans="1:91" ht="14.2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</row>
    <row r="306" spans="1:91" ht="14.2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</row>
    <row r="307" spans="1:91" ht="14.2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</row>
    <row r="308" spans="1:91" ht="14.2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</row>
    <row r="309" spans="1:91" ht="14.2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</row>
    <row r="310" spans="1:91" ht="14.2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</row>
    <row r="311" spans="1:91" ht="14.2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</row>
    <row r="312" spans="1:91" ht="14.2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</row>
    <row r="313" spans="1:91" ht="14.2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</row>
    <row r="314" spans="1:91" ht="14.2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</row>
    <row r="315" spans="1:91" ht="14.2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</row>
    <row r="316" spans="1:91" ht="14.2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</row>
    <row r="317" spans="1:91" ht="14.2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</row>
    <row r="318" spans="1:91" ht="14.2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</row>
    <row r="319" spans="1:91" ht="14.2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</row>
    <row r="320" spans="1:91" ht="14.2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</row>
    <row r="321" spans="1:91" ht="14.2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</row>
    <row r="322" spans="1:91" ht="14.2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</row>
    <row r="323" spans="1:91" ht="14.2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</row>
    <row r="324" spans="1:91" ht="14.2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</row>
    <row r="325" spans="1:91" ht="14.2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</row>
    <row r="326" spans="1:91" ht="14.2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</row>
    <row r="327" spans="1:91" ht="14.2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</row>
    <row r="328" spans="1:91" ht="14.2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</row>
    <row r="329" spans="1:91" ht="14.2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</row>
    <row r="330" spans="1:91" ht="14.2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</row>
    <row r="331" spans="1:91" ht="14.2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</row>
    <row r="332" spans="1:91" ht="14.2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</row>
    <row r="333" spans="1:91" ht="14.2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</row>
    <row r="334" spans="1:91" ht="14.2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</row>
    <row r="335" spans="1:91" ht="14.2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</row>
    <row r="336" spans="1:91" ht="14.2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</row>
    <row r="337" spans="1:91" ht="14.2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</row>
    <row r="338" spans="1:91" ht="14.2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</row>
    <row r="339" spans="1:91" ht="14.2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</row>
    <row r="340" spans="1:91" ht="14.2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</row>
    <row r="341" spans="1:91" ht="14.2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</row>
    <row r="342" spans="1:91" ht="14.2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</row>
    <row r="343" spans="1:91" ht="14.2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</row>
    <row r="344" spans="1:91" ht="14.2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</row>
    <row r="345" spans="1:91" ht="14.2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</row>
    <row r="346" spans="1:91" ht="14.2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</row>
    <row r="347" spans="1:91" ht="14.2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</row>
    <row r="348" spans="1:91" ht="14.2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</row>
    <row r="349" spans="1:91" ht="14.2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</row>
    <row r="350" spans="1:91" ht="14.2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</row>
    <row r="351" spans="1:91" ht="14.2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</row>
    <row r="352" spans="1:91" ht="14.2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</row>
    <row r="353" spans="1:91" ht="14.2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</row>
    <row r="354" spans="1:91" ht="14.2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</row>
    <row r="355" spans="1:91" ht="14.2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</row>
    <row r="356" spans="1:91" ht="14.2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</row>
    <row r="357" spans="1:91" ht="14.2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</row>
    <row r="358" spans="1:91" ht="14.2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</row>
    <row r="359" spans="1:91" ht="14.2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</row>
    <row r="360" spans="1:91" ht="14.2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</row>
    <row r="361" spans="1:91" ht="14.2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</row>
    <row r="362" spans="1:91" ht="14.2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</row>
    <row r="363" spans="1:91" ht="14.2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</row>
    <row r="364" spans="1:91" ht="14.2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</row>
    <row r="365" spans="1:91" ht="14.2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</row>
    <row r="366" spans="1:91" ht="14.2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</row>
    <row r="367" spans="1:91" ht="14.2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</row>
    <row r="368" spans="1:91" ht="14.2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</row>
    <row r="369" spans="1:91" ht="14.2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</row>
    <row r="370" spans="1:91" ht="14.2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</row>
    <row r="371" spans="1:91" ht="14.2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</row>
    <row r="372" spans="1:91" ht="14.2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</row>
    <row r="373" spans="1:91" ht="14.2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</row>
    <row r="374" spans="1:91" ht="14.2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</row>
    <row r="375" spans="1:91" ht="14.2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</row>
    <row r="376" spans="1:91" ht="14.2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</row>
    <row r="377" spans="1:91" ht="14.2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</row>
    <row r="378" spans="1:91" ht="14.2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</row>
    <row r="379" spans="1:91" ht="14.2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</row>
    <row r="380" spans="1:91" ht="14.2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</row>
    <row r="381" spans="1:91" ht="14.2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</row>
    <row r="382" spans="1:91" ht="14.2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</row>
    <row r="383" spans="1:91" ht="14.2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</row>
    <row r="384" spans="1:91" ht="14.2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</row>
    <row r="385" spans="1:91" ht="14.2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</row>
    <row r="386" spans="1:91" ht="14.2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</row>
    <row r="387" spans="1:91" ht="14.2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</row>
    <row r="388" spans="1:91" ht="14.2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</row>
    <row r="389" spans="1:91" ht="14.2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</row>
    <row r="390" spans="1:91" ht="14.2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</row>
    <row r="391" spans="1:91" ht="14.2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</row>
    <row r="392" spans="1:91" ht="14.2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</row>
    <row r="393" spans="1:91" ht="14.2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</row>
    <row r="394" spans="1:91" ht="14.2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</row>
    <row r="395" spans="1:91" ht="14.2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</row>
    <row r="396" spans="1:91" ht="14.2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</row>
    <row r="397" spans="1:91" ht="14.2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</row>
    <row r="398" spans="1:91" ht="14.2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</row>
    <row r="399" spans="1:91" ht="14.2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</row>
    <row r="400" spans="1:91" ht="14.2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</row>
    <row r="401" spans="1:91" ht="14.2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</row>
    <row r="402" spans="1:91" ht="14.2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</row>
    <row r="403" spans="1:91" ht="14.2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</row>
    <row r="404" spans="1:91" ht="14.2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</row>
    <row r="405" spans="1:91" ht="14.2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</row>
    <row r="406" spans="1:91" ht="14.2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</row>
    <row r="407" spans="1:91" ht="14.2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</row>
    <row r="408" spans="1:91" ht="14.2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</row>
    <row r="409" spans="1:91" ht="14.2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</row>
    <row r="410" spans="1:91" ht="14.2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</row>
    <row r="411" spans="1:91" ht="14.2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</row>
    <row r="412" spans="1:91" ht="14.2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</row>
    <row r="413" spans="1:91" ht="14.2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</row>
    <row r="414" spans="1:91" ht="14.2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</row>
    <row r="415" spans="1:91" ht="14.2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</row>
    <row r="416" spans="1:91" ht="14.2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</row>
    <row r="417" spans="1:91" ht="14.2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</row>
    <row r="418" spans="1:91" ht="14.2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</row>
    <row r="419" spans="1:91" ht="14.2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</row>
    <row r="420" spans="1:91" ht="14.2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</row>
    <row r="421" spans="1:91" ht="14.2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</row>
    <row r="422" spans="1:91" ht="14.2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</row>
    <row r="423" spans="1:91" ht="14.2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</row>
    <row r="424" spans="1:91" ht="14.2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</row>
    <row r="425" spans="1:91" ht="14.2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</row>
    <row r="426" spans="1:91" ht="14.2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</row>
    <row r="427" spans="1:91" ht="14.2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</row>
    <row r="428" spans="1:91" ht="14.2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</row>
    <row r="429" spans="1:91" ht="14.2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</row>
    <row r="430" spans="1:91" ht="14.2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</row>
    <row r="431" spans="1:91" ht="14.2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</row>
    <row r="432" spans="1:91" ht="14.2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</row>
    <row r="433" spans="1:91" ht="14.2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</row>
    <row r="434" spans="1:91" ht="14.2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</row>
    <row r="435" spans="1:91" ht="14.2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</row>
    <row r="436" spans="1:91" ht="14.2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</row>
    <row r="437" spans="1:91" ht="14.2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</row>
    <row r="438" spans="1:91" ht="14.2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</row>
    <row r="439" spans="1:91" ht="14.2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</row>
    <row r="440" spans="1:91" ht="14.2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</row>
    <row r="441" spans="1:91" ht="14.2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</row>
    <row r="442" spans="1:91" ht="14.2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</row>
    <row r="443" spans="1:91" ht="14.2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</row>
    <row r="444" spans="1:91" ht="14.2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</row>
    <row r="445" spans="1:91" ht="14.2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</row>
    <row r="446" spans="1:91" ht="14.2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</row>
    <row r="447" spans="1:91" ht="14.2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</row>
    <row r="448" spans="1:91" ht="14.2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</row>
    <row r="449" spans="1:91" ht="14.2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</row>
    <row r="450" spans="1:91" ht="14.2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</row>
    <row r="451" spans="1:91" ht="14.2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</row>
    <row r="452" spans="1:91" ht="14.2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</row>
    <row r="453" spans="1:91" ht="14.2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</row>
    <row r="454" spans="1:91" ht="14.2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</row>
    <row r="455" spans="1:91" ht="14.2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</row>
    <row r="456" spans="1:91" ht="14.2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</row>
    <row r="457" spans="1:91" ht="14.2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</row>
    <row r="458" spans="1:91" ht="14.2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</row>
    <row r="459" spans="1:91" ht="14.2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</row>
    <row r="460" spans="1:91" ht="14.2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</row>
    <row r="461" spans="1:91" ht="14.2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</row>
    <row r="462" spans="1:91" ht="14.2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</row>
    <row r="463" spans="1:91" ht="14.2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</row>
    <row r="464" spans="1:91" ht="14.2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</row>
    <row r="465" spans="1:91" ht="14.2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</row>
    <row r="466" spans="1:91" ht="14.2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</row>
    <row r="467" spans="1:91" ht="14.2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</row>
    <row r="468" spans="1:91" ht="14.2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</row>
    <row r="469" spans="1:91" ht="14.2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</row>
    <row r="470" spans="1:91" ht="14.2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</row>
    <row r="471" spans="1:91" ht="14.2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</row>
    <row r="472" spans="1:91" ht="14.2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</row>
    <row r="473" spans="1:91" ht="14.2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</row>
    <row r="474" spans="1:91" ht="14.2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</row>
    <row r="475" spans="1:91" ht="14.2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</row>
    <row r="476" spans="1:91" ht="14.2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</row>
    <row r="477" spans="1:91" ht="14.2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</row>
    <row r="478" spans="1:91" ht="14.2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</row>
    <row r="479" spans="1:91" ht="14.2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</row>
    <row r="480" spans="1:91" ht="14.2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</row>
    <row r="481" spans="1:91" ht="14.2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</row>
    <row r="482" spans="1:91" ht="14.2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</row>
    <row r="483" spans="1:91" ht="14.2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</row>
    <row r="484" spans="1:91" ht="14.2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</row>
    <row r="485" spans="1:91" ht="14.2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</row>
    <row r="486" spans="1:91" ht="14.2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</row>
    <row r="487" spans="1:91" ht="14.2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</row>
    <row r="488" spans="1:91" ht="14.2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</row>
    <row r="489" spans="1:91" ht="14.2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</row>
    <row r="490" spans="1:91" ht="14.2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</row>
    <row r="491" spans="1:91" ht="14.2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</row>
    <row r="492" spans="1:91" ht="14.2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</row>
    <row r="493" spans="1:91" ht="14.2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</row>
    <row r="494" spans="1:91" ht="14.2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</row>
    <row r="495" spans="1:91" ht="14.2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</row>
    <row r="496" spans="1:91" ht="14.2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</row>
    <row r="497" spans="1:91" ht="14.2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</row>
    <row r="498" spans="1:91" ht="14.2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</row>
    <row r="499" spans="1:91" ht="14.2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</row>
    <row r="500" spans="1:91" ht="14.2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</row>
    <row r="501" spans="1:91" ht="14.2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</row>
    <row r="502" spans="1:91" ht="14.2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</row>
    <row r="503" spans="1:91" ht="14.2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</row>
    <row r="504" spans="1:91" ht="14.2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</row>
    <row r="505" spans="1:91" ht="14.2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</row>
    <row r="506" spans="1:91" ht="14.2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</row>
    <row r="507" spans="1:91" ht="14.2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</row>
    <row r="508" spans="1:91" ht="14.2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</row>
    <row r="509" spans="1:91" ht="14.2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</row>
    <row r="510" spans="1:91" ht="14.2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</row>
    <row r="511" spans="1:91" ht="14.2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</row>
    <row r="512" spans="1:91" ht="14.2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</row>
    <row r="513" spans="1:91" ht="14.2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</row>
    <row r="514" spans="1:91" ht="14.2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</row>
    <row r="515" spans="1:91" ht="14.2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</row>
    <row r="516" spans="1:91" ht="14.2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</row>
    <row r="517" spans="1:91" ht="14.2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</row>
    <row r="518" spans="1:91" ht="14.2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</row>
    <row r="519" spans="1:91" ht="14.2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</row>
    <row r="520" spans="1:91" ht="14.2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</row>
    <row r="521" spans="1:91" ht="14.2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</row>
    <row r="522" spans="1:91" ht="14.2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</row>
    <row r="523" spans="1:91" ht="14.2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</row>
    <row r="524" spans="1:91" ht="14.2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</row>
    <row r="525" spans="1:91" ht="14.2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</row>
    <row r="526" spans="1:91" ht="14.2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</row>
    <row r="527" spans="1:91" ht="14.2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</row>
    <row r="528" spans="1:91" ht="14.2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</row>
    <row r="529" spans="1:91" ht="14.2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</row>
    <row r="530" spans="1:91" ht="14.2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</row>
    <row r="531" spans="1:91" ht="14.2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</row>
    <row r="532" spans="1:91" ht="14.2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</row>
    <row r="533" spans="1:91" ht="14.2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</row>
    <row r="534" spans="1:91" ht="14.2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</row>
    <row r="535" spans="1:91" ht="14.2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</row>
    <row r="536" spans="1:91" ht="14.2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</row>
    <row r="537" spans="1:91" ht="14.2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</row>
    <row r="538" spans="1:91" ht="14.2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</row>
    <row r="539" spans="1:91" ht="14.2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</row>
    <row r="540" spans="1:91" ht="14.2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</row>
    <row r="541" spans="1:91" ht="14.2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</row>
    <row r="542" spans="1:91" ht="14.2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</row>
    <row r="543" spans="1:91" ht="14.2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</row>
    <row r="544" spans="1:91" ht="14.2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</row>
    <row r="545" spans="1:91" ht="14.2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</row>
    <row r="546" spans="1:91" ht="14.2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</row>
    <row r="547" spans="1:91" ht="14.2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</row>
    <row r="548" spans="1:91" ht="14.2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</row>
    <row r="549" spans="1:91" ht="14.2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</row>
    <row r="550" spans="1:91" ht="14.2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</row>
    <row r="551" spans="1:91" ht="14.2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</row>
    <row r="552" spans="1:91" ht="14.2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</row>
    <row r="553" spans="1:91" ht="14.2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</row>
    <row r="554" spans="1:91" ht="14.2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</row>
    <row r="555" spans="1:91" ht="14.2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</row>
    <row r="556" spans="1:91" ht="14.2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</row>
    <row r="557" spans="1:91" ht="14.2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</row>
    <row r="558" spans="1:91" ht="14.2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</row>
    <row r="559" spans="1:91" ht="14.2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</row>
    <row r="560" spans="1:91" ht="14.2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</row>
    <row r="561" spans="1:91" ht="14.2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</row>
    <row r="562" spans="1:91" ht="14.2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</row>
    <row r="563" spans="1:91" ht="14.2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</row>
    <row r="564" spans="1:91" ht="14.2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</row>
    <row r="565" spans="1:91" ht="14.2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</row>
    <row r="566" spans="1:91" ht="14.2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</row>
    <row r="567" spans="1:91" ht="14.2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</row>
    <row r="568" spans="1:91" ht="14.2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</row>
    <row r="569" spans="1:91" ht="14.2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</row>
    <row r="570" spans="1:91" ht="14.2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</row>
    <row r="571" spans="1:91" ht="14.2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</row>
    <row r="572" spans="1:91" ht="14.2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</row>
    <row r="573" spans="1:91" ht="14.2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</row>
    <row r="574" spans="1:91" ht="14.2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</row>
    <row r="575" spans="1:91" ht="14.2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</row>
    <row r="576" spans="1:91" ht="14.2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</row>
    <row r="577" spans="1:91" ht="14.2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</row>
    <row r="578" spans="1:91" ht="14.2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</row>
    <row r="579" spans="1:91" ht="14.2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</row>
    <row r="580" spans="1:91" ht="14.2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</row>
    <row r="581" spans="1:91" ht="14.2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</row>
    <row r="582" spans="1:91" ht="14.2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</row>
    <row r="583" spans="1:91" ht="14.2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</row>
    <row r="584" spans="1:91" ht="14.2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</row>
    <row r="585" spans="1:91" ht="14.2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</row>
    <row r="586" spans="1:91" ht="14.2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</row>
    <row r="587" spans="1:91" ht="14.2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</row>
    <row r="588" spans="1:91" ht="14.2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</row>
    <row r="589" spans="1:91" ht="14.2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</row>
    <row r="590" spans="1:91" ht="14.2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</row>
    <row r="591" spans="1:91" ht="14.2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</row>
    <row r="592" spans="1:91" ht="14.2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</row>
    <row r="593" spans="1:91" ht="14.2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</row>
    <row r="594" spans="1:91" ht="14.2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</row>
    <row r="595" spans="1:91" ht="14.2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</row>
    <row r="596" spans="1:91" ht="14.2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</row>
    <row r="597" spans="1:91" ht="14.2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</row>
    <row r="598" spans="1:91" ht="14.2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</row>
    <row r="599" spans="1:91" ht="14.2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</row>
    <row r="600" spans="1:91" ht="14.2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</row>
    <row r="601" spans="1:91" ht="14.2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</row>
    <row r="602" spans="1:91" ht="14.2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</row>
    <row r="603" spans="1:91" ht="14.2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</row>
    <row r="604" spans="1:91" ht="14.2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</row>
    <row r="605" spans="1:91" ht="14.2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</row>
    <row r="606" spans="1:91" ht="14.2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</row>
    <row r="607" spans="1:91" ht="14.2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</row>
    <row r="608" spans="1:91" ht="14.2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</row>
    <row r="609" spans="1:91" ht="14.2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</row>
    <row r="610" spans="1:91" ht="14.2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</row>
    <row r="611" spans="1:91" ht="14.2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</row>
    <row r="612" spans="1:91" ht="14.2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</row>
    <row r="613" spans="1:91" ht="14.2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</row>
    <row r="614" spans="1:91" ht="14.2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</row>
    <row r="615" spans="1:91" ht="14.2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</row>
    <row r="616" spans="1:91" ht="14.2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</row>
    <row r="617" spans="1:91" ht="14.2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</row>
    <row r="618" spans="1:91" ht="14.2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</row>
    <row r="619" spans="1:91" ht="14.2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</row>
    <row r="620" spans="1:91" ht="14.2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</row>
    <row r="621" spans="1:91" ht="14.2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</row>
    <row r="622" spans="1:91" ht="14.2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</row>
    <row r="623" spans="1:91" ht="14.2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</row>
    <row r="624" spans="1:91" ht="14.2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</row>
    <row r="625" spans="1:91" ht="14.2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</row>
    <row r="626" spans="1:91" ht="14.2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</row>
    <row r="627" spans="1:91" ht="14.2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</row>
    <row r="628" spans="1:91" ht="14.2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</row>
    <row r="629" spans="1:91" ht="14.2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</row>
    <row r="630" spans="1:91" ht="14.2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</row>
    <row r="631" spans="1:91" ht="14.2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</row>
    <row r="632" spans="1:91" ht="14.2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</row>
    <row r="633" spans="1:91" ht="14.2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</row>
    <row r="634" spans="1:91" ht="14.2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</row>
    <row r="635" spans="1:91" ht="14.2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</row>
    <row r="636" spans="1:91" ht="14.2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</row>
    <row r="637" spans="1:91" ht="14.2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</row>
    <row r="638" spans="1:91" ht="14.2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</row>
    <row r="639" spans="1:91" ht="14.2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</row>
    <row r="640" spans="1:91" ht="14.2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</row>
    <row r="641" spans="1:91" ht="14.2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</row>
    <row r="642" spans="1:91" ht="14.2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</row>
    <row r="643" spans="1:91" ht="14.2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</row>
    <row r="644" spans="1:91" ht="14.2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</row>
    <row r="645" spans="1:91" ht="14.2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</row>
    <row r="646" spans="1:91" ht="14.2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</row>
    <row r="647" spans="1:91" ht="14.2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</row>
    <row r="648" spans="1:91" ht="14.2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</row>
    <row r="649" spans="1:91" ht="14.2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</row>
    <row r="650" spans="1:91" ht="14.2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</row>
    <row r="651" spans="1:91" ht="14.2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</row>
    <row r="652" spans="1:91" ht="14.2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</row>
    <row r="653" spans="1:91" ht="14.2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</row>
    <row r="654" spans="1:91" ht="14.2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</row>
    <row r="655" spans="1:91" ht="14.2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</row>
    <row r="656" spans="1:91" ht="14.2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</row>
    <row r="657" spans="1:91" ht="14.2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</row>
    <row r="658" spans="1:91" ht="14.2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</row>
    <row r="659" spans="1:91" ht="14.2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</row>
    <row r="660" spans="1:91" ht="14.2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</row>
    <row r="661" spans="1:91" ht="14.2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</row>
    <row r="662" spans="1:91" ht="14.2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</row>
    <row r="663" spans="1:91" ht="14.2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</row>
    <row r="664" spans="1:91" ht="14.2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</row>
    <row r="665" spans="1:91" ht="14.2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</row>
    <row r="666" spans="1:91" ht="14.2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</row>
    <row r="667" spans="1:91" ht="14.2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</row>
    <row r="668" spans="1:91" ht="14.2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</row>
    <row r="669" spans="1:91" ht="14.2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</row>
    <row r="670" spans="1:91" ht="14.2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</row>
    <row r="671" spans="1:91" ht="14.2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</row>
    <row r="672" spans="1:91" ht="14.2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</row>
    <row r="673" spans="1:91" ht="14.2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</row>
    <row r="674" spans="1:91" ht="14.2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</row>
    <row r="675" spans="1:91" ht="14.2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</row>
    <row r="676" spans="1:91" ht="14.2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</row>
    <row r="677" spans="1:91" ht="14.2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</row>
    <row r="678" spans="1:91" ht="14.2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</row>
    <row r="679" spans="1:91" ht="14.2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</row>
    <row r="680" spans="1:91" ht="14.2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</row>
    <row r="681" spans="1:91" ht="14.2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</row>
    <row r="682" spans="1:91" ht="14.2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</row>
    <row r="683" spans="1:91" ht="14.2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</row>
    <row r="684" spans="1:91" ht="14.2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</row>
    <row r="685" spans="1:91" ht="14.2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</row>
    <row r="686" spans="1:91" ht="14.2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</row>
    <row r="687" spans="1:91" ht="14.2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</row>
    <row r="688" spans="1:91" ht="14.2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</row>
    <row r="689" spans="1:91" ht="14.2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</row>
    <row r="690" spans="1:91" ht="14.2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</row>
    <row r="691" spans="1:91" ht="14.2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</row>
    <row r="692" spans="1:91" ht="14.2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</row>
    <row r="693" spans="1:91" ht="14.2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</row>
    <row r="694" spans="1:91" ht="14.2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</row>
    <row r="695" spans="1:91" ht="14.2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</row>
    <row r="696" spans="1:91" ht="14.2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</row>
    <row r="697" spans="1:91" ht="14.2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</row>
    <row r="698" spans="1:91" ht="14.2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</row>
    <row r="699" spans="1:91" ht="14.2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</row>
    <row r="700" spans="1:91" ht="14.2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</row>
    <row r="701" spans="1:91" ht="14.2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</row>
    <row r="702" spans="1:91" ht="14.2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</row>
    <row r="703" spans="1:91" ht="14.2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</row>
    <row r="704" spans="1:91" ht="14.2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</row>
    <row r="705" spans="1:91" ht="14.2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</row>
    <row r="706" spans="1:91" ht="14.2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</row>
    <row r="707" spans="1:91" ht="14.2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</row>
    <row r="708" spans="1:91" ht="14.2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</row>
    <row r="709" spans="1:91" ht="14.2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</row>
    <row r="710" spans="1:91" ht="14.2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</row>
    <row r="711" spans="1:91" ht="14.2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</row>
    <row r="712" spans="1:91" ht="14.2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</row>
    <row r="713" spans="1:91" ht="14.2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</row>
    <row r="714" spans="1:91" ht="14.2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</row>
    <row r="715" spans="1:91" ht="14.2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</row>
    <row r="716" spans="1:91" ht="14.2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</row>
    <row r="717" spans="1:91" ht="14.2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</row>
    <row r="718" spans="1:91" ht="14.2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</row>
    <row r="719" spans="1:91" ht="14.2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</row>
    <row r="720" spans="1:91" ht="14.2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</row>
    <row r="721" spans="1:91" ht="14.2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</row>
    <row r="722" spans="1:91" ht="14.2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</row>
    <row r="723" spans="1:91" ht="14.2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</row>
    <row r="724" spans="1:91" ht="14.2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</row>
    <row r="725" spans="1:91" ht="14.2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</row>
    <row r="726" spans="1:91" ht="14.2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</row>
    <row r="727" spans="1:91" ht="14.2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</row>
    <row r="728" spans="1:91" ht="14.2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</row>
    <row r="729" spans="1:91" ht="14.2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</row>
    <row r="730" spans="1:91" ht="14.2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</row>
    <row r="731" spans="1:91" ht="14.2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</row>
    <row r="732" spans="1:91" ht="14.2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</row>
    <row r="733" spans="1:91" ht="14.2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</row>
    <row r="734" spans="1:91" ht="14.2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</row>
    <row r="735" spans="1:91" ht="14.2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</row>
    <row r="736" spans="1:91" ht="14.2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</row>
    <row r="737" spans="1:91" ht="14.2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</row>
    <row r="738" spans="1:91" ht="14.2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</row>
    <row r="739" spans="1:91" ht="14.2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</row>
    <row r="740" spans="1:91" ht="14.2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</row>
    <row r="741" spans="1:91" ht="14.2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</row>
    <row r="742" spans="1:91" ht="14.2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</row>
    <row r="743" spans="1:91" ht="14.2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</row>
    <row r="744" spans="1:91" ht="14.2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</row>
    <row r="745" spans="1:91" ht="14.2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</row>
    <row r="746" spans="1:91" ht="14.2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</row>
    <row r="747" spans="1:91" ht="14.2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</row>
    <row r="748" spans="1:91" ht="14.2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</row>
    <row r="749" spans="1:91" ht="14.2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</row>
    <row r="750" spans="1:91" ht="14.2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</row>
    <row r="751" spans="1:91" ht="14.2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</row>
    <row r="752" spans="1:91" ht="14.2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</row>
    <row r="753" spans="1:91" ht="14.2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</row>
    <row r="754" spans="1:91" ht="14.2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</row>
    <row r="755" spans="1:91" ht="14.2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</row>
    <row r="756" spans="1:91" ht="14.2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</row>
    <row r="757" spans="1:91" ht="14.2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</row>
    <row r="758" spans="1:91" ht="14.2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</row>
    <row r="759" spans="1:91" ht="14.2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</row>
    <row r="760" spans="1:91" ht="14.2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</row>
    <row r="761" spans="1:91" ht="14.2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</row>
    <row r="762" spans="1:91" ht="14.2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</row>
    <row r="763" spans="1:91" ht="14.2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</row>
    <row r="764" spans="1:91" ht="14.2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</row>
    <row r="765" spans="1:91" ht="14.2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</row>
    <row r="766" spans="1:91" ht="14.2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</row>
    <row r="767" spans="1:91" ht="14.2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</row>
    <row r="768" spans="1:91" ht="14.2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</row>
    <row r="769" spans="1:91" ht="14.2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</row>
    <row r="770" spans="1:91" ht="14.2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</row>
    <row r="771" spans="1:91" ht="14.2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</row>
    <row r="772" spans="1:91" ht="14.2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</row>
    <row r="773" spans="1:91" ht="14.2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</row>
    <row r="774" spans="1:91" ht="14.2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</row>
    <row r="775" spans="1:91" ht="14.2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</row>
    <row r="776" spans="1:91" ht="14.2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</row>
    <row r="777" spans="1:91" ht="14.2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</row>
    <row r="778" spans="1:91" ht="14.2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</row>
    <row r="779" spans="1:91" ht="14.2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</row>
    <row r="780" spans="1:91" ht="14.2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</row>
    <row r="781" spans="1:91" ht="14.2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</row>
    <row r="782" spans="1:91" ht="14.2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</row>
    <row r="783" spans="1:91" ht="14.2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</row>
    <row r="784" spans="1:91" ht="14.2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</row>
    <row r="785" spans="1:91" ht="14.2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</row>
    <row r="786" spans="1:91" ht="14.2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</row>
    <row r="787" spans="1:91" ht="14.2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</row>
    <row r="788" spans="1:91" ht="14.2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</row>
    <row r="789" spans="1:91" ht="14.2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</row>
    <row r="790" spans="1:91" ht="14.2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</row>
    <row r="791" spans="1:91" ht="14.2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</row>
    <row r="792" spans="1:91" ht="14.2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</row>
    <row r="793" spans="1:91" ht="14.2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</row>
    <row r="794" spans="1:91" ht="14.2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</row>
    <row r="795" spans="1:91" ht="14.2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</row>
    <row r="796" spans="1:91" ht="14.2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</row>
    <row r="797" spans="1:91" ht="14.2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</row>
    <row r="798" spans="1:91" ht="14.2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</row>
    <row r="799" spans="1:91" ht="14.2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</row>
    <row r="800" spans="1:91" ht="14.2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</row>
    <row r="801" spans="1:91" ht="14.2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</row>
    <row r="802" spans="1:91" ht="14.2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</row>
    <row r="803" spans="1:91" ht="14.2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</row>
    <row r="804" spans="1:91" ht="14.2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</row>
    <row r="805" spans="1:91" ht="14.2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</row>
    <row r="806" spans="1:91" ht="14.2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</row>
    <row r="807" spans="1:91" ht="14.2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</row>
    <row r="808" spans="1:91" ht="14.2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</row>
    <row r="809" spans="1:91" ht="14.2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</row>
    <row r="810" spans="1:91" ht="14.2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</row>
    <row r="811" spans="1:91" ht="14.2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</row>
    <row r="812" spans="1:91" ht="14.2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</row>
    <row r="813" spans="1:91" ht="14.2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</row>
    <row r="814" spans="1:91" ht="14.2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</row>
    <row r="815" spans="1:91" ht="14.2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</row>
    <row r="816" spans="1:91" ht="14.2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</row>
    <row r="817" spans="1:91" ht="14.2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</row>
    <row r="818" spans="1:91" ht="14.2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</row>
    <row r="819" spans="1:91" ht="14.2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</row>
    <row r="820" spans="1:91" ht="14.2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</row>
    <row r="821" spans="1:91" ht="14.2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</row>
    <row r="822" spans="1:91" ht="14.2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</row>
    <row r="823" spans="1:91" ht="14.2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</row>
    <row r="824" spans="1:91" ht="14.2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</row>
    <row r="825" spans="1:91" ht="14.2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</row>
    <row r="826" spans="1:91" ht="14.2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</row>
    <row r="827" spans="1:91" ht="14.2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</row>
    <row r="828" spans="1:91" ht="14.2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</row>
    <row r="829" spans="1:91" ht="14.2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</row>
    <row r="830" spans="1:91" ht="14.2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</row>
    <row r="831" spans="1:91" ht="14.2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</row>
    <row r="832" spans="1:91" ht="14.2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</row>
    <row r="833" spans="1:91" ht="14.2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</row>
    <row r="834" spans="1:91" ht="14.2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</row>
    <row r="835" spans="1:91" ht="14.2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</row>
    <row r="836" spans="1:91" ht="14.2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</row>
    <row r="837" spans="1:91" ht="14.2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</row>
    <row r="838" spans="1:91" ht="14.2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</row>
    <row r="839" spans="1:91" ht="14.2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</row>
    <row r="840" spans="1:91" ht="14.2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</row>
    <row r="841" spans="1:91" ht="14.2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</row>
    <row r="842" spans="1:91" ht="14.2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</row>
    <row r="843" spans="1:91" ht="14.2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</row>
    <row r="844" spans="1:91" ht="14.2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</row>
    <row r="845" spans="1:91" ht="14.2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</row>
    <row r="846" spans="1:91" ht="14.2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</row>
    <row r="847" spans="1:91" ht="14.2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</row>
    <row r="848" spans="1:91" ht="14.2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</row>
    <row r="849" spans="1:91" ht="14.2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</row>
    <row r="850" spans="1:91" ht="14.2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</row>
    <row r="851" spans="1:91" ht="14.2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</row>
    <row r="852" spans="1:91" ht="14.2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</row>
    <row r="853" spans="1:91" ht="14.2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</row>
    <row r="854" spans="1:91" ht="14.2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</row>
    <row r="855" spans="1:91" ht="14.2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</row>
    <row r="856" spans="1:91" ht="14.2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</row>
    <row r="857" spans="1:91" ht="14.2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</row>
    <row r="858" spans="1:91" ht="14.2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</row>
    <row r="859" spans="1:91" ht="14.2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</row>
    <row r="860" spans="1:91" ht="14.2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</row>
    <row r="861" spans="1:91" ht="14.2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</row>
    <row r="862" spans="1:91" ht="14.2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</row>
    <row r="863" spans="1:91" ht="14.2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</row>
    <row r="864" spans="1:91" ht="14.2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</row>
    <row r="865" spans="1:91" ht="14.2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</row>
    <row r="866" spans="1:91" ht="14.2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</row>
    <row r="867" spans="1:91" ht="14.2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</row>
    <row r="868" spans="1:91" ht="14.2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</row>
    <row r="869" spans="1:91" ht="14.2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</row>
    <row r="870" spans="1:91" ht="14.2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</row>
    <row r="871" spans="1:91" ht="14.2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</row>
    <row r="872" spans="1:91" ht="14.2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</row>
    <row r="873" spans="1:91" ht="14.2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</row>
    <row r="874" spans="1:91" ht="14.2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</row>
    <row r="875" spans="1:91" ht="14.2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</row>
    <row r="876" spans="1:91" ht="14.2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</row>
    <row r="877" spans="1:91" ht="14.2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</row>
    <row r="878" spans="1:91" ht="14.2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</row>
    <row r="879" spans="1:91" ht="14.2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</row>
    <row r="880" spans="1:91" ht="14.2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</row>
    <row r="881" spans="1:91" ht="14.2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</row>
    <row r="882" spans="1:91" ht="14.2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</row>
    <row r="883" spans="1:91" ht="14.2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</row>
    <row r="884" spans="1:91" ht="14.2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</row>
    <row r="885" spans="1:91" ht="14.2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</row>
    <row r="886" spans="1:91" ht="14.2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</row>
    <row r="887" spans="1:91" ht="14.2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</row>
    <row r="888" spans="1:91" ht="14.2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</row>
    <row r="889" spans="1:91" ht="14.2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</row>
    <row r="890" spans="1:91" ht="14.2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</row>
    <row r="891" spans="1:91" ht="14.2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</row>
    <row r="892" spans="1:91" ht="14.2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</row>
    <row r="893" spans="1:91" ht="14.2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</row>
    <row r="894" spans="1:91" ht="14.2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</row>
    <row r="895" spans="1:91" ht="14.2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</row>
    <row r="896" spans="1:91" ht="14.2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</row>
    <row r="897" spans="1:91" ht="14.2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</row>
    <row r="898" spans="1:91" ht="14.2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</row>
    <row r="899" spans="1:91" ht="14.2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</row>
    <row r="900" spans="1:91" ht="14.2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</row>
    <row r="901" spans="1:91" ht="14.2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</row>
    <row r="902" spans="1:91" ht="14.2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</row>
    <row r="903" spans="1:91" ht="14.2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</row>
    <row r="904" spans="1:91" ht="14.2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</row>
    <row r="905" spans="1:91" ht="14.2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</row>
    <row r="906" spans="1:91" ht="14.2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</row>
    <row r="907" spans="1:91" ht="14.2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</row>
    <row r="908" spans="1:91" ht="14.2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</row>
    <row r="909" spans="1:91" ht="14.2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</row>
    <row r="910" spans="1:91" ht="14.2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</row>
    <row r="911" spans="1:91" ht="14.2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</row>
    <row r="912" spans="1:91" ht="14.2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</row>
    <row r="913" spans="1:91" ht="14.2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</row>
    <row r="914" spans="1:91" ht="14.2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</row>
    <row r="915" spans="1:91" ht="14.2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</row>
    <row r="916" spans="1:91" ht="14.2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</row>
    <row r="917" spans="1:91" ht="14.2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</row>
    <row r="918" spans="1:91" ht="14.2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</row>
    <row r="919" spans="1:91" ht="14.2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</row>
    <row r="920" spans="1:91" ht="14.2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</row>
    <row r="921" spans="1:91" ht="14.2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</row>
    <row r="922" spans="1:91" ht="14.2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</row>
    <row r="923" spans="1:91" ht="14.2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</row>
    <row r="924" spans="1:91" ht="14.2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</row>
    <row r="925" spans="1:91" ht="14.2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</row>
    <row r="926" spans="1:91" ht="14.2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</row>
    <row r="927" spans="1:91" ht="14.2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</row>
    <row r="928" spans="1:91" ht="14.2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</row>
    <row r="929" spans="1:91" ht="14.2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</row>
    <row r="930" spans="1:91" ht="14.2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</row>
    <row r="931" spans="1:91" ht="14.2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</row>
    <row r="932" spans="1:91" ht="14.2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</row>
    <row r="933" spans="1:91" ht="14.2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</row>
    <row r="934" spans="1:91" ht="14.2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</row>
    <row r="935" spans="1:91" ht="14.2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</row>
    <row r="936" spans="1:91" ht="14.2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</row>
    <row r="937" spans="1:91" ht="14.2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</row>
    <row r="938" spans="1:91" ht="14.2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</row>
    <row r="939" spans="1:91" ht="14.2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</row>
    <row r="940" spans="1:91" ht="14.2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  <c r="BT940" s="50"/>
      <c r="BU940" s="50"/>
      <c r="BV940" s="50"/>
      <c r="BW940" s="50"/>
      <c r="BX940" s="50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</row>
    <row r="941" spans="1:91" ht="14.2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  <c r="BT941" s="50"/>
      <c r="BU941" s="50"/>
      <c r="BV941" s="50"/>
      <c r="BW941" s="50"/>
      <c r="BX941" s="50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</row>
    <row r="942" spans="1:91" ht="14.2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  <c r="BT942" s="50"/>
      <c r="BU942" s="50"/>
      <c r="BV942" s="50"/>
      <c r="BW942" s="50"/>
      <c r="BX942" s="50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</row>
    <row r="943" spans="1:91" ht="14.2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  <c r="BT943" s="50"/>
      <c r="BU943" s="50"/>
      <c r="BV943" s="50"/>
      <c r="BW943" s="50"/>
      <c r="BX943" s="50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</row>
    <row r="944" spans="1:91" ht="14.2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  <c r="BT944" s="50"/>
      <c r="BU944" s="50"/>
      <c r="BV944" s="50"/>
      <c r="BW944" s="50"/>
      <c r="BX944" s="50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</row>
    <row r="945" spans="1:91" ht="14.2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  <c r="BT945" s="50"/>
      <c r="BU945" s="50"/>
      <c r="BV945" s="50"/>
      <c r="BW945" s="50"/>
      <c r="BX945" s="50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</row>
    <row r="946" spans="1:91" ht="14.2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  <c r="BT946" s="50"/>
      <c r="BU946" s="50"/>
      <c r="BV946" s="50"/>
      <c r="BW946" s="50"/>
      <c r="BX946" s="50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</row>
    <row r="947" spans="1:91" ht="14.2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  <c r="BT947" s="50"/>
      <c r="BU947" s="50"/>
      <c r="BV947" s="50"/>
      <c r="BW947" s="50"/>
      <c r="BX947" s="50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</row>
    <row r="948" spans="1:91" ht="14.2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  <c r="BT948" s="50"/>
      <c r="BU948" s="50"/>
      <c r="BV948" s="50"/>
      <c r="BW948" s="50"/>
      <c r="BX948" s="50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</row>
    <row r="949" spans="1:91" ht="14.2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  <c r="BT949" s="50"/>
      <c r="BU949" s="50"/>
      <c r="BV949" s="50"/>
      <c r="BW949" s="50"/>
      <c r="BX949" s="50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</row>
    <row r="950" spans="1:91" ht="14.2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  <c r="BT950" s="50"/>
      <c r="BU950" s="50"/>
      <c r="BV950" s="50"/>
      <c r="BW950" s="50"/>
      <c r="BX950" s="50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</row>
    <row r="951" spans="1:91" ht="14.2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  <c r="BT951" s="50"/>
      <c r="BU951" s="50"/>
      <c r="BV951" s="50"/>
      <c r="BW951" s="50"/>
      <c r="BX951" s="50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</row>
    <row r="952" spans="1:91" ht="14.2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  <c r="BT952" s="50"/>
      <c r="BU952" s="50"/>
      <c r="BV952" s="50"/>
      <c r="BW952" s="50"/>
      <c r="BX952" s="50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</row>
    <row r="953" spans="1:91" ht="14.2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  <c r="BT953" s="50"/>
      <c r="BU953" s="50"/>
      <c r="BV953" s="50"/>
      <c r="BW953" s="50"/>
      <c r="BX953" s="50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</row>
    <row r="954" spans="1:91" ht="14.2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  <c r="BT954" s="50"/>
      <c r="BU954" s="50"/>
      <c r="BV954" s="50"/>
      <c r="BW954" s="50"/>
      <c r="BX954" s="50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</row>
    <row r="955" spans="1:91" ht="14.2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  <c r="BT955" s="50"/>
      <c r="BU955" s="50"/>
      <c r="BV955" s="50"/>
      <c r="BW955" s="50"/>
      <c r="BX955" s="50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</row>
    <row r="956" spans="1:91" ht="14.2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  <c r="BT956" s="50"/>
      <c r="BU956" s="50"/>
      <c r="BV956" s="50"/>
      <c r="BW956" s="50"/>
      <c r="BX956" s="50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</row>
    <row r="957" spans="1:91" ht="14.2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  <c r="BT957" s="50"/>
      <c r="BU957" s="50"/>
      <c r="BV957" s="50"/>
      <c r="BW957" s="50"/>
      <c r="BX957" s="50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</row>
    <row r="958" spans="1:91" ht="14.2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  <c r="BT958" s="50"/>
      <c r="BU958" s="50"/>
      <c r="BV958" s="50"/>
      <c r="BW958" s="50"/>
      <c r="BX958" s="50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</row>
    <row r="959" spans="1:91" ht="14.2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  <c r="BT959" s="50"/>
      <c r="BU959" s="50"/>
      <c r="BV959" s="50"/>
      <c r="BW959" s="50"/>
      <c r="BX959" s="50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</row>
    <row r="960" spans="1:91" ht="14.2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  <c r="BT960" s="50"/>
      <c r="BU960" s="50"/>
      <c r="BV960" s="50"/>
      <c r="BW960" s="50"/>
      <c r="BX960" s="50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</row>
    <row r="961" spans="1:91" ht="14.2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  <c r="BT961" s="50"/>
      <c r="BU961" s="50"/>
      <c r="BV961" s="50"/>
      <c r="BW961" s="50"/>
      <c r="BX961" s="50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</row>
    <row r="962" spans="1:91" ht="14.2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  <c r="BT962" s="50"/>
      <c r="BU962" s="50"/>
      <c r="BV962" s="50"/>
      <c r="BW962" s="50"/>
      <c r="BX962" s="50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</row>
    <row r="963" spans="1:91" ht="14.2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  <c r="BT963" s="50"/>
      <c r="BU963" s="50"/>
      <c r="BV963" s="50"/>
      <c r="BW963" s="50"/>
      <c r="BX963" s="50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</row>
    <row r="964" spans="1:91" ht="14.2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  <c r="BT964" s="50"/>
      <c r="BU964" s="50"/>
      <c r="BV964" s="50"/>
      <c r="BW964" s="50"/>
      <c r="BX964" s="50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</row>
    <row r="965" spans="1:91" ht="14.2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  <c r="BT965" s="50"/>
      <c r="BU965" s="50"/>
      <c r="BV965" s="50"/>
      <c r="BW965" s="50"/>
      <c r="BX965" s="50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</row>
    <row r="966" spans="1:91" ht="14.2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  <c r="BT966" s="50"/>
      <c r="BU966" s="50"/>
      <c r="BV966" s="50"/>
      <c r="BW966" s="50"/>
      <c r="BX966" s="50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</row>
    <row r="967" spans="1:91" ht="14.2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  <c r="BT967" s="50"/>
      <c r="BU967" s="50"/>
      <c r="BV967" s="50"/>
      <c r="BW967" s="50"/>
      <c r="BX967" s="50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</row>
    <row r="968" spans="1:91" ht="14.2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  <c r="BT968" s="50"/>
      <c r="BU968" s="50"/>
      <c r="BV968" s="50"/>
      <c r="BW968" s="50"/>
      <c r="BX968" s="50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</row>
    <row r="969" spans="1:91" ht="14.2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  <c r="BT969" s="50"/>
      <c r="BU969" s="50"/>
      <c r="BV969" s="50"/>
      <c r="BW969" s="50"/>
      <c r="BX969" s="50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</row>
    <row r="970" spans="1:91" ht="14.2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  <c r="BT970" s="50"/>
      <c r="BU970" s="50"/>
      <c r="BV970" s="50"/>
      <c r="BW970" s="50"/>
      <c r="BX970" s="50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</row>
    <row r="971" spans="1:91" ht="14.2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  <c r="BT971" s="50"/>
      <c r="BU971" s="50"/>
      <c r="BV971" s="50"/>
      <c r="BW971" s="50"/>
      <c r="BX971" s="50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</row>
    <row r="972" spans="1:91" ht="14.2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  <c r="BT972" s="50"/>
      <c r="BU972" s="50"/>
      <c r="BV972" s="50"/>
      <c r="BW972" s="50"/>
      <c r="BX972" s="50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</row>
    <row r="973" spans="1:91" ht="14.2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  <c r="BT973" s="50"/>
      <c r="BU973" s="50"/>
      <c r="BV973" s="50"/>
      <c r="BW973" s="50"/>
      <c r="BX973" s="50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</row>
    <row r="974" spans="1:91" ht="14.2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  <c r="BT974" s="50"/>
      <c r="BU974" s="50"/>
      <c r="BV974" s="50"/>
      <c r="BW974" s="50"/>
      <c r="BX974" s="50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</row>
    <row r="975" spans="1:91" ht="14.2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  <c r="BT975" s="50"/>
      <c r="BU975" s="50"/>
      <c r="BV975" s="50"/>
      <c r="BW975" s="50"/>
      <c r="BX975" s="50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</row>
    <row r="976" spans="1:91" ht="14.2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  <c r="BT976" s="50"/>
      <c r="BU976" s="50"/>
      <c r="BV976" s="50"/>
      <c r="BW976" s="50"/>
      <c r="BX976" s="50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</row>
    <row r="977" spans="1:91" ht="14.2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  <c r="BT977" s="50"/>
      <c r="BU977" s="50"/>
      <c r="BV977" s="50"/>
      <c r="BW977" s="50"/>
      <c r="BX977" s="50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</row>
    <row r="978" spans="1:91" ht="14.2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  <c r="BS978" s="50"/>
      <c r="BT978" s="50"/>
      <c r="BU978" s="50"/>
      <c r="BV978" s="50"/>
      <c r="BW978" s="50"/>
      <c r="BX978" s="50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</row>
    <row r="979" spans="1:91" ht="14.2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  <c r="BS979" s="50"/>
      <c r="BT979" s="50"/>
      <c r="BU979" s="50"/>
      <c r="BV979" s="50"/>
      <c r="BW979" s="50"/>
      <c r="BX979" s="50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</row>
    <row r="980" spans="1:91" ht="14.2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  <c r="BS980" s="50"/>
      <c r="BT980" s="50"/>
      <c r="BU980" s="50"/>
      <c r="BV980" s="50"/>
      <c r="BW980" s="50"/>
      <c r="BX980" s="50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</row>
    <row r="981" spans="1:91" ht="14.2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50"/>
      <c r="BL981" s="50"/>
      <c r="BM981" s="50"/>
      <c r="BN981" s="50"/>
      <c r="BO981" s="50"/>
      <c r="BP981" s="50"/>
      <c r="BQ981" s="50"/>
      <c r="BR981" s="50"/>
      <c r="BS981" s="50"/>
      <c r="BT981" s="50"/>
      <c r="BU981" s="50"/>
      <c r="BV981" s="50"/>
      <c r="BW981" s="50"/>
      <c r="BX981" s="50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</row>
    <row r="982" spans="1:91" ht="14.2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  <c r="BS982" s="50"/>
      <c r="BT982" s="50"/>
      <c r="BU982" s="50"/>
      <c r="BV982" s="50"/>
      <c r="BW982" s="50"/>
      <c r="BX982" s="50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</row>
    <row r="983" spans="1:91" ht="14.2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  <c r="BS983" s="50"/>
      <c r="BT983" s="50"/>
      <c r="BU983" s="50"/>
      <c r="BV983" s="50"/>
      <c r="BW983" s="50"/>
      <c r="BX983" s="50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</row>
    <row r="984" spans="1:91" ht="14.2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  <c r="BS984" s="50"/>
      <c r="BT984" s="50"/>
      <c r="BU984" s="50"/>
      <c r="BV984" s="50"/>
      <c r="BW984" s="50"/>
      <c r="BX984" s="50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</row>
    <row r="985" spans="1:91" ht="14.2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  <c r="BS985" s="50"/>
      <c r="BT985" s="50"/>
      <c r="BU985" s="50"/>
      <c r="BV985" s="50"/>
      <c r="BW985" s="50"/>
      <c r="BX985" s="50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  <c r="CM985" s="50"/>
    </row>
    <row r="986" spans="1:91" ht="14.2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  <c r="BS986" s="50"/>
      <c r="BT986" s="50"/>
      <c r="BU986" s="50"/>
      <c r="BV986" s="50"/>
      <c r="BW986" s="50"/>
      <c r="BX986" s="50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  <c r="CM986" s="50"/>
    </row>
    <row r="987" spans="1:91" ht="14.2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  <c r="BS987" s="50"/>
      <c r="BT987" s="50"/>
      <c r="BU987" s="50"/>
      <c r="BV987" s="50"/>
      <c r="BW987" s="50"/>
      <c r="BX987" s="50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  <c r="CM987" s="50"/>
    </row>
    <row r="988" spans="1:91" ht="14.2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  <c r="BS988" s="50"/>
      <c r="BT988" s="50"/>
      <c r="BU988" s="50"/>
      <c r="BV988" s="50"/>
      <c r="BW988" s="50"/>
      <c r="BX988" s="50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  <c r="CM988" s="50"/>
    </row>
    <row r="989" spans="1:91" ht="14.2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  <c r="BS989" s="50"/>
      <c r="BT989" s="50"/>
      <c r="BU989" s="50"/>
      <c r="BV989" s="50"/>
      <c r="BW989" s="50"/>
      <c r="BX989" s="50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  <c r="CM989" s="50"/>
    </row>
    <row r="990" spans="1:91" ht="14.2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  <c r="BS990" s="50"/>
      <c r="BT990" s="50"/>
      <c r="BU990" s="50"/>
      <c r="BV990" s="50"/>
      <c r="BW990" s="50"/>
      <c r="BX990" s="50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  <c r="CM990" s="50"/>
    </row>
    <row r="991" spans="1:91" ht="14.2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  <c r="BS991" s="50"/>
      <c r="BT991" s="50"/>
      <c r="BU991" s="50"/>
      <c r="BV991" s="50"/>
      <c r="BW991" s="50"/>
      <c r="BX991" s="50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  <c r="CM991" s="50"/>
    </row>
    <row r="992" spans="1:91" ht="14.2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  <c r="BS992" s="50"/>
      <c r="BT992" s="50"/>
      <c r="BU992" s="50"/>
      <c r="BV992" s="50"/>
      <c r="BW992" s="50"/>
      <c r="BX992" s="50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  <c r="CM992" s="50"/>
    </row>
    <row r="993" spans="1:91" ht="14.2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  <c r="BS993" s="50"/>
      <c r="BT993" s="50"/>
      <c r="BU993" s="50"/>
      <c r="BV993" s="50"/>
      <c r="BW993" s="50"/>
      <c r="BX993" s="50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  <c r="CM993" s="50"/>
    </row>
    <row r="994" spans="1:91" ht="14.2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  <c r="BS994" s="50"/>
      <c r="BT994" s="50"/>
      <c r="BU994" s="50"/>
      <c r="BV994" s="50"/>
      <c r="BW994" s="50"/>
      <c r="BX994" s="50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  <c r="CM994" s="50"/>
    </row>
    <row r="995" spans="1:91" ht="14.2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  <c r="BS995" s="50"/>
      <c r="BT995" s="50"/>
      <c r="BU995" s="50"/>
      <c r="BV995" s="50"/>
      <c r="BW995" s="50"/>
      <c r="BX995" s="50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  <c r="CM995" s="50"/>
    </row>
    <row r="996" spans="1:91" ht="14.2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  <c r="BS996" s="50"/>
      <c r="BT996" s="50"/>
      <c r="BU996" s="50"/>
      <c r="BV996" s="50"/>
      <c r="BW996" s="50"/>
      <c r="BX996" s="50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  <c r="CM996" s="50"/>
    </row>
    <row r="997" spans="1:91" ht="14.2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  <c r="BS997" s="50"/>
      <c r="BT997" s="50"/>
      <c r="BU997" s="50"/>
      <c r="BV997" s="50"/>
      <c r="BW997" s="50"/>
      <c r="BX997" s="50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  <c r="CM997" s="50"/>
    </row>
    <row r="998" spans="1:91" ht="14.2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50"/>
      <c r="BL998" s="50"/>
      <c r="BM998" s="50"/>
      <c r="BN998" s="50"/>
      <c r="BO998" s="50"/>
      <c r="BP998" s="50"/>
      <c r="BQ998" s="50"/>
      <c r="BR998" s="50"/>
      <c r="BS998" s="50"/>
      <c r="BT998" s="50"/>
      <c r="BU998" s="50"/>
      <c r="BV998" s="50"/>
      <c r="BW998" s="50"/>
      <c r="BX998" s="50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  <c r="CM998" s="50"/>
    </row>
    <row r="999" spans="1:91" ht="14.2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  <c r="BS999" s="50"/>
      <c r="BT999" s="50"/>
      <c r="BU999" s="50"/>
      <c r="BV999" s="50"/>
      <c r="BW999" s="50"/>
      <c r="BX999" s="50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  <c r="CM999" s="50"/>
    </row>
    <row r="1000" spans="1:91" ht="14.2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  <c r="BS1000" s="50"/>
      <c r="BT1000" s="50"/>
      <c r="BU1000" s="50"/>
      <c r="BV1000" s="50"/>
      <c r="BW1000" s="50"/>
      <c r="BX1000" s="50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  <c r="CM1000" s="50"/>
    </row>
  </sheetData>
  <conditionalFormatting sqref="L6:M17 AJ23:AK34">
    <cfRule type="cellIs" dxfId="151" priority="1" operator="greaterThan">
      <formula>100</formula>
    </cfRule>
  </conditionalFormatting>
  <conditionalFormatting sqref="F6:G17">
    <cfRule type="cellIs" dxfId="150" priority="2" operator="greaterThan">
      <formula>100</formula>
    </cfRule>
  </conditionalFormatting>
  <conditionalFormatting sqref="R6:S17">
    <cfRule type="cellIs" dxfId="149" priority="3" operator="greaterThan">
      <formula>100</formula>
    </cfRule>
  </conditionalFormatting>
  <conditionalFormatting sqref="X6:Y17">
    <cfRule type="cellIs" dxfId="148" priority="4" operator="greaterThan">
      <formula>100</formula>
    </cfRule>
  </conditionalFormatting>
  <conditionalFormatting sqref="AD6:AE17">
    <cfRule type="cellIs" dxfId="147" priority="5" operator="greaterThan">
      <formula>100</formula>
    </cfRule>
  </conditionalFormatting>
  <conditionalFormatting sqref="AJ6:AK17">
    <cfRule type="cellIs" dxfId="146" priority="6" operator="greaterThan">
      <formula>100</formula>
    </cfRule>
  </conditionalFormatting>
  <conditionalFormatting sqref="BB6:BC17">
    <cfRule type="cellIs" dxfId="145" priority="7" operator="greaterThan">
      <formula>100</formula>
    </cfRule>
  </conditionalFormatting>
  <conditionalFormatting sqref="BH6:BI17">
    <cfRule type="cellIs" dxfId="144" priority="8" operator="greaterThan">
      <formula>100</formula>
    </cfRule>
  </conditionalFormatting>
  <conditionalFormatting sqref="BN6:BO17">
    <cfRule type="cellIs" dxfId="143" priority="9" operator="greaterThan">
      <formula>100</formula>
    </cfRule>
  </conditionalFormatting>
  <conditionalFormatting sqref="BY6:BZ17">
    <cfRule type="cellIs" dxfId="142" priority="10" operator="greaterThan">
      <formula>100</formula>
    </cfRule>
  </conditionalFormatting>
  <conditionalFormatting sqref="CE6:CF17">
    <cfRule type="cellIs" dxfId="141" priority="11" operator="greaterThan">
      <formula>100</formula>
    </cfRule>
  </conditionalFormatting>
  <conditionalFormatting sqref="F23:G34">
    <cfRule type="cellIs" dxfId="140" priority="12" operator="greaterThan">
      <formula>100</formula>
    </cfRule>
  </conditionalFormatting>
  <conditionalFormatting sqref="R23:S34">
    <cfRule type="cellIs" dxfId="139" priority="13" operator="greaterThan">
      <formula>100</formula>
    </cfRule>
  </conditionalFormatting>
  <conditionalFormatting sqref="X23:Y34">
    <cfRule type="cellIs" dxfId="138" priority="14" operator="greaterThan">
      <formula>100</formula>
    </cfRule>
  </conditionalFormatting>
  <conditionalFormatting sqref="AD23:AE34 AJ23:AK34">
    <cfRule type="cellIs" dxfId="137" priority="15" operator="greaterThan">
      <formula>100</formula>
    </cfRule>
  </conditionalFormatting>
  <conditionalFormatting sqref="F40:G51">
    <cfRule type="cellIs" dxfId="136" priority="16" operator="greaterThan">
      <formula>100</formula>
    </cfRule>
  </conditionalFormatting>
  <conditionalFormatting sqref="F57:G68">
    <cfRule type="cellIs" dxfId="135" priority="17" operator="greaterThan">
      <formula>100</formula>
    </cfRule>
  </conditionalFormatting>
  <conditionalFormatting sqref="L57:M67">
    <cfRule type="cellIs" dxfId="134" priority="18" operator="greaterThan">
      <formula>100</formula>
    </cfRule>
  </conditionalFormatting>
  <conditionalFormatting sqref="R57:S68">
    <cfRule type="cellIs" dxfId="133" priority="19" operator="greaterThan">
      <formula>100</formula>
    </cfRule>
  </conditionalFormatting>
  <conditionalFormatting sqref="X57:Y68">
    <cfRule type="cellIs" dxfId="132" priority="20" operator="greaterThan">
      <formula>100</formula>
    </cfRule>
  </conditionalFormatting>
  <conditionalFormatting sqref="AD57:AE68">
    <cfRule type="cellIs" dxfId="131" priority="21" operator="greaterThan">
      <formula>100</formula>
    </cfRule>
  </conditionalFormatting>
  <conditionalFormatting sqref="AJ57:AK68">
    <cfRule type="cellIs" dxfId="130" priority="22" operator="greaterThan">
      <formula>100</formula>
    </cfRule>
  </conditionalFormatting>
  <conditionalFormatting sqref="AP57:AQ68">
    <cfRule type="cellIs" dxfId="129" priority="23" operator="greaterThan">
      <formula>100</formula>
    </cfRule>
  </conditionalFormatting>
  <conditionalFormatting sqref="F74:G85">
    <cfRule type="cellIs" dxfId="128" priority="24" operator="greaterThan">
      <formula>100</formula>
    </cfRule>
  </conditionalFormatting>
  <conditionalFormatting sqref="X74:Y84">
    <cfRule type="cellIs" dxfId="127" priority="25" operator="greaterThan">
      <formula>100</formula>
    </cfRule>
  </conditionalFormatting>
  <conditionalFormatting sqref="AD74:AE85">
    <cfRule type="cellIs" dxfId="126" priority="26" operator="greaterThan">
      <formula>100</formula>
    </cfRule>
  </conditionalFormatting>
  <conditionalFormatting sqref="AJ74:AK85">
    <cfRule type="cellIs" dxfId="125" priority="27" operator="greaterThan">
      <formula>100</formula>
    </cfRule>
  </conditionalFormatting>
  <conditionalFormatting sqref="AP74:AQ85">
    <cfRule type="cellIs" dxfId="124" priority="28" operator="greaterThan">
      <formula>100</formula>
    </cfRule>
  </conditionalFormatting>
  <conditionalFormatting sqref="AV74:AW85">
    <cfRule type="cellIs" dxfId="123" priority="29" operator="greaterThan">
      <formula>100</formula>
    </cfRule>
  </conditionalFormatting>
  <conditionalFormatting sqref="F91:G102">
    <cfRule type="cellIs" dxfId="122" priority="30" operator="greaterThan">
      <formula>100</formula>
    </cfRule>
  </conditionalFormatting>
  <conditionalFormatting sqref="L91:M102">
    <cfRule type="cellIs" dxfId="121" priority="31" operator="greaterThan">
      <formula>100</formula>
    </cfRule>
  </conditionalFormatting>
  <conditionalFormatting sqref="R91:S102">
    <cfRule type="cellIs" dxfId="120" priority="32" operator="greaterThan">
      <formula>100</formula>
    </cfRule>
  </conditionalFormatting>
  <conditionalFormatting sqref="F107:G118">
    <cfRule type="cellIs" dxfId="119" priority="33" operator="greaterThan">
      <formula>100</formula>
    </cfRule>
  </conditionalFormatting>
  <conditionalFormatting sqref="L107:M118">
    <cfRule type="cellIs" dxfId="118" priority="34" operator="greaterThan">
      <formula>100</formula>
    </cfRule>
  </conditionalFormatting>
  <conditionalFormatting sqref="R107:S118">
    <cfRule type="cellIs" dxfId="117" priority="35" operator="greaterThan">
      <formula>100</formula>
    </cfRule>
  </conditionalFormatting>
  <conditionalFormatting sqref="X107:Y118">
    <cfRule type="cellIs" dxfId="116" priority="36" operator="greaterThan">
      <formula>100</formula>
    </cfRule>
  </conditionalFormatting>
  <conditionalFormatting sqref="AD107:AE118">
    <cfRule type="cellIs" dxfId="115" priority="37" operator="greaterThan">
      <formula>100</formula>
    </cfRule>
  </conditionalFormatting>
  <conditionalFormatting sqref="AJ107:AK118">
    <cfRule type="cellIs" dxfId="114" priority="38" operator="greaterThan">
      <formula>100</formula>
    </cfRule>
  </conditionalFormatting>
  <conditionalFormatting sqref="R74:S85">
    <cfRule type="cellIs" dxfId="113" priority="39" operator="greaterThan">
      <formula>100</formula>
    </cfRule>
  </conditionalFormatting>
  <conditionalFormatting sqref="L68:M68">
    <cfRule type="cellIs" dxfId="112" priority="40" operator="greaterThan">
      <formula>100</formula>
    </cfRule>
  </conditionalFormatting>
  <conditionalFormatting sqref="L74:M84">
    <cfRule type="cellIs" dxfId="111" priority="41" operator="greaterThan">
      <formula>100</formula>
    </cfRule>
  </conditionalFormatting>
  <conditionalFormatting sqref="L85:M85">
    <cfRule type="cellIs" dxfId="110" priority="42" operator="greaterThan">
      <formula>100</formula>
    </cfRule>
  </conditionalFormatting>
  <conditionalFormatting sqref="X85:Y85">
    <cfRule type="cellIs" dxfId="109" priority="43" operator="greaterThan">
      <formula>100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5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166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167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  <row r="15" spans="1:31" ht="15.75" customHeight="1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3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168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169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H80"/>
  <sheetViews>
    <sheetView showGridLines="0" workbookViewId="0"/>
  </sheetViews>
  <sheetFormatPr defaultColWidth="12.6328125" defaultRowHeight="15.75" customHeight="1" x14ac:dyDescent="0.25"/>
  <sheetData>
    <row r="80" spans="8:8" ht="15.75" customHeight="1" x14ac:dyDescent="0.3">
      <c r="H80" s="1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CM134"/>
  <sheetViews>
    <sheetView workbookViewId="0"/>
  </sheetViews>
  <sheetFormatPr defaultColWidth="12.6328125" defaultRowHeight="15.75" customHeight="1" x14ac:dyDescent="0.25"/>
  <sheetData>
    <row r="1" spans="1:91" ht="15.75" customHeight="1" x14ac:dyDescent="0.25">
      <c r="A1" s="1" t="s">
        <v>90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</row>
    <row r="2" spans="1:91" ht="15.75" customHeight="1" x14ac:dyDescent="0.25">
      <c r="A2" s="1" t="s">
        <v>91</v>
      </c>
      <c r="H2" s="1" t="s">
        <v>92</v>
      </c>
    </row>
    <row r="3" spans="1:91" ht="15.75" customHeight="1" x14ac:dyDescent="0.25">
      <c r="A3" s="1" t="s">
        <v>93</v>
      </c>
      <c r="H3" s="1" t="s">
        <v>94</v>
      </c>
      <c r="N3" s="1" t="s">
        <v>95</v>
      </c>
      <c r="T3" s="1" t="s">
        <v>96</v>
      </c>
      <c r="Z3" s="1" t="s">
        <v>97</v>
      </c>
      <c r="AF3" s="1" t="s">
        <v>98</v>
      </c>
      <c r="AL3" s="1" t="s">
        <v>89</v>
      </c>
      <c r="AR3" s="1" t="s">
        <v>87</v>
      </c>
      <c r="AX3" s="1" t="s">
        <v>99</v>
      </c>
      <c r="BD3" s="1" t="s">
        <v>100</v>
      </c>
      <c r="BJ3" s="1" t="s">
        <v>152</v>
      </c>
      <c r="BQ3" s="1" t="s">
        <v>101</v>
      </c>
      <c r="BU3" s="1" t="s">
        <v>153</v>
      </c>
      <c r="CA3" s="1" t="s">
        <v>154</v>
      </c>
    </row>
    <row r="4" spans="1:91" ht="15.75" customHeight="1" x14ac:dyDescent="0.25">
      <c r="A4" s="1" t="s">
        <v>102</v>
      </c>
      <c r="B4" s="1" t="s">
        <v>2</v>
      </c>
      <c r="D4" s="1" t="s">
        <v>3</v>
      </c>
      <c r="F4" s="1" t="s">
        <v>103</v>
      </c>
      <c r="H4" s="1" t="s">
        <v>2</v>
      </c>
      <c r="J4" s="1" t="s">
        <v>3</v>
      </c>
      <c r="L4" s="1" t="s">
        <v>103</v>
      </c>
      <c r="N4" s="1" t="s">
        <v>2</v>
      </c>
      <c r="P4" s="1" t="s">
        <v>3</v>
      </c>
      <c r="R4" s="1" t="s">
        <v>103</v>
      </c>
      <c r="T4" s="1" t="s">
        <v>2</v>
      </c>
      <c r="V4" s="1" t="s">
        <v>3</v>
      </c>
      <c r="X4" s="1" t="s">
        <v>103</v>
      </c>
      <c r="Z4" s="1" t="s">
        <v>2</v>
      </c>
      <c r="AB4" s="1" t="s">
        <v>3</v>
      </c>
      <c r="AD4" s="1" t="s">
        <v>103</v>
      </c>
      <c r="AF4" s="1" t="s">
        <v>2</v>
      </c>
      <c r="AH4" s="1" t="s">
        <v>3</v>
      </c>
      <c r="AJ4" s="1" t="s">
        <v>103</v>
      </c>
      <c r="AL4" s="1" t="s">
        <v>2</v>
      </c>
      <c r="AN4" s="1" t="s">
        <v>3</v>
      </c>
      <c r="AP4" s="1" t="s">
        <v>103</v>
      </c>
      <c r="AR4" s="1" t="s">
        <v>2</v>
      </c>
      <c r="AT4" s="1" t="s">
        <v>3</v>
      </c>
      <c r="AV4" s="1" t="s">
        <v>103</v>
      </c>
      <c r="AX4" s="1" t="s">
        <v>2</v>
      </c>
      <c r="AZ4" s="1" t="s">
        <v>3</v>
      </c>
      <c r="BB4" s="1" t="s">
        <v>103</v>
      </c>
      <c r="BD4" s="1" t="s">
        <v>2</v>
      </c>
      <c r="BF4" s="1" t="s">
        <v>3</v>
      </c>
      <c r="BH4" s="1" t="s">
        <v>103</v>
      </c>
      <c r="BJ4" s="1" t="s">
        <v>2</v>
      </c>
      <c r="BL4" s="1" t="s">
        <v>3</v>
      </c>
      <c r="BN4" s="1" t="s">
        <v>103</v>
      </c>
      <c r="BU4" s="1" t="s">
        <v>2</v>
      </c>
      <c r="BW4" s="1" t="s">
        <v>3</v>
      </c>
      <c r="BY4" s="1" t="s">
        <v>103</v>
      </c>
      <c r="CA4" s="1" t="s">
        <v>2</v>
      </c>
      <c r="CC4" s="1" t="s">
        <v>3</v>
      </c>
      <c r="CE4" s="1" t="s">
        <v>103</v>
      </c>
      <c r="CI4" s="1" t="s">
        <v>104</v>
      </c>
      <c r="CL4" s="1" t="s">
        <v>105</v>
      </c>
    </row>
    <row r="5" spans="1:91" ht="15.75" customHeight="1" x14ac:dyDescent="0.25">
      <c r="B5" s="1" t="s">
        <v>106</v>
      </c>
      <c r="C5" s="1" t="s">
        <v>107</v>
      </c>
      <c r="D5" s="1" t="s">
        <v>106</v>
      </c>
      <c r="E5" s="1" t="s">
        <v>107</v>
      </c>
      <c r="F5" s="1" t="s">
        <v>106</v>
      </c>
      <c r="G5" s="1" t="s">
        <v>107</v>
      </c>
      <c r="H5" s="1" t="s">
        <v>106</v>
      </c>
      <c r="I5" s="1" t="s">
        <v>107</v>
      </c>
      <c r="J5" s="1" t="s">
        <v>106</v>
      </c>
      <c r="K5" s="1" t="s">
        <v>107</v>
      </c>
      <c r="L5" s="1" t="s">
        <v>106</v>
      </c>
      <c r="M5" s="1" t="s">
        <v>107</v>
      </c>
      <c r="N5" s="1" t="s">
        <v>106</v>
      </c>
      <c r="O5" s="1" t="s">
        <v>107</v>
      </c>
      <c r="P5" s="1" t="s">
        <v>106</v>
      </c>
      <c r="Q5" s="1" t="s">
        <v>107</v>
      </c>
      <c r="R5" s="1" t="s">
        <v>106</v>
      </c>
      <c r="S5" s="1" t="s">
        <v>107</v>
      </c>
      <c r="T5" s="1" t="s">
        <v>106</v>
      </c>
      <c r="U5" s="1" t="s">
        <v>107</v>
      </c>
      <c r="V5" s="1" t="s">
        <v>106</v>
      </c>
      <c r="W5" s="1" t="s">
        <v>107</v>
      </c>
      <c r="X5" s="1" t="s">
        <v>106</v>
      </c>
      <c r="Y5" s="1" t="s">
        <v>107</v>
      </c>
      <c r="Z5" s="1" t="s">
        <v>106</v>
      </c>
      <c r="AA5" s="1" t="s">
        <v>107</v>
      </c>
      <c r="AB5" s="1" t="s">
        <v>106</v>
      </c>
      <c r="AC5" s="1" t="s">
        <v>107</v>
      </c>
      <c r="AD5" s="1" t="s">
        <v>106</v>
      </c>
      <c r="AE5" s="1" t="s">
        <v>107</v>
      </c>
      <c r="AF5" s="1" t="s">
        <v>106</v>
      </c>
      <c r="AG5" s="1" t="s">
        <v>107</v>
      </c>
      <c r="AH5" s="1" t="s">
        <v>106</v>
      </c>
      <c r="AI5" s="1" t="s">
        <v>107</v>
      </c>
      <c r="AJ5" s="1" t="s">
        <v>106</v>
      </c>
      <c r="AK5" s="1" t="s">
        <v>107</v>
      </c>
      <c r="AL5" s="1" t="s">
        <v>106</v>
      </c>
      <c r="AM5" s="1" t="s">
        <v>107</v>
      </c>
      <c r="AN5" s="1" t="s">
        <v>106</v>
      </c>
      <c r="AO5" s="1" t="s">
        <v>107</v>
      </c>
      <c r="AP5" s="1" t="s">
        <v>106</v>
      </c>
      <c r="AQ5" s="1" t="s">
        <v>107</v>
      </c>
      <c r="AR5" s="1" t="s">
        <v>106</v>
      </c>
      <c r="AS5" s="1" t="s">
        <v>107</v>
      </c>
      <c r="AT5" s="1" t="s">
        <v>106</v>
      </c>
      <c r="AU5" s="1" t="s">
        <v>107</v>
      </c>
      <c r="AV5" s="1" t="s">
        <v>106</v>
      </c>
      <c r="AW5" s="1" t="s">
        <v>107</v>
      </c>
      <c r="AX5" s="1" t="s">
        <v>106</v>
      </c>
      <c r="AY5" s="1" t="s">
        <v>107</v>
      </c>
      <c r="AZ5" s="1" t="s">
        <v>106</v>
      </c>
      <c r="BA5" s="1" t="s">
        <v>107</v>
      </c>
      <c r="BB5" s="1" t="s">
        <v>106</v>
      </c>
      <c r="BC5" s="1" t="s">
        <v>107</v>
      </c>
      <c r="BD5" s="1" t="s">
        <v>106</v>
      </c>
      <c r="BE5" s="1" t="s">
        <v>107</v>
      </c>
      <c r="BF5" s="1" t="s">
        <v>106</v>
      </c>
      <c r="BG5" s="1" t="s">
        <v>107</v>
      </c>
      <c r="BH5" s="1" t="s">
        <v>106</v>
      </c>
      <c r="BI5" s="1" t="s">
        <v>107</v>
      </c>
      <c r="BJ5" s="1" t="s">
        <v>106</v>
      </c>
      <c r="BK5" s="1" t="s">
        <v>107</v>
      </c>
      <c r="BL5" s="1" t="s">
        <v>106</v>
      </c>
      <c r="BM5" s="1" t="s">
        <v>107</v>
      </c>
      <c r="BN5" s="1" t="s">
        <v>106</v>
      </c>
      <c r="BO5" s="1" t="s">
        <v>107</v>
      </c>
      <c r="BQ5" s="1" t="s">
        <v>106</v>
      </c>
      <c r="BR5" s="1" t="s">
        <v>107</v>
      </c>
      <c r="BU5" s="1" t="s">
        <v>106</v>
      </c>
      <c r="BV5" s="1" t="s">
        <v>107</v>
      </c>
      <c r="BW5" s="1" t="s">
        <v>106</v>
      </c>
      <c r="BX5" s="1" t="s">
        <v>107</v>
      </c>
      <c r="BY5" s="1" t="s">
        <v>106</v>
      </c>
      <c r="BZ5" s="1" t="s">
        <v>107</v>
      </c>
      <c r="CA5" s="1" t="s">
        <v>106</v>
      </c>
      <c r="CB5" s="1" t="s">
        <v>107</v>
      </c>
      <c r="CC5" s="1" t="s">
        <v>106</v>
      </c>
      <c r="CD5" s="1" t="s">
        <v>107</v>
      </c>
      <c r="CE5" s="1" t="s">
        <v>106</v>
      </c>
      <c r="CF5" s="1" t="s">
        <v>107</v>
      </c>
    </row>
    <row r="6" spans="1:91" ht="15.75" customHeight="1" x14ac:dyDescent="0.25">
      <c r="A6" s="1" t="s">
        <v>4</v>
      </c>
      <c r="B6" s="111">
        <v>10878</v>
      </c>
      <c r="C6" s="111">
        <v>10878</v>
      </c>
      <c r="D6" s="111">
        <v>11980</v>
      </c>
      <c r="E6" s="111">
        <v>11980</v>
      </c>
      <c r="F6" s="1">
        <v>90.8</v>
      </c>
      <c r="G6" s="1">
        <v>90.8</v>
      </c>
      <c r="H6" s="111">
        <v>38561</v>
      </c>
      <c r="I6" s="111">
        <v>38561</v>
      </c>
      <c r="J6" s="111">
        <v>43088</v>
      </c>
      <c r="K6" s="111">
        <v>43088</v>
      </c>
      <c r="L6" s="1">
        <v>89.5</v>
      </c>
      <c r="M6" s="1">
        <v>89.5</v>
      </c>
      <c r="N6" s="111">
        <v>73473</v>
      </c>
      <c r="O6" s="111">
        <v>73473</v>
      </c>
      <c r="P6" s="111">
        <v>82730</v>
      </c>
      <c r="Q6" s="111">
        <v>82730</v>
      </c>
      <c r="R6" s="1">
        <v>88.81</v>
      </c>
      <c r="S6" s="1">
        <v>88.81</v>
      </c>
      <c r="T6" s="111">
        <v>1851</v>
      </c>
      <c r="U6" s="111">
        <v>1851</v>
      </c>
      <c r="V6" s="111">
        <v>1900</v>
      </c>
      <c r="W6" s="111">
        <v>1900</v>
      </c>
      <c r="X6" s="1">
        <v>97.43</v>
      </c>
      <c r="Y6" s="1">
        <v>97.43</v>
      </c>
      <c r="Z6" s="111">
        <v>9467</v>
      </c>
      <c r="AA6" s="111">
        <v>9467</v>
      </c>
      <c r="AB6" s="111">
        <v>10040</v>
      </c>
      <c r="AC6" s="111">
        <v>10040</v>
      </c>
      <c r="AD6" s="1">
        <v>94.29</v>
      </c>
      <c r="AE6" s="1">
        <v>94.29</v>
      </c>
      <c r="AF6" s="111">
        <v>10914</v>
      </c>
      <c r="AG6" s="111">
        <v>10914</v>
      </c>
      <c r="AH6" s="111">
        <v>15003</v>
      </c>
      <c r="AI6" s="111">
        <v>15003</v>
      </c>
      <c r="AJ6" s="1">
        <v>72.75</v>
      </c>
      <c r="AK6" s="1">
        <v>72.75</v>
      </c>
      <c r="AM6" s="1">
        <v>0</v>
      </c>
      <c r="AO6" s="1">
        <v>0</v>
      </c>
      <c r="AP6" s="1">
        <v>0</v>
      </c>
      <c r="AQ6" s="1">
        <v>0</v>
      </c>
      <c r="AS6" s="1">
        <v>0</v>
      </c>
      <c r="AU6" s="1">
        <v>0</v>
      </c>
      <c r="AV6" s="1">
        <v>0</v>
      </c>
      <c r="AW6" s="1">
        <v>0</v>
      </c>
      <c r="AX6" s="111">
        <v>145145</v>
      </c>
      <c r="AY6" s="111">
        <v>145145</v>
      </c>
      <c r="AZ6" s="111">
        <v>164742</v>
      </c>
      <c r="BA6" s="111">
        <v>164742</v>
      </c>
      <c r="BB6" s="1">
        <v>88.1</v>
      </c>
      <c r="BC6" s="1">
        <v>88.1</v>
      </c>
      <c r="BD6" s="111">
        <v>23643</v>
      </c>
      <c r="BE6" s="111">
        <v>23643</v>
      </c>
      <c r="BF6" s="111">
        <v>28884</v>
      </c>
      <c r="BG6" s="111">
        <v>28884</v>
      </c>
      <c r="BH6" s="1">
        <v>81.86</v>
      </c>
      <c r="BI6" s="1">
        <v>81.86</v>
      </c>
      <c r="BJ6" s="111">
        <v>134267</v>
      </c>
      <c r="BK6" s="111">
        <v>134267</v>
      </c>
      <c r="BL6" s="111">
        <v>152761</v>
      </c>
      <c r="BM6" s="111">
        <v>152761</v>
      </c>
      <c r="BN6" s="1">
        <v>87.89</v>
      </c>
      <c r="BO6" s="1">
        <v>87.89</v>
      </c>
      <c r="BQ6" s="1">
        <v>17.53</v>
      </c>
      <c r="BR6" s="1">
        <v>17.53</v>
      </c>
      <c r="BU6" s="111">
        <v>16026</v>
      </c>
      <c r="BV6" s="111">
        <v>16026</v>
      </c>
      <c r="BW6" s="111">
        <v>16712</v>
      </c>
      <c r="BX6" s="111">
        <v>16712</v>
      </c>
      <c r="BY6" s="1">
        <v>95.9</v>
      </c>
      <c r="BZ6" s="1">
        <v>95.9</v>
      </c>
      <c r="CA6" s="111">
        <v>22535</v>
      </c>
      <c r="CB6" s="111">
        <v>22535</v>
      </c>
      <c r="CC6" s="111">
        <v>26376</v>
      </c>
      <c r="CD6" s="111">
        <v>26376</v>
      </c>
      <c r="CE6" s="1">
        <v>85.44</v>
      </c>
      <c r="CF6" s="1">
        <v>85.44</v>
      </c>
      <c r="CJ6" s="111">
        <v>-145145</v>
      </c>
      <c r="CM6" s="111">
        <v>-164742</v>
      </c>
    </row>
    <row r="7" spans="1:91" ht="15.75" customHeight="1" x14ac:dyDescent="0.25">
      <c r="A7" s="1" t="s">
        <v>5</v>
      </c>
      <c r="B7" s="111">
        <v>14283</v>
      </c>
      <c r="C7" s="111">
        <v>25161</v>
      </c>
      <c r="D7" s="111">
        <v>14987</v>
      </c>
      <c r="E7" s="111">
        <v>26968</v>
      </c>
      <c r="F7" s="1">
        <v>95.3</v>
      </c>
      <c r="G7" s="1">
        <v>93.3</v>
      </c>
      <c r="H7" s="111">
        <v>51538</v>
      </c>
      <c r="I7" s="111">
        <v>90099</v>
      </c>
      <c r="J7" s="111">
        <v>57406</v>
      </c>
      <c r="K7" s="111">
        <v>100493</v>
      </c>
      <c r="L7" s="1">
        <v>89.78</v>
      </c>
      <c r="M7" s="1">
        <v>89.66</v>
      </c>
      <c r="N7" s="111">
        <v>74350</v>
      </c>
      <c r="O7" s="111">
        <v>147823</v>
      </c>
      <c r="P7" s="111">
        <v>85184</v>
      </c>
      <c r="Q7" s="111">
        <v>167914</v>
      </c>
      <c r="R7" s="1">
        <v>87.28</v>
      </c>
      <c r="S7" s="1">
        <v>88.04</v>
      </c>
      <c r="T7" s="111">
        <v>3039</v>
      </c>
      <c r="U7" s="111">
        <v>4890</v>
      </c>
      <c r="V7" s="111">
        <v>3170</v>
      </c>
      <c r="W7" s="111">
        <v>5070</v>
      </c>
      <c r="X7" s="1">
        <v>95.85</v>
      </c>
      <c r="Y7" s="1">
        <v>96.44</v>
      </c>
      <c r="Z7" s="111">
        <v>3229</v>
      </c>
      <c r="AA7" s="111">
        <v>12696</v>
      </c>
      <c r="AB7" s="111">
        <v>3477</v>
      </c>
      <c r="AC7" s="111">
        <v>13517</v>
      </c>
      <c r="AD7" s="1">
        <v>92.86</v>
      </c>
      <c r="AE7" s="1">
        <v>93.93</v>
      </c>
      <c r="AF7" s="111">
        <v>18698</v>
      </c>
      <c r="AG7" s="111">
        <v>29613</v>
      </c>
      <c r="AH7" s="111">
        <v>25243</v>
      </c>
      <c r="AI7" s="111">
        <v>40246</v>
      </c>
      <c r="AJ7" s="1">
        <v>74.069999999999993</v>
      </c>
      <c r="AK7" s="1">
        <v>73.58</v>
      </c>
      <c r="AM7" s="1">
        <v>0</v>
      </c>
      <c r="AO7" s="1">
        <v>0</v>
      </c>
      <c r="AP7" s="1">
        <v>0</v>
      </c>
      <c r="AQ7" s="1">
        <v>0</v>
      </c>
      <c r="AS7" s="1">
        <v>0</v>
      </c>
      <c r="AU7" s="1">
        <v>0</v>
      </c>
      <c r="AV7" s="1">
        <v>0</v>
      </c>
      <c r="AW7" s="1">
        <v>0</v>
      </c>
      <c r="AX7" s="111">
        <v>165137</v>
      </c>
      <c r="AY7" s="111">
        <v>310282</v>
      </c>
      <c r="AZ7" s="111">
        <v>189466</v>
      </c>
      <c r="BA7" s="111">
        <v>354208</v>
      </c>
      <c r="BB7" s="1">
        <v>87.16</v>
      </c>
      <c r="BC7" s="1">
        <v>87.6</v>
      </c>
      <c r="BD7" s="111">
        <v>36020</v>
      </c>
      <c r="BE7" s="111">
        <v>59663</v>
      </c>
      <c r="BF7" s="111">
        <v>43400</v>
      </c>
      <c r="BG7" s="111">
        <v>72284</v>
      </c>
      <c r="BH7" s="1">
        <v>83</v>
      </c>
      <c r="BI7" s="1">
        <v>82.54</v>
      </c>
      <c r="BJ7" s="111">
        <v>150854</v>
      </c>
      <c r="BK7" s="111">
        <v>285121</v>
      </c>
      <c r="BL7" s="111">
        <v>174479</v>
      </c>
      <c r="BM7" s="111">
        <v>327240</v>
      </c>
      <c r="BN7" s="1">
        <v>86.46</v>
      </c>
      <c r="BO7" s="1">
        <v>87.13</v>
      </c>
      <c r="BQ7" s="1">
        <v>22.91</v>
      </c>
      <c r="BR7" s="1">
        <v>20.41</v>
      </c>
      <c r="BU7" s="111">
        <v>15070</v>
      </c>
      <c r="BV7" s="111">
        <v>31097</v>
      </c>
      <c r="BW7" s="111">
        <v>15933</v>
      </c>
      <c r="BX7" s="111">
        <v>32645</v>
      </c>
      <c r="BY7" s="1">
        <v>94.58</v>
      </c>
      <c r="BZ7" s="1">
        <v>95.26</v>
      </c>
      <c r="CA7" s="111">
        <v>36468</v>
      </c>
      <c r="CB7" s="111">
        <v>59003</v>
      </c>
      <c r="CC7" s="111">
        <v>41472</v>
      </c>
      <c r="CD7" s="111">
        <v>67848</v>
      </c>
      <c r="CE7" s="1">
        <v>87.93</v>
      </c>
      <c r="CF7" s="1">
        <v>86.96</v>
      </c>
      <c r="CJ7" s="111">
        <v>-165137</v>
      </c>
      <c r="CM7" s="111">
        <v>-189466</v>
      </c>
    </row>
    <row r="8" spans="1:91" ht="15.75" customHeight="1" x14ac:dyDescent="0.25">
      <c r="A8" s="1" t="s">
        <v>6</v>
      </c>
      <c r="B8" s="111">
        <v>2041</v>
      </c>
      <c r="C8" s="111">
        <v>27202</v>
      </c>
      <c r="D8" s="111">
        <v>2207</v>
      </c>
      <c r="E8" s="111">
        <v>29175</v>
      </c>
      <c r="F8" s="1">
        <v>92.47</v>
      </c>
      <c r="G8" s="1">
        <v>93.24</v>
      </c>
      <c r="H8" s="111">
        <v>36654</v>
      </c>
      <c r="I8" s="111">
        <v>126753</v>
      </c>
      <c r="J8" s="111">
        <v>40873</v>
      </c>
      <c r="K8" s="111">
        <v>141366</v>
      </c>
      <c r="L8" s="1">
        <v>89.68</v>
      </c>
      <c r="M8" s="1">
        <v>89.66</v>
      </c>
      <c r="N8" s="111">
        <v>82213</v>
      </c>
      <c r="O8" s="111">
        <v>230036</v>
      </c>
      <c r="P8" s="111">
        <v>93747</v>
      </c>
      <c r="Q8" s="111">
        <v>261661</v>
      </c>
      <c r="R8" s="1">
        <v>87.7</v>
      </c>
      <c r="S8" s="1">
        <v>87.91</v>
      </c>
      <c r="T8" s="111">
        <v>2403</v>
      </c>
      <c r="U8" s="111">
        <v>7292</v>
      </c>
      <c r="V8" s="111">
        <v>2516</v>
      </c>
      <c r="W8" s="111">
        <v>7586</v>
      </c>
      <c r="X8" s="1">
        <v>95.49</v>
      </c>
      <c r="Y8" s="1">
        <v>96.12</v>
      </c>
      <c r="Z8" s="111">
        <v>3886</v>
      </c>
      <c r="AA8" s="111">
        <v>16582</v>
      </c>
      <c r="AB8" s="111">
        <v>4216</v>
      </c>
      <c r="AC8" s="111">
        <v>17733</v>
      </c>
      <c r="AD8" s="1">
        <v>92.17</v>
      </c>
      <c r="AE8" s="1">
        <v>93.51</v>
      </c>
      <c r="AF8" s="111">
        <v>9596</v>
      </c>
      <c r="AG8" s="111">
        <v>39208</v>
      </c>
      <c r="AH8" s="111">
        <v>13195</v>
      </c>
      <c r="AI8" s="111">
        <v>53441</v>
      </c>
      <c r="AJ8" s="1">
        <v>72.72</v>
      </c>
      <c r="AK8" s="1">
        <v>73.37</v>
      </c>
      <c r="AM8" s="1">
        <v>0</v>
      </c>
      <c r="AO8" s="1">
        <v>0</v>
      </c>
      <c r="AP8" s="1">
        <v>0</v>
      </c>
      <c r="AQ8" s="1">
        <v>0</v>
      </c>
      <c r="AS8" s="1">
        <v>0</v>
      </c>
      <c r="AU8" s="1">
        <v>0</v>
      </c>
      <c r="AV8" s="1">
        <v>0</v>
      </c>
      <c r="AW8" s="1">
        <v>0</v>
      </c>
      <c r="AX8" s="111">
        <v>136793</v>
      </c>
      <c r="AY8" s="111">
        <v>447075</v>
      </c>
      <c r="AZ8" s="111">
        <v>156755</v>
      </c>
      <c r="BA8" s="111">
        <v>510963</v>
      </c>
      <c r="BB8" s="1">
        <v>87.27</v>
      </c>
      <c r="BC8" s="1">
        <v>87.5</v>
      </c>
      <c r="BD8" s="111">
        <v>14040</v>
      </c>
      <c r="BE8" s="111">
        <v>73703</v>
      </c>
      <c r="BF8" s="111">
        <v>17918</v>
      </c>
      <c r="BG8" s="111">
        <v>90202</v>
      </c>
      <c r="BH8" s="1">
        <v>78.349999999999994</v>
      </c>
      <c r="BI8" s="1">
        <v>81.709999999999994</v>
      </c>
      <c r="BJ8" s="111">
        <v>134752</v>
      </c>
      <c r="BK8" s="111">
        <v>419873</v>
      </c>
      <c r="BL8" s="111">
        <v>154548</v>
      </c>
      <c r="BM8" s="111">
        <v>481788</v>
      </c>
      <c r="BN8" s="1">
        <v>87.19</v>
      </c>
      <c r="BO8" s="1">
        <v>87.15</v>
      </c>
      <c r="BQ8" s="1">
        <v>11.43</v>
      </c>
      <c r="BR8" s="1">
        <v>17.649999999999999</v>
      </c>
      <c r="BU8" s="111">
        <v>10374</v>
      </c>
      <c r="BV8" s="111">
        <v>41470</v>
      </c>
      <c r="BW8" s="111">
        <v>11045</v>
      </c>
      <c r="BX8" s="111">
        <v>43691</v>
      </c>
      <c r="BY8" s="1">
        <v>93.92</v>
      </c>
      <c r="BZ8" s="1">
        <v>94.92</v>
      </c>
      <c r="CA8" s="111">
        <v>26280</v>
      </c>
      <c r="CB8" s="111">
        <v>85283</v>
      </c>
      <c r="CC8" s="111">
        <v>29828</v>
      </c>
      <c r="CD8" s="111">
        <v>97676</v>
      </c>
      <c r="CE8" s="1">
        <v>88.11</v>
      </c>
      <c r="CF8" s="1">
        <v>87.31</v>
      </c>
      <c r="CJ8" s="111">
        <v>-136793</v>
      </c>
      <c r="CM8" s="111">
        <v>-156755</v>
      </c>
    </row>
    <row r="9" spans="1:91" ht="15.75" customHeight="1" x14ac:dyDescent="0.25">
      <c r="A9" s="1" t="s">
        <v>7</v>
      </c>
      <c r="B9" s="111">
        <v>9118</v>
      </c>
      <c r="C9" s="111">
        <v>36320</v>
      </c>
      <c r="D9" s="111">
        <v>9911</v>
      </c>
      <c r="E9" s="111">
        <v>39086</v>
      </c>
      <c r="F9" s="1">
        <v>92</v>
      </c>
      <c r="G9" s="1">
        <v>92.92</v>
      </c>
      <c r="H9" s="111">
        <v>26641</v>
      </c>
      <c r="I9" s="111">
        <v>153394</v>
      </c>
      <c r="J9" s="111">
        <v>29937</v>
      </c>
      <c r="K9" s="111">
        <v>171304</v>
      </c>
      <c r="L9" s="1">
        <v>88.99</v>
      </c>
      <c r="M9" s="1">
        <v>89.55</v>
      </c>
      <c r="N9" s="111">
        <v>52227</v>
      </c>
      <c r="O9" s="111">
        <v>282264</v>
      </c>
      <c r="P9" s="111">
        <v>59733</v>
      </c>
      <c r="Q9" s="111">
        <v>321394</v>
      </c>
      <c r="R9" s="1">
        <v>87.43</v>
      </c>
      <c r="S9" s="1">
        <v>87.82</v>
      </c>
      <c r="T9" s="1">
        <v>0</v>
      </c>
      <c r="U9" s="111">
        <v>7292</v>
      </c>
      <c r="V9" s="1">
        <v>0</v>
      </c>
      <c r="W9" s="111">
        <v>7586</v>
      </c>
      <c r="X9" s="1">
        <v>0</v>
      </c>
      <c r="Y9" s="1">
        <v>96.12</v>
      </c>
      <c r="Z9" s="111">
        <v>2959</v>
      </c>
      <c r="AA9" s="111">
        <v>19541</v>
      </c>
      <c r="AB9" s="111">
        <v>3186</v>
      </c>
      <c r="AC9" s="111">
        <v>20919</v>
      </c>
      <c r="AD9" s="1">
        <v>92.88</v>
      </c>
      <c r="AE9" s="1">
        <v>93.41</v>
      </c>
      <c r="AF9" s="111">
        <v>8908</v>
      </c>
      <c r="AG9" s="111">
        <v>48116</v>
      </c>
      <c r="AH9" s="111">
        <v>11822</v>
      </c>
      <c r="AI9" s="111">
        <v>65262</v>
      </c>
      <c r="AJ9" s="1">
        <v>75.349999999999994</v>
      </c>
      <c r="AK9" s="1">
        <v>73.73</v>
      </c>
      <c r="AM9" s="1">
        <v>0</v>
      </c>
      <c r="AO9" s="1">
        <v>0</v>
      </c>
      <c r="AP9" s="1">
        <v>0</v>
      </c>
      <c r="AQ9" s="1">
        <v>0</v>
      </c>
      <c r="AS9" s="1">
        <v>0</v>
      </c>
      <c r="AU9" s="1">
        <v>0</v>
      </c>
      <c r="AV9" s="1">
        <v>0</v>
      </c>
      <c r="AW9" s="1">
        <v>0</v>
      </c>
      <c r="AX9" s="111">
        <v>99853</v>
      </c>
      <c r="AY9" s="111">
        <v>546928</v>
      </c>
      <c r="AZ9" s="111">
        <v>114589</v>
      </c>
      <c r="BA9" s="111">
        <v>625552</v>
      </c>
      <c r="BB9" s="1">
        <v>87.14</v>
      </c>
      <c r="BC9" s="1">
        <v>87.43</v>
      </c>
      <c r="BD9" s="111">
        <v>18025</v>
      </c>
      <c r="BE9" s="111">
        <v>91728</v>
      </c>
      <c r="BF9" s="111">
        <v>21733</v>
      </c>
      <c r="BG9" s="111">
        <v>111935</v>
      </c>
      <c r="BH9" s="1">
        <v>82.94</v>
      </c>
      <c r="BI9" s="1">
        <v>81.95</v>
      </c>
      <c r="BJ9" s="111">
        <v>90735</v>
      </c>
      <c r="BK9" s="111">
        <v>510608</v>
      </c>
      <c r="BL9" s="111">
        <v>104678</v>
      </c>
      <c r="BM9" s="111">
        <v>586466</v>
      </c>
      <c r="BN9" s="1">
        <v>86.68</v>
      </c>
      <c r="BO9" s="1">
        <v>87.07</v>
      </c>
      <c r="BQ9" s="1">
        <v>18.97</v>
      </c>
      <c r="BR9" s="1">
        <v>17.89</v>
      </c>
      <c r="BU9" s="111">
        <v>7320</v>
      </c>
      <c r="BV9" s="111">
        <v>48790</v>
      </c>
      <c r="BW9" s="111">
        <v>7784</v>
      </c>
      <c r="BX9" s="111">
        <v>51475</v>
      </c>
      <c r="BY9" s="1">
        <v>94.03</v>
      </c>
      <c r="BZ9" s="1">
        <v>94.78</v>
      </c>
      <c r="CA9" s="111">
        <v>19321</v>
      </c>
      <c r="CB9" s="111">
        <v>104604</v>
      </c>
      <c r="CC9" s="111">
        <v>22153</v>
      </c>
      <c r="CD9" s="111">
        <v>119829</v>
      </c>
      <c r="CE9" s="1">
        <v>87.22</v>
      </c>
      <c r="CF9" s="1">
        <v>87.29</v>
      </c>
      <c r="CJ9" s="111">
        <v>-99853</v>
      </c>
      <c r="CM9" s="111">
        <v>-114589</v>
      </c>
    </row>
    <row r="10" spans="1:91" ht="15.75" customHeight="1" x14ac:dyDescent="0.25">
      <c r="A10" s="1" t="s">
        <v>8</v>
      </c>
      <c r="B10" s="111">
        <v>3044</v>
      </c>
      <c r="C10" s="111">
        <v>39364</v>
      </c>
      <c r="D10" s="111">
        <v>3388</v>
      </c>
      <c r="E10" s="111">
        <v>42474</v>
      </c>
      <c r="F10" s="1">
        <v>89.85</v>
      </c>
      <c r="G10" s="1">
        <v>92.68</v>
      </c>
      <c r="H10" s="111">
        <v>23516</v>
      </c>
      <c r="I10" s="111">
        <v>176910</v>
      </c>
      <c r="J10" s="111">
        <v>25712</v>
      </c>
      <c r="K10" s="111">
        <v>197016</v>
      </c>
      <c r="L10" s="1">
        <v>91.46</v>
      </c>
      <c r="M10" s="1">
        <v>89.79</v>
      </c>
      <c r="N10" s="111">
        <v>100892</v>
      </c>
      <c r="O10" s="111">
        <v>383155</v>
      </c>
      <c r="P10" s="111">
        <v>117397</v>
      </c>
      <c r="Q10" s="111">
        <v>438791</v>
      </c>
      <c r="R10" s="1">
        <v>85.94</v>
      </c>
      <c r="S10" s="1">
        <v>87.32</v>
      </c>
      <c r="T10" s="111">
        <v>2372</v>
      </c>
      <c r="U10" s="111">
        <v>9665</v>
      </c>
      <c r="V10" s="111">
        <v>2482</v>
      </c>
      <c r="W10" s="111">
        <v>10068</v>
      </c>
      <c r="X10" s="1">
        <v>95.58</v>
      </c>
      <c r="Y10" s="1">
        <v>95.99</v>
      </c>
      <c r="Z10" s="111">
        <v>2804</v>
      </c>
      <c r="AA10" s="111">
        <v>22345</v>
      </c>
      <c r="AB10" s="111">
        <v>3020</v>
      </c>
      <c r="AC10" s="111">
        <v>23940</v>
      </c>
      <c r="AD10" s="1">
        <v>92.83</v>
      </c>
      <c r="AE10" s="1">
        <v>93.34</v>
      </c>
      <c r="AF10" s="111">
        <v>7754</v>
      </c>
      <c r="AG10" s="111">
        <v>55870</v>
      </c>
      <c r="AH10" s="111">
        <v>10720</v>
      </c>
      <c r="AI10" s="111">
        <v>75982</v>
      </c>
      <c r="AJ10" s="1">
        <v>72.33</v>
      </c>
      <c r="AK10" s="1">
        <v>73.53</v>
      </c>
      <c r="AM10" s="1">
        <v>0</v>
      </c>
      <c r="AO10" s="1">
        <v>0</v>
      </c>
      <c r="AP10" s="1">
        <v>0</v>
      </c>
      <c r="AQ10" s="1">
        <v>0</v>
      </c>
      <c r="AS10" s="1">
        <v>0</v>
      </c>
      <c r="AU10" s="1">
        <v>0</v>
      </c>
      <c r="AV10" s="1">
        <v>0</v>
      </c>
      <c r="AW10" s="1">
        <v>0</v>
      </c>
      <c r="AX10" s="111">
        <v>140381</v>
      </c>
      <c r="AY10" s="111">
        <v>687309</v>
      </c>
      <c r="AZ10" s="111">
        <v>162719</v>
      </c>
      <c r="BA10" s="111">
        <v>788270</v>
      </c>
      <c r="BB10" s="1">
        <v>86.27</v>
      </c>
      <c r="BC10" s="1">
        <v>87.19</v>
      </c>
      <c r="BD10" s="111">
        <v>13170</v>
      </c>
      <c r="BE10" s="111">
        <v>104898</v>
      </c>
      <c r="BF10" s="111">
        <v>16589</v>
      </c>
      <c r="BG10" s="111">
        <v>128524</v>
      </c>
      <c r="BH10" s="1">
        <v>79.39</v>
      </c>
      <c r="BI10" s="1">
        <v>81.62</v>
      </c>
      <c r="BJ10" s="111">
        <v>137337</v>
      </c>
      <c r="BK10" s="111">
        <v>647945</v>
      </c>
      <c r="BL10" s="111">
        <v>159331</v>
      </c>
      <c r="BM10" s="111">
        <v>745797</v>
      </c>
      <c r="BN10" s="1">
        <v>86.2</v>
      </c>
      <c r="BO10" s="1">
        <v>86.88</v>
      </c>
      <c r="BQ10" s="1">
        <v>10.199999999999999</v>
      </c>
      <c r="BR10" s="1">
        <v>16.3</v>
      </c>
      <c r="BU10" s="111">
        <v>15658</v>
      </c>
      <c r="BV10" s="111">
        <v>64448</v>
      </c>
      <c r="BW10" s="111">
        <v>16737</v>
      </c>
      <c r="BX10" s="111">
        <v>68212</v>
      </c>
      <c r="BY10" s="1">
        <v>93.55</v>
      </c>
      <c r="BZ10" s="1">
        <v>94.48</v>
      </c>
      <c r="CA10" s="111">
        <v>7858</v>
      </c>
      <c r="CB10" s="111">
        <v>112462</v>
      </c>
      <c r="CC10" s="111">
        <v>8976</v>
      </c>
      <c r="CD10" s="111">
        <v>128804</v>
      </c>
      <c r="CE10" s="1">
        <v>87.55</v>
      </c>
      <c r="CF10" s="1">
        <v>87.31</v>
      </c>
      <c r="CJ10" s="111">
        <v>-140381</v>
      </c>
      <c r="CM10" s="111">
        <v>-162719</v>
      </c>
    </row>
    <row r="11" spans="1:91" ht="15.75" customHeight="1" x14ac:dyDescent="0.25">
      <c r="A11" s="1" t="s">
        <v>9</v>
      </c>
      <c r="B11" s="1">
        <v>0</v>
      </c>
      <c r="C11" s="111">
        <v>39364</v>
      </c>
      <c r="D11" s="1">
        <v>0</v>
      </c>
      <c r="E11" s="111">
        <v>42474</v>
      </c>
      <c r="F11" s="1">
        <v>0</v>
      </c>
      <c r="G11" s="1">
        <v>92.68</v>
      </c>
      <c r="H11" s="111">
        <v>79210</v>
      </c>
      <c r="I11" s="111">
        <v>256120</v>
      </c>
      <c r="J11" s="111">
        <v>88600</v>
      </c>
      <c r="K11" s="111">
        <v>285616</v>
      </c>
      <c r="L11" s="1">
        <v>89.4</v>
      </c>
      <c r="M11" s="1">
        <v>89.67</v>
      </c>
      <c r="N11" s="111">
        <v>77616</v>
      </c>
      <c r="O11" s="111">
        <v>460771</v>
      </c>
      <c r="P11" s="111">
        <v>88000</v>
      </c>
      <c r="Q11" s="111">
        <v>526791</v>
      </c>
      <c r="R11" s="1">
        <v>88.2</v>
      </c>
      <c r="S11" s="1">
        <v>87.47</v>
      </c>
      <c r="T11" s="111">
        <v>2892</v>
      </c>
      <c r="U11" s="111">
        <v>12557</v>
      </c>
      <c r="V11" s="111">
        <v>3000</v>
      </c>
      <c r="W11" s="111">
        <v>13068</v>
      </c>
      <c r="X11" s="1">
        <v>96.4</v>
      </c>
      <c r="Y11" s="1">
        <v>96.08</v>
      </c>
      <c r="Z11" s="111">
        <v>7035</v>
      </c>
      <c r="AA11" s="111">
        <v>29380</v>
      </c>
      <c r="AB11" s="111">
        <v>7500</v>
      </c>
      <c r="AC11" s="111">
        <v>31440</v>
      </c>
      <c r="AD11" s="1">
        <v>93.8</v>
      </c>
      <c r="AE11" s="1">
        <v>93.45</v>
      </c>
      <c r="AF11" s="111">
        <v>21000</v>
      </c>
      <c r="AG11" s="111">
        <v>76870</v>
      </c>
      <c r="AH11" s="111">
        <v>30000</v>
      </c>
      <c r="AI11" s="111">
        <v>105982</v>
      </c>
      <c r="AJ11" s="1">
        <v>70</v>
      </c>
      <c r="AK11" s="1">
        <v>72.53</v>
      </c>
      <c r="AM11" s="1">
        <v>0</v>
      </c>
      <c r="AO11" s="1">
        <v>0</v>
      </c>
      <c r="AP11" s="1">
        <v>0</v>
      </c>
      <c r="AQ11" s="1">
        <v>0</v>
      </c>
      <c r="AS11" s="1">
        <v>0</v>
      </c>
      <c r="AU11" s="1">
        <v>0</v>
      </c>
      <c r="AV11" s="1">
        <v>0</v>
      </c>
      <c r="AW11" s="1">
        <v>0</v>
      </c>
      <c r="AX11" s="111">
        <v>187753</v>
      </c>
      <c r="AY11" s="111">
        <v>875062</v>
      </c>
      <c r="AZ11" s="111">
        <v>217100</v>
      </c>
      <c r="BA11" s="111">
        <v>1005370</v>
      </c>
      <c r="BB11" s="1">
        <v>86.48</v>
      </c>
      <c r="BC11" s="1">
        <v>87.04</v>
      </c>
      <c r="BD11" s="111">
        <v>23892</v>
      </c>
      <c r="BE11" s="111">
        <v>128790</v>
      </c>
      <c r="BF11" s="111">
        <v>33000</v>
      </c>
      <c r="BG11" s="111">
        <v>161524</v>
      </c>
      <c r="BH11" s="1">
        <v>72.400000000000006</v>
      </c>
      <c r="BI11" s="1">
        <v>79.73</v>
      </c>
      <c r="BJ11" s="111">
        <v>187753</v>
      </c>
      <c r="BK11" s="111">
        <v>835698</v>
      </c>
      <c r="BL11" s="111">
        <v>217100</v>
      </c>
      <c r="BM11" s="111">
        <v>962897</v>
      </c>
      <c r="BN11" s="1">
        <v>86.48</v>
      </c>
      <c r="BO11" s="1">
        <v>86.79</v>
      </c>
      <c r="BQ11" s="1">
        <v>15.2</v>
      </c>
      <c r="BR11" s="1">
        <v>16.07</v>
      </c>
      <c r="BU11" s="111">
        <v>11938</v>
      </c>
      <c r="BV11" s="111">
        <v>76385</v>
      </c>
      <c r="BW11" s="111">
        <v>12500</v>
      </c>
      <c r="BX11" s="111">
        <v>80712</v>
      </c>
      <c r="BY11" s="1">
        <v>95.5</v>
      </c>
      <c r="BZ11" s="1">
        <v>94.64</v>
      </c>
      <c r="CA11" s="111">
        <v>67272</v>
      </c>
      <c r="CB11" s="111">
        <v>179735</v>
      </c>
      <c r="CC11" s="111">
        <v>76100</v>
      </c>
      <c r="CD11" s="111">
        <v>204904</v>
      </c>
      <c r="CE11" s="1">
        <v>88.4</v>
      </c>
      <c r="CF11" s="1">
        <v>87.72</v>
      </c>
      <c r="CJ11" s="111">
        <v>-187753</v>
      </c>
      <c r="CM11" s="111">
        <v>-217100</v>
      </c>
    </row>
    <row r="12" spans="1:91" ht="15.75" customHeight="1" x14ac:dyDescent="0.25">
      <c r="A12" s="1" t="s">
        <v>10</v>
      </c>
      <c r="B12" s="1">
        <v>0</v>
      </c>
      <c r="C12" s="111">
        <v>39364</v>
      </c>
      <c r="D12" s="1">
        <v>0</v>
      </c>
      <c r="E12" s="111">
        <v>42474</v>
      </c>
      <c r="F12" s="1">
        <v>0</v>
      </c>
      <c r="G12" s="1">
        <v>92.68</v>
      </c>
      <c r="H12" s="111">
        <v>71168</v>
      </c>
      <c r="I12" s="111">
        <v>327288</v>
      </c>
      <c r="J12" s="111">
        <v>78900</v>
      </c>
      <c r="K12" s="111">
        <v>364516</v>
      </c>
      <c r="L12" s="1">
        <v>90.2</v>
      </c>
      <c r="M12" s="1">
        <v>89.79</v>
      </c>
      <c r="N12" s="111">
        <v>81144</v>
      </c>
      <c r="O12" s="111">
        <v>541915</v>
      </c>
      <c r="P12" s="111">
        <v>92000</v>
      </c>
      <c r="Q12" s="111">
        <v>618791</v>
      </c>
      <c r="R12" s="1">
        <v>88.2</v>
      </c>
      <c r="S12" s="1">
        <v>87.58</v>
      </c>
      <c r="T12" s="111">
        <v>0</v>
      </c>
      <c r="U12" s="111">
        <v>12557</v>
      </c>
      <c r="V12" s="111">
        <v>0</v>
      </c>
      <c r="W12" s="111">
        <v>13068</v>
      </c>
      <c r="X12" s="1">
        <v>0</v>
      </c>
      <c r="Y12" s="1">
        <v>96.08</v>
      </c>
      <c r="Z12" s="111">
        <v>7035</v>
      </c>
      <c r="AA12" s="111">
        <v>36415</v>
      </c>
      <c r="AB12" s="111">
        <v>7500</v>
      </c>
      <c r="AC12" s="111">
        <v>38940</v>
      </c>
      <c r="AD12" s="1">
        <v>93.8</v>
      </c>
      <c r="AE12" s="1">
        <v>93.52</v>
      </c>
      <c r="AF12" s="111">
        <v>23800</v>
      </c>
      <c r="AG12" s="111">
        <v>100670</v>
      </c>
      <c r="AH12" s="111">
        <v>34000</v>
      </c>
      <c r="AI12" s="111">
        <v>139982</v>
      </c>
      <c r="AJ12" s="1">
        <v>70</v>
      </c>
      <c r="AK12" s="1">
        <v>71.92</v>
      </c>
      <c r="AM12" s="1">
        <v>0</v>
      </c>
      <c r="AO12" s="1">
        <v>0</v>
      </c>
      <c r="AP12" s="1">
        <v>0</v>
      </c>
      <c r="AQ12" s="1">
        <v>0</v>
      </c>
      <c r="AS12" s="1">
        <v>0</v>
      </c>
      <c r="AU12" s="1">
        <v>0</v>
      </c>
      <c r="AV12" s="1">
        <v>0</v>
      </c>
      <c r="AW12" s="1">
        <v>0</v>
      </c>
      <c r="AX12" s="111">
        <v>183147</v>
      </c>
      <c r="AY12" s="111">
        <v>1058208</v>
      </c>
      <c r="AZ12" s="111">
        <v>212400</v>
      </c>
      <c r="BA12" s="111">
        <v>1217770</v>
      </c>
      <c r="BB12" s="1">
        <v>86.23</v>
      </c>
      <c r="BC12" s="1">
        <v>86.9</v>
      </c>
      <c r="BD12" s="111">
        <v>23800</v>
      </c>
      <c r="BE12" s="111">
        <v>152590</v>
      </c>
      <c r="BF12" s="111">
        <v>34000</v>
      </c>
      <c r="BG12" s="111">
        <v>195524</v>
      </c>
      <c r="BH12" s="1">
        <v>70</v>
      </c>
      <c r="BI12" s="1">
        <v>78.040000000000006</v>
      </c>
      <c r="BJ12" s="111">
        <v>183147</v>
      </c>
      <c r="BK12" s="111">
        <v>1018845</v>
      </c>
      <c r="BL12" s="111">
        <v>212400</v>
      </c>
      <c r="BM12" s="111">
        <v>1175297</v>
      </c>
      <c r="BN12" s="1">
        <v>86.23</v>
      </c>
      <c r="BO12" s="1">
        <v>86.69</v>
      </c>
      <c r="BQ12" s="1">
        <v>16.010000000000002</v>
      </c>
      <c r="BR12" s="1">
        <v>16.059999999999999</v>
      </c>
      <c r="BU12" s="111">
        <v>19100</v>
      </c>
      <c r="BV12" s="111">
        <v>95485</v>
      </c>
      <c r="BW12" s="111">
        <v>20000</v>
      </c>
      <c r="BX12" s="111">
        <v>100712</v>
      </c>
      <c r="BY12" s="1">
        <v>95.5</v>
      </c>
      <c r="BZ12" s="1">
        <v>94.81</v>
      </c>
      <c r="CA12" s="111">
        <v>52068</v>
      </c>
      <c r="CB12" s="111">
        <v>231802</v>
      </c>
      <c r="CC12" s="111">
        <v>58900</v>
      </c>
      <c r="CD12" s="111">
        <v>263804</v>
      </c>
      <c r="CE12" s="1">
        <v>88.4</v>
      </c>
      <c r="CF12" s="1">
        <v>87.87</v>
      </c>
      <c r="CJ12" s="111">
        <v>-183147</v>
      </c>
      <c r="CM12" s="111">
        <v>-212400</v>
      </c>
    </row>
    <row r="13" spans="1:91" ht="15.75" customHeight="1" x14ac:dyDescent="0.25">
      <c r="A13" s="1" t="s">
        <v>11</v>
      </c>
      <c r="B13" s="1">
        <v>0</v>
      </c>
      <c r="C13" s="111">
        <v>39364</v>
      </c>
      <c r="D13" s="1">
        <v>0</v>
      </c>
      <c r="E13" s="111">
        <v>42474</v>
      </c>
      <c r="F13" s="1">
        <v>0</v>
      </c>
      <c r="G13" s="1">
        <v>92.68</v>
      </c>
      <c r="H13" s="111">
        <v>71168</v>
      </c>
      <c r="I13" s="111">
        <v>398455</v>
      </c>
      <c r="J13" s="111">
        <v>78900</v>
      </c>
      <c r="K13" s="111">
        <v>443416</v>
      </c>
      <c r="L13" s="1">
        <v>90.2</v>
      </c>
      <c r="M13" s="1">
        <v>89.86</v>
      </c>
      <c r="N13" s="111">
        <v>102312</v>
      </c>
      <c r="O13" s="111">
        <v>644227</v>
      </c>
      <c r="P13" s="111">
        <v>116000</v>
      </c>
      <c r="Q13" s="111">
        <v>734791</v>
      </c>
      <c r="R13" s="1">
        <v>88.2</v>
      </c>
      <c r="S13" s="1">
        <v>87.67</v>
      </c>
      <c r="T13" s="111">
        <v>2892</v>
      </c>
      <c r="U13" s="111">
        <v>15449</v>
      </c>
      <c r="V13" s="111">
        <v>3000</v>
      </c>
      <c r="W13" s="111">
        <v>16068</v>
      </c>
      <c r="X13" s="1">
        <v>96.4</v>
      </c>
      <c r="Y13" s="1">
        <v>96.14</v>
      </c>
      <c r="Z13" s="111">
        <v>2345</v>
      </c>
      <c r="AA13" s="111">
        <v>38760</v>
      </c>
      <c r="AB13" s="111">
        <v>2500</v>
      </c>
      <c r="AC13" s="111">
        <v>41440</v>
      </c>
      <c r="AD13" s="1">
        <v>93.8</v>
      </c>
      <c r="AE13" s="1">
        <v>93.53</v>
      </c>
      <c r="AF13" s="111">
        <v>12600</v>
      </c>
      <c r="AG13" s="111">
        <v>113270</v>
      </c>
      <c r="AH13" s="111">
        <v>18000</v>
      </c>
      <c r="AI13" s="111">
        <v>157982</v>
      </c>
      <c r="AJ13" s="1">
        <v>70</v>
      </c>
      <c r="AK13" s="1">
        <v>71.7</v>
      </c>
      <c r="AM13" s="1">
        <v>0</v>
      </c>
      <c r="AO13" s="1">
        <v>0</v>
      </c>
      <c r="AP13" s="1">
        <v>0</v>
      </c>
      <c r="AQ13" s="1">
        <v>0</v>
      </c>
      <c r="AS13" s="1">
        <v>0</v>
      </c>
      <c r="AU13" s="1">
        <v>0</v>
      </c>
      <c r="AV13" s="1">
        <v>0</v>
      </c>
      <c r="AW13" s="1">
        <v>0</v>
      </c>
      <c r="AX13" s="111">
        <v>191317</v>
      </c>
      <c r="AY13" s="111">
        <v>1249525</v>
      </c>
      <c r="AZ13" s="111">
        <v>218400</v>
      </c>
      <c r="BA13" s="111">
        <v>1436170</v>
      </c>
      <c r="BB13" s="1">
        <v>87.6</v>
      </c>
      <c r="BC13" s="1">
        <v>87</v>
      </c>
      <c r="BD13" s="111">
        <v>15492</v>
      </c>
      <c r="BE13" s="111">
        <v>168082</v>
      </c>
      <c r="BF13" s="111">
        <v>21000</v>
      </c>
      <c r="BG13" s="111">
        <v>216524</v>
      </c>
      <c r="BH13" s="1">
        <v>73.77</v>
      </c>
      <c r="BI13" s="1">
        <v>77.63</v>
      </c>
      <c r="BJ13" s="111">
        <v>191317</v>
      </c>
      <c r="BK13" s="111">
        <v>1210161</v>
      </c>
      <c r="BL13" s="111">
        <v>218400</v>
      </c>
      <c r="BM13" s="111">
        <v>1393697</v>
      </c>
      <c r="BN13" s="1">
        <v>87.6</v>
      </c>
      <c r="BO13" s="1">
        <v>86.83</v>
      </c>
      <c r="BQ13" s="1">
        <v>9.6199999999999992</v>
      </c>
      <c r="BR13" s="1">
        <v>15.08</v>
      </c>
      <c r="BU13" s="111">
        <v>19100</v>
      </c>
      <c r="BV13" s="111">
        <v>114585</v>
      </c>
      <c r="BW13" s="111">
        <v>20000</v>
      </c>
      <c r="BX13" s="111">
        <v>120712</v>
      </c>
      <c r="BY13" s="1">
        <v>95.5</v>
      </c>
      <c r="BZ13" s="1">
        <v>94.92</v>
      </c>
      <c r="CA13" s="111">
        <v>52068</v>
      </c>
      <c r="CB13" s="111">
        <v>283870</v>
      </c>
      <c r="CC13" s="111">
        <v>58900</v>
      </c>
      <c r="CD13" s="111">
        <v>322704</v>
      </c>
      <c r="CE13" s="1">
        <v>88.4</v>
      </c>
      <c r="CF13" s="1">
        <v>87.97</v>
      </c>
      <c r="CJ13" s="111">
        <v>-191317</v>
      </c>
      <c r="CM13" s="111">
        <v>-218400</v>
      </c>
    </row>
    <row r="14" spans="1:91" ht="15.75" customHeight="1" x14ac:dyDescent="0.25">
      <c r="A14" s="1" t="s">
        <v>12</v>
      </c>
      <c r="B14" s="1">
        <v>0</v>
      </c>
      <c r="C14" s="111">
        <v>39364</v>
      </c>
      <c r="D14" s="1">
        <v>0</v>
      </c>
      <c r="E14" s="111">
        <v>42474</v>
      </c>
      <c r="F14" s="1">
        <v>0</v>
      </c>
      <c r="G14" s="1">
        <v>92.68</v>
      </c>
      <c r="H14" s="111">
        <v>69666</v>
      </c>
      <c r="I14" s="111">
        <v>468121</v>
      </c>
      <c r="J14" s="111">
        <v>77000</v>
      </c>
      <c r="K14" s="111">
        <v>520416</v>
      </c>
      <c r="L14" s="1">
        <v>90.47</v>
      </c>
      <c r="M14" s="1">
        <v>89.95</v>
      </c>
      <c r="N14" s="111">
        <v>98784</v>
      </c>
      <c r="O14" s="111">
        <v>743011</v>
      </c>
      <c r="P14" s="111">
        <v>112000</v>
      </c>
      <c r="Q14" s="111">
        <v>846791</v>
      </c>
      <c r="R14" s="1">
        <v>88.2</v>
      </c>
      <c r="S14" s="1">
        <v>87.74</v>
      </c>
      <c r="T14" s="111">
        <v>2892</v>
      </c>
      <c r="U14" s="111">
        <v>18341</v>
      </c>
      <c r="V14" s="111">
        <v>3000</v>
      </c>
      <c r="W14" s="111">
        <v>19068</v>
      </c>
      <c r="X14" s="1">
        <v>96.4</v>
      </c>
      <c r="Y14" s="1">
        <v>96.18</v>
      </c>
      <c r="Z14" s="111">
        <v>2345</v>
      </c>
      <c r="AA14" s="111">
        <v>41105</v>
      </c>
      <c r="AB14" s="111">
        <v>2500</v>
      </c>
      <c r="AC14" s="111">
        <v>43940</v>
      </c>
      <c r="AD14" s="1">
        <v>93.8</v>
      </c>
      <c r="AE14" s="1">
        <v>93.55</v>
      </c>
      <c r="AF14" s="111">
        <v>11200</v>
      </c>
      <c r="AG14" s="111">
        <v>124470</v>
      </c>
      <c r="AH14" s="111">
        <v>16000</v>
      </c>
      <c r="AI14" s="111">
        <v>173982</v>
      </c>
      <c r="AJ14" s="1">
        <v>70</v>
      </c>
      <c r="AK14" s="1">
        <v>71.540000000000006</v>
      </c>
      <c r="AM14" s="1">
        <v>0</v>
      </c>
      <c r="AO14" s="1">
        <v>0</v>
      </c>
      <c r="AP14" s="1">
        <v>0</v>
      </c>
      <c r="AQ14" s="1">
        <v>0</v>
      </c>
      <c r="AS14" s="1">
        <v>0</v>
      </c>
      <c r="AU14" s="1">
        <v>0</v>
      </c>
      <c r="AV14" s="1">
        <v>0</v>
      </c>
      <c r="AW14" s="1">
        <v>0</v>
      </c>
      <c r="AX14" s="111">
        <v>184887</v>
      </c>
      <c r="AY14" s="111">
        <v>1434411</v>
      </c>
      <c r="AZ14" s="111">
        <v>210500</v>
      </c>
      <c r="BA14" s="111">
        <v>1646670</v>
      </c>
      <c r="BB14" s="1">
        <v>87.83</v>
      </c>
      <c r="BC14" s="1">
        <v>87.11</v>
      </c>
      <c r="BD14" s="111">
        <v>14092</v>
      </c>
      <c r="BE14" s="111">
        <v>182174</v>
      </c>
      <c r="BF14" s="111">
        <v>19000</v>
      </c>
      <c r="BG14" s="111">
        <v>235524</v>
      </c>
      <c r="BH14" s="1">
        <v>74.17</v>
      </c>
      <c r="BI14" s="1">
        <v>77.349999999999994</v>
      </c>
      <c r="BJ14" s="111">
        <v>184887</v>
      </c>
      <c r="BK14" s="111">
        <v>1395048</v>
      </c>
      <c r="BL14" s="111">
        <v>210500</v>
      </c>
      <c r="BM14" s="111">
        <v>1604197</v>
      </c>
      <c r="BN14" s="1">
        <v>87.83</v>
      </c>
      <c r="BO14" s="1">
        <v>86.96</v>
      </c>
      <c r="BQ14" s="1">
        <v>9.0299999999999994</v>
      </c>
      <c r="BR14" s="1">
        <v>14.3</v>
      </c>
      <c r="BU14" s="111">
        <v>21488</v>
      </c>
      <c r="BV14" s="111">
        <v>136073</v>
      </c>
      <c r="BW14" s="111">
        <v>22500</v>
      </c>
      <c r="BX14" s="111">
        <v>143212</v>
      </c>
      <c r="BY14" s="1">
        <v>95.5</v>
      </c>
      <c r="BZ14" s="1">
        <v>95.02</v>
      </c>
      <c r="CA14" s="111">
        <v>48178</v>
      </c>
      <c r="CB14" s="111">
        <v>332048</v>
      </c>
      <c r="CC14" s="111">
        <v>54500</v>
      </c>
      <c r="CD14" s="111">
        <v>377204</v>
      </c>
      <c r="CE14" s="1">
        <v>88.4</v>
      </c>
      <c r="CF14" s="1">
        <v>88.03</v>
      </c>
      <c r="CJ14" s="111">
        <v>-184887</v>
      </c>
      <c r="CM14" s="111">
        <v>-210500</v>
      </c>
    </row>
    <row r="15" spans="1:91" ht="15.75" customHeight="1" x14ac:dyDescent="0.25">
      <c r="A15" s="1" t="s">
        <v>13</v>
      </c>
      <c r="B15" s="1">
        <v>0</v>
      </c>
      <c r="C15" s="111">
        <v>39364</v>
      </c>
      <c r="D15" s="1">
        <v>0</v>
      </c>
      <c r="E15" s="111">
        <v>42474</v>
      </c>
      <c r="F15" s="1">
        <v>0</v>
      </c>
      <c r="G15" s="1">
        <v>92.68</v>
      </c>
      <c r="H15" s="111">
        <v>75677</v>
      </c>
      <c r="I15" s="111">
        <v>543798</v>
      </c>
      <c r="J15" s="111">
        <v>83600</v>
      </c>
      <c r="K15" s="111">
        <v>604016</v>
      </c>
      <c r="L15" s="1">
        <v>90.52</v>
      </c>
      <c r="M15" s="1">
        <v>90.03</v>
      </c>
      <c r="N15" s="111">
        <v>105840</v>
      </c>
      <c r="O15" s="111">
        <v>848851</v>
      </c>
      <c r="P15" s="111">
        <v>120000</v>
      </c>
      <c r="Q15" s="111">
        <v>966791</v>
      </c>
      <c r="R15" s="1">
        <v>88.2</v>
      </c>
      <c r="S15" s="1">
        <v>87.8</v>
      </c>
      <c r="T15" s="111">
        <v>2892</v>
      </c>
      <c r="U15" s="111">
        <v>21233</v>
      </c>
      <c r="V15" s="111">
        <v>3000</v>
      </c>
      <c r="W15" s="111">
        <v>22068</v>
      </c>
      <c r="X15" s="1">
        <v>96.4</v>
      </c>
      <c r="Y15" s="1">
        <v>96.21</v>
      </c>
      <c r="Z15" s="111">
        <v>0</v>
      </c>
      <c r="AA15" s="111">
        <v>41105</v>
      </c>
      <c r="AB15" s="111">
        <v>0</v>
      </c>
      <c r="AC15" s="111">
        <v>43940</v>
      </c>
      <c r="AD15" s="1">
        <v>0</v>
      </c>
      <c r="AE15" s="1">
        <v>93.55</v>
      </c>
      <c r="AF15" s="111">
        <v>14000</v>
      </c>
      <c r="AG15" s="111">
        <v>138470</v>
      </c>
      <c r="AH15" s="111">
        <v>20000</v>
      </c>
      <c r="AI15" s="111">
        <v>193982</v>
      </c>
      <c r="AJ15" s="1">
        <v>70</v>
      </c>
      <c r="AK15" s="1">
        <v>71.38</v>
      </c>
      <c r="AM15" s="1">
        <v>0</v>
      </c>
      <c r="AO15" s="1">
        <v>0</v>
      </c>
      <c r="AP15" s="1">
        <v>0</v>
      </c>
      <c r="AQ15" s="1">
        <v>0</v>
      </c>
      <c r="AS15" s="1">
        <v>0</v>
      </c>
      <c r="AU15" s="1">
        <v>0</v>
      </c>
      <c r="AV15" s="1">
        <v>0</v>
      </c>
      <c r="AW15" s="1">
        <v>0</v>
      </c>
      <c r="AX15" s="111">
        <v>198409</v>
      </c>
      <c r="AY15" s="111">
        <v>1632821</v>
      </c>
      <c r="AZ15" s="111">
        <v>226600</v>
      </c>
      <c r="BA15" s="111">
        <v>1873270</v>
      </c>
      <c r="BB15" s="1">
        <v>87.56</v>
      </c>
      <c r="BC15" s="1">
        <v>87.16</v>
      </c>
      <c r="BD15" s="111">
        <v>16892</v>
      </c>
      <c r="BE15" s="111">
        <v>199066</v>
      </c>
      <c r="BF15" s="111">
        <v>23000</v>
      </c>
      <c r="BG15" s="111">
        <v>258524</v>
      </c>
      <c r="BH15" s="1">
        <v>73.44</v>
      </c>
      <c r="BI15" s="1">
        <v>77</v>
      </c>
      <c r="BJ15" s="111">
        <v>198409</v>
      </c>
      <c r="BK15" s="111">
        <v>1593457</v>
      </c>
      <c r="BL15" s="111">
        <v>226600</v>
      </c>
      <c r="BM15" s="111">
        <v>1830797</v>
      </c>
      <c r="BN15" s="1">
        <v>87.56</v>
      </c>
      <c r="BO15" s="1">
        <v>87.04</v>
      </c>
      <c r="BQ15" s="1">
        <v>10.15</v>
      </c>
      <c r="BR15" s="1">
        <v>13.8</v>
      </c>
      <c r="BU15" s="111">
        <v>23875</v>
      </c>
      <c r="BV15" s="111">
        <v>159948</v>
      </c>
      <c r="BW15" s="111">
        <v>25000</v>
      </c>
      <c r="BX15" s="111">
        <v>168212</v>
      </c>
      <c r="BY15" s="1">
        <v>95.5</v>
      </c>
      <c r="BZ15" s="1">
        <v>95.09</v>
      </c>
      <c r="CA15" s="111">
        <v>51802</v>
      </c>
      <c r="CB15" s="111">
        <v>383850</v>
      </c>
      <c r="CC15" s="111">
        <v>58600</v>
      </c>
      <c r="CD15" s="111">
        <v>435804</v>
      </c>
      <c r="CE15" s="1">
        <v>88.4</v>
      </c>
      <c r="CF15" s="1">
        <v>88.08</v>
      </c>
      <c r="CJ15" s="111">
        <v>-198409</v>
      </c>
      <c r="CM15" s="111">
        <v>-226600</v>
      </c>
    </row>
    <row r="16" spans="1:91" ht="15.75" customHeight="1" x14ac:dyDescent="0.25">
      <c r="A16" s="1" t="s">
        <v>14</v>
      </c>
      <c r="B16" s="1">
        <v>0</v>
      </c>
      <c r="C16" s="111">
        <v>39364</v>
      </c>
      <c r="D16" s="1">
        <v>0</v>
      </c>
      <c r="E16" s="111">
        <v>42474</v>
      </c>
      <c r="F16" s="1">
        <v>0</v>
      </c>
      <c r="G16" s="1">
        <v>92.68</v>
      </c>
      <c r="H16" s="111">
        <v>71610</v>
      </c>
      <c r="I16" s="111">
        <v>615408</v>
      </c>
      <c r="J16" s="111">
        <v>79400</v>
      </c>
      <c r="K16" s="111">
        <v>683416</v>
      </c>
      <c r="L16" s="1">
        <v>90.19</v>
      </c>
      <c r="M16" s="1">
        <v>90.05</v>
      </c>
      <c r="N16" s="111">
        <v>98784</v>
      </c>
      <c r="O16" s="111">
        <v>947635</v>
      </c>
      <c r="P16" s="111">
        <v>112000</v>
      </c>
      <c r="Q16" s="111">
        <v>1078791</v>
      </c>
      <c r="R16" s="1">
        <v>88.2</v>
      </c>
      <c r="S16" s="1">
        <v>87.84</v>
      </c>
      <c r="T16" s="111">
        <v>2892</v>
      </c>
      <c r="U16" s="111">
        <v>24125</v>
      </c>
      <c r="V16" s="111">
        <v>3000</v>
      </c>
      <c r="W16" s="111">
        <v>25068</v>
      </c>
      <c r="X16" s="1">
        <v>96.4</v>
      </c>
      <c r="Y16" s="1">
        <v>96.24</v>
      </c>
      <c r="Z16" s="111">
        <v>2345</v>
      </c>
      <c r="AA16" s="111">
        <v>43450</v>
      </c>
      <c r="AB16" s="111">
        <v>2500</v>
      </c>
      <c r="AC16" s="111">
        <v>46440</v>
      </c>
      <c r="AD16" s="1">
        <v>93.8</v>
      </c>
      <c r="AE16" s="1">
        <v>93.56</v>
      </c>
      <c r="AF16" s="111">
        <v>14000</v>
      </c>
      <c r="AG16" s="111">
        <v>152470</v>
      </c>
      <c r="AH16" s="111">
        <v>20000</v>
      </c>
      <c r="AI16" s="111">
        <v>213982</v>
      </c>
      <c r="AJ16" s="1">
        <v>70</v>
      </c>
      <c r="AK16" s="1">
        <v>71.25</v>
      </c>
      <c r="AM16" s="1">
        <v>0</v>
      </c>
      <c r="AO16" s="1">
        <v>0</v>
      </c>
      <c r="AP16" s="1">
        <v>0</v>
      </c>
      <c r="AQ16" s="1">
        <v>0</v>
      </c>
      <c r="AS16" s="1">
        <v>0</v>
      </c>
      <c r="AU16" s="1">
        <v>0</v>
      </c>
      <c r="AV16" s="1">
        <v>0</v>
      </c>
      <c r="AW16" s="1">
        <v>0</v>
      </c>
      <c r="AX16" s="111">
        <v>189631</v>
      </c>
      <c r="AY16" s="111">
        <v>1822451</v>
      </c>
      <c r="AZ16" s="111">
        <v>216900</v>
      </c>
      <c r="BA16" s="111">
        <v>2090170</v>
      </c>
      <c r="BB16" s="1">
        <v>87.43</v>
      </c>
      <c r="BC16" s="1">
        <v>87.19</v>
      </c>
      <c r="BD16" s="111">
        <v>16892</v>
      </c>
      <c r="BE16" s="111">
        <v>215958</v>
      </c>
      <c r="BF16" s="111">
        <v>23000</v>
      </c>
      <c r="BG16" s="111">
        <v>281524</v>
      </c>
      <c r="BH16" s="1">
        <v>73.44</v>
      </c>
      <c r="BI16" s="1">
        <v>76.709999999999994</v>
      </c>
      <c r="BJ16" s="111">
        <v>189631</v>
      </c>
      <c r="BK16" s="111">
        <v>1783088</v>
      </c>
      <c r="BL16" s="111">
        <v>216900</v>
      </c>
      <c r="BM16" s="111">
        <v>2047697</v>
      </c>
      <c r="BN16" s="1">
        <v>87.43</v>
      </c>
      <c r="BO16" s="1">
        <v>87.08</v>
      </c>
      <c r="BQ16" s="1">
        <v>10.6</v>
      </c>
      <c r="BR16" s="1">
        <v>13.47</v>
      </c>
      <c r="BU16" s="111">
        <v>19100</v>
      </c>
      <c r="BV16" s="111">
        <v>179048</v>
      </c>
      <c r="BW16" s="111">
        <v>20000</v>
      </c>
      <c r="BX16" s="111">
        <v>188212</v>
      </c>
      <c r="BY16" s="1">
        <v>95.5</v>
      </c>
      <c r="BZ16" s="1">
        <v>95.13</v>
      </c>
      <c r="CA16" s="111">
        <v>52510</v>
      </c>
      <c r="CB16" s="111">
        <v>436360</v>
      </c>
      <c r="CC16" s="111">
        <v>59400</v>
      </c>
      <c r="CD16" s="111">
        <v>495204</v>
      </c>
      <c r="CE16" s="1">
        <v>88.4</v>
      </c>
      <c r="CF16" s="1">
        <v>88.12</v>
      </c>
      <c r="CJ16" s="111">
        <v>-189631</v>
      </c>
      <c r="CM16" s="111">
        <v>-216900</v>
      </c>
    </row>
    <row r="17" spans="1:91" ht="15.75" customHeight="1" x14ac:dyDescent="0.25">
      <c r="A17" s="1" t="s">
        <v>15</v>
      </c>
      <c r="B17" s="1">
        <v>0</v>
      </c>
      <c r="C17" s="111">
        <v>39364</v>
      </c>
      <c r="D17" s="1">
        <v>0</v>
      </c>
      <c r="E17" s="111">
        <v>42474</v>
      </c>
      <c r="F17" s="1">
        <v>0</v>
      </c>
      <c r="G17" s="1">
        <v>92.68</v>
      </c>
      <c r="H17" s="111">
        <v>77445</v>
      </c>
      <c r="I17" s="111">
        <v>692853</v>
      </c>
      <c r="J17" s="111">
        <v>85600</v>
      </c>
      <c r="K17" s="111">
        <v>769016</v>
      </c>
      <c r="L17" s="1">
        <v>90.47</v>
      </c>
      <c r="M17" s="1">
        <v>90.1</v>
      </c>
      <c r="N17" s="111">
        <v>105840</v>
      </c>
      <c r="O17" s="111">
        <v>1053475</v>
      </c>
      <c r="P17" s="111">
        <v>120000</v>
      </c>
      <c r="Q17" s="111">
        <v>1198791</v>
      </c>
      <c r="R17" s="1">
        <v>88.2</v>
      </c>
      <c r="S17" s="1">
        <v>87.88</v>
      </c>
      <c r="T17" s="111">
        <v>2892</v>
      </c>
      <c r="U17" s="111">
        <v>27017</v>
      </c>
      <c r="V17" s="111">
        <v>3000</v>
      </c>
      <c r="W17" s="111">
        <v>28068</v>
      </c>
      <c r="X17" s="1">
        <v>96.4</v>
      </c>
      <c r="Y17" s="1">
        <v>96.25</v>
      </c>
      <c r="Z17" s="111">
        <v>2345</v>
      </c>
      <c r="AA17" s="111">
        <v>45795</v>
      </c>
      <c r="AB17" s="111">
        <v>2500</v>
      </c>
      <c r="AC17" s="111">
        <v>48940</v>
      </c>
      <c r="AD17" s="1">
        <v>93.8</v>
      </c>
      <c r="AE17" s="1">
        <v>93.57</v>
      </c>
      <c r="AF17" s="111">
        <v>12600</v>
      </c>
      <c r="AG17" s="111">
        <v>165070</v>
      </c>
      <c r="AH17" s="111">
        <v>18000</v>
      </c>
      <c r="AI17" s="111">
        <v>231982</v>
      </c>
      <c r="AJ17" s="1">
        <v>70</v>
      </c>
      <c r="AK17" s="1">
        <v>71.16</v>
      </c>
      <c r="AM17" s="1">
        <v>0</v>
      </c>
      <c r="AO17" s="1">
        <v>0</v>
      </c>
      <c r="AP17" s="1">
        <v>0</v>
      </c>
      <c r="AQ17" s="1">
        <v>0</v>
      </c>
      <c r="AS17" s="1">
        <v>0</v>
      </c>
      <c r="AU17" s="1">
        <v>0</v>
      </c>
      <c r="AV17" s="1">
        <v>0</v>
      </c>
      <c r="AW17" s="1">
        <v>0</v>
      </c>
      <c r="AX17" s="111">
        <v>201122</v>
      </c>
      <c r="AY17" s="111">
        <v>2023574</v>
      </c>
      <c r="AZ17" s="111">
        <v>229100</v>
      </c>
      <c r="BA17" s="111">
        <v>2319270</v>
      </c>
      <c r="BB17" s="1">
        <v>87.79</v>
      </c>
      <c r="BC17" s="1">
        <v>87.25</v>
      </c>
      <c r="BD17" s="111">
        <v>15492</v>
      </c>
      <c r="BE17" s="111">
        <v>231450</v>
      </c>
      <c r="BF17" s="111">
        <v>21000</v>
      </c>
      <c r="BG17" s="111">
        <v>302524</v>
      </c>
      <c r="BH17" s="1">
        <v>73.77</v>
      </c>
      <c r="BI17" s="1">
        <v>76.510000000000005</v>
      </c>
      <c r="BJ17" s="111">
        <v>201122</v>
      </c>
      <c r="BK17" s="111">
        <v>1984210</v>
      </c>
      <c r="BL17" s="111">
        <v>229100</v>
      </c>
      <c r="BM17" s="111">
        <v>2276797</v>
      </c>
      <c r="BN17" s="1">
        <v>87.79</v>
      </c>
      <c r="BO17" s="1">
        <v>87.15</v>
      </c>
      <c r="BQ17" s="1">
        <v>9.17</v>
      </c>
      <c r="BR17" s="1">
        <v>13.04</v>
      </c>
      <c r="BU17" s="111">
        <v>23875</v>
      </c>
      <c r="BV17" s="111">
        <v>202923</v>
      </c>
      <c r="BW17" s="111">
        <v>25000</v>
      </c>
      <c r="BX17" s="111">
        <v>213212</v>
      </c>
      <c r="BY17" s="1">
        <v>95.5</v>
      </c>
      <c r="BZ17" s="1">
        <v>95.17</v>
      </c>
      <c r="CA17" s="111">
        <v>53570</v>
      </c>
      <c r="CB17" s="111">
        <v>489930</v>
      </c>
      <c r="CC17" s="111">
        <v>60600</v>
      </c>
      <c r="CD17" s="111">
        <v>555804</v>
      </c>
      <c r="CE17" s="1">
        <v>88.4</v>
      </c>
      <c r="CF17" s="1">
        <v>88.15</v>
      </c>
      <c r="CJ17" s="111">
        <v>-201122</v>
      </c>
      <c r="CM17" s="111">
        <v>-229100</v>
      </c>
    </row>
    <row r="20" spans="1:91" ht="15.75" customHeight="1" x14ac:dyDescent="0.25">
      <c r="A20" s="1" t="s">
        <v>108</v>
      </c>
      <c r="H20" s="1" t="s">
        <v>109</v>
      </c>
      <c r="N20" s="1" t="s">
        <v>110</v>
      </c>
      <c r="T20" s="1" t="s">
        <v>111</v>
      </c>
      <c r="Z20" s="1" t="s">
        <v>112</v>
      </c>
      <c r="AF20" s="1" t="s">
        <v>113</v>
      </c>
    </row>
    <row r="21" spans="1:91" ht="15.75" customHeight="1" x14ac:dyDescent="0.25">
      <c r="A21" s="1" t="s">
        <v>102</v>
      </c>
      <c r="B21" s="1" t="s">
        <v>2</v>
      </c>
      <c r="D21" s="1" t="s">
        <v>3</v>
      </c>
      <c r="F21" s="1" t="s">
        <v>103</v>
      </c>
      <c r="H21" s="1" t="s">
        <v>2</v>
      </c>
      <c r="J21" s="1" t="s">
        <v>3</v>
      </c>
      <c r="L21" s="1" t="s">
        <v>103</v>
      </c>
      <c r="N21" s="1" t="s">
        <v>2</v>
      </c>
      <c r="P21" s="1" t="s">
        <v>3</v>
      </c>
      <c r="R21" s="1" t="s">
        <v>103</v>
      </c>
      <c r="T21" s="1" t="s">
        <v>2</v>
      </c>
      <c r="V21" s="1" t="s">
        <v>3</v>
      </c>
      <c r="X21" s="1" t="s">
        <v>103</v>
      </c>
      <c r="Z21" s="1" t="s">
        <v>2</v>
      </c>
      <c r="AB21" s="1" t="s">
        <v>3</v>
      </c>
      <c r="AD21" s="1" t="s">
        <v>103</v>
      </c>
      <c r="AF21" s="1" t="s">
        <v>2</v>
      </c>
      <c r="AH21" s="1" t="s">
        <v>3</v>
      </c>
      <c r="AJ21" s="1" t="s">
        <v>103</v>
      </c>
      <c r="AN21" s="1" t="s">
        <v>104</v>
      </c>
      <c r="AQ21" s="1" t="s">
        <v>105</v>
      </c>
    </row>
    <row r="22" spans="1:91" ht="12.5" x14ac:dyDescent="0.25">
      <c r="B22" s="1" t="s">
        <v>106</v>
      </c>
      <c r="C22" s="1" t="s">
        <v>107</v>
      </c>
      <c r="D22" s="1" t="s">
        <v>106</v>
      </c>
      <c r="E22" s="1" t="s">
        <v>107</v>
      </c>
      <c r="F22" s="1" t="s">
        <v>106</v>
      </c>
      <c r="G22" s="1" t="s">
        <v>107</v>
      </c>
      <c r="H22" s="1" t="s">
        <v>106</v>
      </c>
      <c r="I22" s="1" t="s">
        <v>107</v>
      </c>
      <c r="J22" s="1" t="s">
        <v>106</v>
      </c>
      <c r="K22" s="1" t="s">
        <v>107</v>
      </c>
      <c r="L22" s="1" t="s">
        <v>106</v>
      </c>
      <c r="M22" s="1" t="s">
        <v>107</v>
      </c>
      <c r="N22" s="1" t="s">
        <v>106</v>
      </c>
      <c r="O22" s="1" t="s">
        <v>107</v>
      </c>
      <c r="P22" s="1" t="s">
        <v>106</v>
      </c>
      <c r="Q22" s="1" t="s">
        <v>107</v>
      </c>
      <c r="R22" s="1" t="s">
        <v>106</v>
      </c>
      <c r="S22" s="1" t="s">
        <v>107</v>
      </c>
      <c r="T22" s="1" t="s">
        <v>106</v>
      </c>
      <c r="U22" s="1" t="s">
        <v>107</v>
      </c>
      <c r="V22" s="1" t="s">
        <v>106</v>
      </c>
      <c r="W22" s="1" t="s">
        <v>107</v>
      </c>
      <c r="X22" s="1" t="s">
        <v>106</v>
      </c>
      <c r="Y22" s="1" t="s">
        <v>107</v>
      </c>
      <c r="Z22" s="1" t="s">
        <v>106</v>
      </c>
      <c r="AA22" s="1" t="s">
        <v>107</v>
      </c>
      <c r="AB22" s="1" t="s">
        <v>106</v>
      </c>
      <c r="AC22" s="1" t="s">
        <v>107</v>
      </c>
      <c r="AD22" s="1" t="s">
        <v>106</v>
      </c>
      <c r="AE22" s="1" t="s">
        <v>107</v>
      </c>
      <c r="AF22" s="1" t="s">
        <v>106</v>
      </c>
      <c r="AG22" s="1" t="s">
        <v>107</v>
      </c>
      <c r="AH22" s="1" t="s">
        <v>106</v>
      </c>
      <c r="AI22" s="1" t="s">
        <v>107</v>
      </c>
      <c r="AJ22" s="1" t="s">
        <v>106</v>
      </c>
      <c r="AK22" s="1" t="s">
        <v>107</v>
      </c>
    </row>
    <row r="23" spans="1:91" ht="12.5" x14ac:dyDescent="0.25">
      <c r="A23" s="1" t="s">
        <v>4</v>
      </c>
      <c r="B23" s="111">
        <v>124794</v>
      </c>
      <c r="C23" s="111">
        <v>124794</v>
      </c>
      <c r="D23" s="111">
        <v>214051</v>
      </c>
      <c r="E23" s="111">
        <v>214051</v>
      </c>
      <c r="F23" s="1">
        <v>58.3</v>
      </c>
      <c r="G23" s="1">
        <v>58.3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11">
        <v>146586</v>
      </c>
      <c r="O23" s="111">
        <v>146586</v>
      </c>
      <c r="P23" s="111">
        <v>241035</v>
      </c>
      <c r="Q23" s="111">
        <v>241035</v>
      </c>
      <c r="R23" s="1">
        <v>60.82</v>
      </c>
      <c r="S23" s="1">
        <v>60.82</v>
      </c>
      <c r="T23" s="111">
        <v>269938</v>
      </c>
      <c r="U23" s="111">
        <v>269938</v>
      </c>
      <c r="V23" s="111">
        <v>378793</v>
      </c>
      <c r="W23" s="111">
        <v>378793</v>
      </c>
      <c r="X23" s="1">
        <v>71.260000000000005</v>
      </c>
      <c r="Y23" s="1">
        <v>71.260000000000005</v>
      </c>
      <c r="Z23" s="111">
        <v>124794</v>
      </c>
      <c r="AA23" s="111">
        <v>124794</v>
      </c>
      <c r="AB23" s="111">
        <v>214051</v>
      </c>
      <c r="AC23" s="111">
        <v>214051</v>
      </c>
      <c r="AD23" s="1">
        <v>58.3</v>
      </c>
      <c r="AE23" s="1">
        <v>58.3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O23" s="111">
        <v>-124794</v>
      </c>
      <c r="AR23" s="111">
        <v>-214051</v>
      </c>
    </row>
    <row r="24" spans="1:91" ht="12.5" x14ac:dyDescent="0.25">
      <c r="A24" s="1" t="s">
        <v>5</v>
      </c>
      <c r="B24" s="111">
        <v>108926</v>
      </c>
      <c r="C24" s="111">
        <v>233719</v>
      </c>
      <c r="D24" s="111">
        <v>187092</v>
      </c>
      <c r="E24" s="111">
        <v>401143</v>
      </c>
      <c r="F24" s="1">
        <v>58.22</v>
      </c>
      <c r="G24" s="1">
        <v>58.26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11">
        <v>141907</v>
      </c>
      <c r="O24" s="111">
        <v>288493</v>
      </c>
      <c r="P24" s="111">
        <v>227322</v>
      </c>
      <c r="Q24" s="111">
        <v>468357</v>
      </c>
      <c r="R24" s="1">
        <v>62.43</v>
      </c>
      <c r="S24" s="1">
        <v>61.6</v>
      </c>
      <c r="T24" s="111">
        <v>274063</v>
      </c>
      <c r="U24" s="111">
        <v>544001</v>
      </c>
      <c r="V24" s="111">
        <v>376558</v>
      </c>
      <c r="W24" s="111">
        <v>755351</v>
      </c>
      <c r="X24" s="1">
        <v>72.78</v>
      </c>
      <c r="Y24" s="1">
        <v>72.02</v>
      </c>
      <c r="Z24" s="111">
        <v>108926</v>
      </c>
      <c r="AA24" s="111">
        <v>233719</v>
      </c>
      <c r="AB24" s="111">
        <v>187092</v>
      </c>
      <c r="AC24" s="111">
        <v>401143</v>
      </c>
      <c r="AD24" s="1">
        <v>58.22</v>
      </c>
      <c r="AE24" s="1">
        <v>58.26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O24" s="111">
        <v>-108926</v>
      </c>
      <c r="AR24" s="111">
        <v>-187092</v>
      </c>
    </row>
    <row r="25" spans="1:91" ht="12.5" x14ac:dyDescent="0.25">
      <c r="A25" s="1" t="s">
        <v>6</v>
      </c>
      <c r="B25" s="111">
        <v>75255</v>
      </c>
      <c r="C25" s="111">
        <v>308974</v>
      </c>
      <c r="D25" s="111">
        <v>128849</v>
      </c>
      <c r="E25" s="111">
        <v>529992</v>
      </c>
      <c r="F25" s="1">
        <v>58.41</v>
      </c>
      <c r="G25" s="1">
        <v>58.3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11">
        <v>86892</v>
      </c>
      <c r="O25" s="111">
        <v>375385</v>
      </c>
      <c r="P25" s="111">
        <v>144251</v>
      </c>
      <c r="Q25" s="111">
        <v>612608</v>
      </c>
      <c r="R25" s="1">
        <v>60.24</v>
      </c>
      <c r="S25" s="1">
        <v>61.28</v>
      </c>
      <c r="T25" s="111">
        <v>212048</v>
      </c>
      <c r="U25" s="111">
        <v>756049</v>
      </c>
      <c r="V25" s="111">
        <v>285604</v>
      </c>
      <c r="W25" s="111">
        <v>1040955</v>
      </c>
      <c r="X25" s="1">
        <v>74.25</v>
      </c>
      <c r="Y25" s="1">
        <v>72.63</v>
      </c>
      <c r="Z25" s="111">
        <v>75255</v>
      </c>
      <c r="AA25" s="111">
        <v>308974</v>
      </c>
      <c r="AB25" s="111">
        <v>128849</v>
      </c>
      <c r="AC25" s="111">
        <v>529992</v>
      </c>
      <c r="AD25" s="1">
        <v>58.41</v>
      </c>
      <c r="AE25" s="1">
        <v>58.3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O25" s="111">
        <v>-75255</v>
      </c>
      <c r="AR25" s="111">
        <v>-128849</v>
      </c>
    </row>
    <row r="26" spans="1:91" ht="12.5" x14ac:dyDescent="0.25">
      <c r="A26" s="1" t="s">
        <v>7</v>
      </c>
      <c r="B26" s="111">
        <v>74904</v>
      </c>
      <c r="C26" s="111">
        <v>383879</v>
      </c>
      <c r="D26" s="111">
        <v>125904</v>
      </c>
      <c r="E26" s="111">
        <v>655896</v>
      </c>
      <c r="F26" s="1">
        <v>59.49</v>
      </c>
      <c r="G26" s="1">
        <v>58.53</v>
      </c>
      <c r="H26" s="111">
        <v>13407</v>
      </c>
      <c r="I26" s="111">
        <v>13407</v>
      </c>
      <c r="J26" s="111">
        <v>14658</v>
      </c>
      <c r="K26" s="111">
        <v>14658</v>
      </c>
      <c r="L26" s="1">
        <v>91</v>
      </c>
      <c r="M26" s="1">
        <v>91</v>
      </c>
      <c r="N26" s="111">
        <v>92930</v>
      </c>
      <c r="O26" s="111">
        <v>468315</v>
      </c>
      <c r="P26" s="111">
        <v>147637</v>
      </c>
      <c r="Q26" s="111">
        <v>760244</v>
      </c>
      <c r="R26" s="1">
        <v>62.94</v>
      </c>
      <c r="S26" s="1">
        <v>61.6</v>
      </c>
      <c r="T26" s="111">
        <v>188164</v>
      </c>
      <c r="U26" s="111">
        <v>944213</v>
      </c>
      <c r="V26" s="111">
        <v>255151</v>
      </c>
      <c r="W26" s="111">
        <v>1296106</v>
      </c>
      <c r="X26" s="1">
        <v>73.75</v>
      </c>
      <c r="Y26" s="1">
        <v>72.849999999999994</v>
      </c>
      <c r="Z26" s="111">
        <v>88311</v>
      </c>
      <c r="AA26" s="111">
        <v>397285</v>
      </c>
      <c r="AB26" s="111">
        <v>140562</v>
      </c>
      <c r="AC26" s="111">
        <v>670554</v>
      </c>
      <c r="AD26" s="1">
        <v>62.83</v>
      </c>
      <c r="AE26" s="1">
        <v>59.25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O26" s="111">
        <v>-88311</v>
      </c>
      <c r="AR26" s="111">
        <v>-140562</v>
      </c>
    </row>
    <row r="27" spans="1:91" ht="12.5" x14ac:dyDescent="0.25">
      <c r="A27" s="1" t="s">
        <v>8</v>
      </c>
      <c r="B27" s="111">
        <v>118891</v>
      </c>
      <c r="C27" s="111">
        <v>502770</v>
      </c>
      <c r="D27" s="111">
        <v>196310</v>
      </c>
      <c r="E27" s="111">
        <v>852206</v>
      </c>
      <c r="F27" s="1">
        <v>60.56</v>
      </c>
      <c r="G27" s="1">
        <v>59</v>
      </c>
      <c r="H27" s="111">
        <v>29171</v>
      </c>
      <c r="I27" s="111">
        <v>42578</v>
      </c>
      <c r="J27" s="111">
        <v>33004</v>
      </c>
      <c r="K27" s="111">
        <v>47662</v>
      </c>
      <c r="L27" s="1">
        <v>88</v>
      </c>
      <c r="M27" s="1">
        <v>89</v>
      </c>
      <c r="N27" s="111">
        <v>129689</v>
      </c>
      <c r="O27" s="111">
        <v>598004</v>
      </c>
      <c r="P27" s="111">
        <v>210417</v>
      </c>
      <c r="Q27" s="111">
        <v>970661</v>
      </c>
      <c r="R27" s="1">
        <v>61.63</v>
      </c>
      <c r="S27" s="1">
        <v>61.61</v>
      </c>
      <c r="T27" s="111">
        <v>288444</v>
      </c>
      <c r="U27" s="111">
        <v>1232657</v>
      </c>
      <c r="V27" s="111">
        <v>392033</v>
      </c>
      <c r="W27" s="111">
        <v>1688139</v>
      </c>
      <c r="X27" s="1">
        <v>73.58</v>
      </c>
      <c r="Y27" s="1">
        <v>73.02</v>
      </c>
      <c r="Z27" s="111">
        <v>148062</v>
      </c>
      <c r="AA27" s="111">
        <v>545348</v>
      </c>
      <c r="AB27" s="111">
        <v>229314</v>
      </c>
      <c r="AC27" s="111">
        <v>899868</v>
      </c>
      <c r="AD27" s="1">
        <v>64.569999999999993</v>
      </c>
      <c r="AE27" s="1">
        <v>60.6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O27" s="111">
        <v>-148062</v>
      </c>
      <c r="AR27" s="111">
        <v>-229314</v>
      </c>
    </row>
    <row r="28" spans="1:91" ht="12.5" x14ac:dyDescent="0.25">
      <c r="A28" s="1" t="s">
        <v>9</v>
      </c>
      <c r="B28" s="111">
        <v>164639</v>
      </c>
      <c r="C28" s="111">
        <v>667409</v>
      </c>
      <c r="D28" s="111">
        <v>283860</v>
      </c>
      <c r="E28" s="111">
        <v>1136066</v>
      </c>
      <c r="F28" s="1">
        <v>58</v>
      </c>
      <c r="G28" s="1">
        <v>58.75</v>
      </c>
      <c r="H28" s="1">
        <v>0</v>
      </c>
      <c r="I28" s="111">
        <v>42578</v>
      </c>
      <c r="J28" s="1">
        <v>0</v>
      </c>
      <c r="K28" s="111">
        <v>47662</v>
      </c>
      <c r="L28" s="1">
        <v>0</v>
      </c>
      <c r="M28" s="1">
        <v>89</v>
      </c>
      <c r="N28" s="111">
        <v>185639</v>
      </c>
      <c r="O28" s="111">
        <v>783642</v>
      </c>
      <c r="P28" s="111">
        <v>313860</v>
      </c>
      <c r="Q28" s="111">
        <v>1284521</v>
      </c>
      <c r="R28" s="1">
        <v>59.15</v>
      </c>
      <c r="S28" s="1">
        <v>61.01</v>
      </c>
      <c r="T28" s="111">
        <v>352392</v>
      </c>
      <c r="U28" s="111">
        <v>1585048</v>
      </c>
      <c r="V28" s="111">
        <v>500960</v>
      </c>
      <c r="W28" s="111">
        <v>2189099</v>
      </c>
      <c r="X28" s="1">
        <v>70.34</v>
      </c>
      <c r="Y28" s="1">
        <v>72.41</v>
      </c>
      <c r="Z28" s="111">
        <v>164639</v>
      </c>
      <c r="AA28" s="111">
        <v>709987</v>
      </c>
      <c r="AB28" s="111">
        <v>283860</v>
      </c>
      <c r="AC28" s="111">
        <v>1183728</v>
      </c>
      <c r="AD28" s="1">
        <v>58</v>
      </c>
      <c r="AE28" s="1">
        <v>59.98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O28" s="111">
        <v>-164639</v>
      </c>
      <c r="AR28" s="111">
        <v>-283860</v>
      </c>
    </row>
    <row r="29" spans="1:91" ht="12.5" x14ac:dyDescent="0.25">
      <c r="A29" s="1" t="s">
        <v>10</v>
      </c>
      <c r="B29" s="111">
        <v>170127</v>
      </c>
      <c r="C29" s="111">
        <v>837536</v>
      </c>
      <c r="D29" s="111">
        <v>293322</v>
      </c>
      <c r="E29" s="111">
        <v>1429388</v>
      </c>
      <c r="F29" s="1">
        <v>58</v>
      </c>
      <c r="G29" s="1">
        <v>58.59</v>
      </c>
      <c r="H29" s="1">
        <v>0</v>
      </c>
      <c r="I29" s="111">
        <v>42578</v>
      </c>
      <c r="J29" s="1">
        <v>0</v>
      </c>
      <c r="K29" s="111">
        <v>47662</v>
      </c>
      <c r="L29" s="1">
        <v>0</v>
      </c>
      <c r="M29" s="1">
        <v>89</v>
      </c>
      <c r="N29" s="111">
        <v>193927</v>
      </c>
      <c r="O29" s="111">
        <v>977569</v>
      </c>
      <c r="P29" s="111">
        <v>327322</v>
      </c>
      <c r="Q29" s="111">
        <v>1611843</v>
      </c>
      <c r="R29" s="1">
        <v>59.25</v>
      </c>
      <c r="S29" s="1">
        <v>60.65</v>
      </c>
      <c r="T29" s="111">
        <v>353273</v>
      </c>
      <c r="U29" s="111">
        <v>1938322</v>
      </c>
      <c r="V29" s="111">
        <v>505722</v>
      </c>
      <c r="W29" s="111">
        <v>2694821</v>
      </c>
      <c r="X29" s="1">
        <v>69.86</v>
      </c>
      <c r="Y29" s="1">
        <v>71.930000000000007</v>
      </c>
      <c r="Z29" s="111">
        <v>170127</v>
      </c>
      <c r="AA29" s="111">
        <v>880113</v>
      </c>
      <c r="AB29" s="111">
        <v>293322</v>
      </c>
      <c r="AC29" s="111">
        <v>1477050</v>
      </c>
      <c r="AD29" s="1">
        <v>58</v>
      </c>
      <c r="AE29" s="1">
        <v>59.59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O29" s="111">
        <v>-170127</v>
      </c>
      <c r="AR29" s="111">
        <v>-293322</v>
      </c>
    </row>
    <row r="30" spans="1:91" ht="12.5" x14ac:dyDescent="0.25">
      <c r="A30" s="1" t="s">
        <v>11</v>
      </c>
      <c r="B30" s="111">
        <v>148175</v>
      </c>
      <c r="C30" s="111">
        <v>985711</v>
      </c>
      <c r="D30" s="111">
        <v>255474</v>
      </c>
      <c r="E30" s="111">
        <v>1684862</v>
      </c>
      <c r="F30" s="1">
        <v>58</v>
      </c>
      <c r="G30" s="1">
        <v>58.5</v>
      </c>
      <c r="H30" s="1">
        <v>0</v>
      </c>
      <c r="I30" s="111">
        <v>42578</v>
      </c>
      <c r="J30" s="1">
        <v>0</v>
      </c>
      <c r="K30" s="111">
        <v>47662</v>
      </c>
      <c r="L30" s="1">
        <v>0</v>
      </c>
      <c r="M30" s="1">
        <v>89</v>
      </c>
      <c r="N30" s="111">
        <v>160775</v>
      </c>
      <c r="O30" s="111">
        <v>1138344</v>
      </c>
      <c r="P30" s="111">
        <v>273474</v>
      </c>
      <c r="Q30" s="111">
        <v>1885317</v>
      </c>
      <c r="R30" s="1">
        <v>58.79</v>
      </c>
      <c r="S30" s="1">
        <v>60.38</v>
      </c>
      <c r="T30" s="111">
        <v>339492</v>
      </c>
      <c r="U30" s="111">
        <v>2277813</v>
      </c>
      <c r="V30" s="111">
        <v>473874</v>
      </c>
      <c r="W30" s="111">
        <v>3168695</v>
      </c>
      <c r="X30" s="1">
        <v>71.64</v>
      </c>
      <c r="Y30" s="1">
        <v>71.88</v>
      </c>
      <c r="Z30" s="111">
        <v>148175</v>
      </c>
      <c r="AA30" s="111">
        <v>1028288</v>
      </c>
      <c r="AB30" s="111">
        <v>255474</v>
      </c>
      <c r="AC30" s="111">
        <v>1732524</v>
      </c>
      <c r="AD30" s="1">
        <v>58</v>
      </c>
      <c r="AE30" s="1">
        <v>59.35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O30" s="111">
        <v>-148175</v>
      </c>
      <c r="AR30" s="111">
        <v>-255474</v>
      </c>
    </row>
    <row r="31" spans="1:91" ht="12.5" x14ac:dyDescent="0.25">
      <c r="A31" s="1" t="s">
        <v>12</v>
      </c>
      <c r="B31" s="111">
        <v>153663</v>
      </c>
      <c r="C31" s="111">
        <v>1139374</v>
      </c>
      <c r="D31" s="111">
        <v>264936</v>
      </c>
      <c r="E31" s="111">
        <v>1949798</v>
      </c>
      <c r="F31" s="1">
        <v>58</v>
      </c>
      <c r="G31" s="1">
        <v>58.44</v>
      </c>
      <c r="H31" s="1">
        <v>0</v>
      </c>
      <c r="I31" s="111">
        <v>42578</v>
      </c>
      <c r="J31" s="1">
        <v>0</v>
      </c>
      <c r="K31" s="111">
        <v>47662</v>
      </c>
      <c r="L31" s="1">
        <v>0</v>
      </c>
      <c r="M31" s="1">
        <v>89</v>
      </c>
      <c r="N31" s="111">
        <v>164863</v>
      </c>
      <c r="O31" s="111">
        <v>1303207</v>
      </c>
      <c r="P31" s="111">
        <v>280936</v>
      </c>
      <c r="Q31" s="111">
        <v>2166253</v>
      </c>
      <c r="R31" s="1">
        <v>58.68</v>
      </c>
      <c r="S31" s="1">
        <v>60.16</v>
      </c>
      <c r="T31" s="111">
        <v>338549</v>
      </c>
      <c r="U31" s="111">
        <v>2616363</v>
      </c>
      <c r="V31" s="111">
        <v>475436</v>
      </c>
      <c r="W31" s="111">
        <v>3644131</v>
      </c>
      <c r="X31" s="1">
        <v>71.209999999999994</v>
      </c>
      <c r="Y31" s="1">
        <v>71.8</v>
      </c>
      <c r="Z31" s="111">
        <v>153663</v>
      </c>
      <c r="AA31" s="111">
        <v>1181951</v>
      </c>
      <c r="AB31" s="111">
        <v>264936</v>
      </c>
      <c r="AC31" s="111">
        <v>1997460</v>
      </c>
      <c r="AD31" s="1">
        <v>58</v>
      </c>
      <c r="AE31" s="1">
        <v>59.17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O31" s="111">
        <v>-153663</v>
      </c>
      <c r="AR31" s="111">
        <v>-264936</v>
      </c>
    </row>
    <row r="32" spans="1:91" ht="12.5" x14ac:dyDescent="0.25">
      <c r="A32" s="1" t="s">
        <v>13</v>
      </c>
      <c r="B32" s="111">
        <v>159151</v>
      </c>
      <c r="C32" s="111">
        <v>1298524</v>
      </c>
      <c r="D32" s="111">
        <v>274398</v>
      </c>
      <c r="E32" s="111">
        <v>2224196</v>
      </c>
      <c r="F32" s="1">
        <v>58</v>
      </c>
      <c r="G32" s="1">
        <v>58.38</v>
      </c>
      <c r="H32" s="1">
        <v>0</v>
      </c>
      <c r="I32" s="111">
        <v>42578</v>
      </c>
      <c r="J32" s="1">
        <v>0</v>
      </c>
      <c r="K32" s="111">
        <v>47662</v>
      </c>
      <c r="L32" s="1">
        <v>0</v>
      </c>
      <c r="M32" s="1">
        <v>89.33</v>
      </c>
      <c r="N32" s="111">
        <v>173151</v>
      </c>
      <c r="O32" s="111">
        <v>1476358</v>
      </c>
      <c r="P32" s="111">
        <v>294398</v>
      </c>
      <c r="Q32" s="111">
        <v>2460651</v>
      </c>
      <c r="R32" s="1">
        <v>58.82</v>
      </c>
      <c r="S32" s="1">
        <v>60</v>
      </c>
      <c r="T32" s="111">
        <v>357560</v>
      </c>
      <c r="U32" s="111">
        <v>2973923</v>
      </c>
      <c r="V32" s="111">
        <v>500998</v>
      </c>
      <c r="W32" s="111">
        <v>4145129</v>
      </c>
      <c r="X32" s="1">
        <v>71.37</v>
      </c>
      <c r="Y32" s="1">
        <v>71.75</v>
      </c>
      <c r="Z32" s="111">
        <v>159151</v>
      </c>
      <c r="AA32" s="111">
        <v>1341102</v>
      </c>
      <c r="AB32" s="111">
        <v>274398</v>
      </c>
      <c r="AC32" s="111">
        <v>2271858</v>
      </c>
      <c r="AD32" s="1">
        <v>58</v>
      </c>
      <c r="AE32" s="1">
        <v>59.03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O32" s="111">
        <v>-159151</v>
      </c>
      <c r="AR32" s="111">
        <v>-274398</v>
      </c>
    </row>
    <row r="33" spans="1:45" ht="12.5" x14ac:dyDescent="0.25">
      <c r="A33" s="1" t="s">
        <v>14</v>
      </c>
      <c r="B33" s="111">
        <v>148175</v>
      </c>
      <c r="C33" s="111">
        <v>1446699</v>
      </c>
      <c r="D33" s="111">
        <v>255474</v>
      </c>
      <c r="E33" s="111">
        <v>2479670</v>
      </c>
      <c r="F33" s="1">
        <v>58</v>
      </c>
      <c r="G33" s="1">
        <v>58.34</v>
      </c>
      <c r="H33" s="1">
        <v>0</v>
      </c>
      <c r="I33" s="111">
        <v>42578</v>
      </c>
      <c r="J33" s="1">
        <v>0</v>
      </c>
      <c r="K33" s="111">
        <v>47662</v>
      </c>
      <c r="L33" s="1">
        <v>0</v>
      </c>
      <c r="M33" s="1">
        <v>89.33</v>
      </c>
      <c r="N33" s="111">
        <v>162175</v>
      </c>
      <c r="O33" s="111">
        <v>1638533</v>
      </c>
      <c r="P33" s="111">
        <v>275474</v>
      </c>
      <c r="Q33" s="111">
        <v>2736125</v>
      </c>
      <c r="R33" s="1">
        <v>58.87</v>
      </c>
      <c r="S33" s="1">
        <v>59.89</v>
      </c>
      <c r="T33" s="111">
        <v>337806</v>
      </c>
      <c r="U33" s="111">
        <v>3311728</v>
      </c>
      <c r="V33" s="111">
        <v>472374</v>
      </c>
      <c r="W33" s="111">
        <v>4617503</v>
      </c>
      <c r="X33" s="1">
        <v>71.510000000000005</v>
      </c>
      <c r="Y33" s="1">
        <v>71.72</v>
      </c>
      <c r="Z33" s="111">
        <v>148175</v>
      </c>
      <c r="AA33" s="111">
        <v>1489277</v>
      </c>
      <c r="AB33" s="111">
        <v>255474</v>
      </c>
      <c r="AC33" s="111">
        <v>2527332</v>
      </c>
      <c r="AD33" s="1">
        <v>58</v>
      </c>
      <c r="AE33" s="1">
        <v>58.93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O33" s="111">
        <v>-148175</v>
      </c>
      <c r="AR33" s="111">
        <v>-255474</v>
      </c>
    </row>
    <row r="34" spans="1:45" ht="12.5" x14ac:dyDescent="0.25">
      <c r="A34" s="1" t="s">
        <v>15</v>
      </c>
      <c r="B34" s="111">
        <v>142687</v>
      </c>
      <c r="C34" s="111">
        <v>1589386</v>
      </c>
      <c r="D34" s="111">
        <v>246012</v>
      </c>
      <c r="E34" s="111">
        <v>2725682</v>
      </c>
      <c r="F34" s="1">
        <v>58</v>
      </c>
      <c r="G34" s="1">
        <v>58.31</v>
      </c>
      <c r="H34" s="1">
        <v>0</v>
      </c>
      <c r="I34" s="111">
        <v>42578</v>
      </c>
      <c r="J34" s="1">
        <v>0</v>
      </c>
      <c r="K34" s="111">
        <v>47662</v>
      </c>
      <c r="L34" s="1">
        <v>0</v>
      </c>
      <c r="M34" s="1">
        <v>89.33</v>
      </c>
      <c r="N34" s="111">
        <v>155287</v>
      </c>
      <c r="O34" s="111">
        <v>1793820</v>
      </c>
      <c r="P34" s="111">
        <v>264012</v>
      </c>
      <c r="Q34" s="111">
        <v>3000137</v>
      </c>
      <c r="R34" s="1">
        <v>58.82</v>
      </c>
      <c r="S34" s="1">
        <v>59.79</v>
      </c>
      <c r="T34" s="111">
        <v>343809</v>
      </c>
      <c r="U34" s="111">
        <v>3655538</v>
      </c>
      <c r="V34" s="111">
        <v>475112</v>
      </c>
      <c r="W34" s="111">
        <v>5092615</v>
      </c>
      <c r="X34" s="1">
        <v>72.36</v>
      </c>
      <c r="Y34" s="1">
        <v>71.78</v>
      </c>
      <c r="Z34" s="111">
        <v>142687</v>
      </c>
      <c r="AA34" s="111">
        <v>1631964</v>
      </c>
      <c r="AB34" s="111">
        <v>246012</v>
      </c>
      <c r="AC34" s="111">
        <v>2773344</v>
      </c>
      <c r="AD34" s="1">
        <v>58</v>
      </c>
      <c r="AE34" s="1">
        <v>58.84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O34" s="111">
        <v>-142687</v>
      </c>
      <c r="AR34" s="111">
        <v>-246012</v>
      </c>
    </row>
    <row r="35" spans="1:45" ht="12.5" x14ac:dyDescent="0.25">
      <c r="A35" s="1"/>
      <c r="B35" s="1"/>
      <c r="D35" s="1"/>
      <c r="F35" s="1"/>
      <c r="I35" s="1"/>
      <c r="L35" s="1"/>
      <c r="O35" s="1"/>
    </row>
    <row r="36" spans="1:45" ht="12.5" x14ac:dyDescent="0.25">
      <c r="B36" s="1"/>
      <c r="C36" s="1"/>
      <c r="D36" s="1"/>
      <c r="E36" s="1"/>
      <c r="F36" s="1"/>
      <c r="G36" s="1"/>
    </row>
    <row r="37" spans="1:45" ht="12.5" x14ac:dyDescent="0.25">
      <c r="A37" s="1" t="s">
        <v>114</v>
      </c>
      <c r="B37" s="111"/>
      <c r="C37" s="111"/>
      <c r="D37" s="111"/>
      <c r="E37" s="111"/>
      <c r="F37" s="1"/>
      <c r="G37" s="1"/>
      <c r="I37" s="1" t="s">
        <v>101</v>
      </c>
      <c r="M37" s="111"/>
      <c r="P37" s="111"/>
    </row>
    <row r="38" spans="1:45" ht="12.5" x14ac:dyDescent="0.25">
      <c r="A38" s="1" t="s">
        <v>102</v>
      </c>
      <c r="B38" s="111" t="s">
        <v>2</v>
      </c>
      <c r="C38" s="111"/>
      <c r="D38" s="111" t="s">
        <v>3</v>
      </c>
      <c r="E38" s="111"/>
      <c r="F38" s="1" t="s">
        <v>103</v>
      </c>
      <c r="G38" s="1"/>
      <c r="I38" s="1">
        <v>100</v>
      </c>
      <c r="L38" s="1" t="s">
        <v>104</v>
      </c>
      <c r="M38" s="111"/>
      <c r="O38" s="1" t="s">
        <v>105</v>
      </c>
      <c r="P38" s="111"/>
    </row>
    <row r="39" spans="1:45" ht="12.5" x14ac:dyDescent="0.25">
      <c r="A39" s="1"/>
      <c r="B39" s="111" t="s">
        <v>106</v>
      </c>
      <c r="C39" s="111" t="s">
        <v>107</v>
      </c>
      <c r="D39" s="111" t="s">
        <v>106</v>
      </c>
      <c r="E39" s="111" t="s">
        <v>107</v>
      </c>
      <c r="F39" s="1" t="s">
        <v>106</v>
      </c>
      <c r="G39" s="1" t="s">
        <v>107</v>
      </c>
      <c r="M39" s="111"/>
      <c r="P39" s="111"/>
    </row>
    <row r="40" spans="1:45" ht="12.5" x14ac:dyDescent="0.25">
      <c r="A40" s="1" t="s">
        <v>4</v>
      </c>
      <c r="B40" s="111">
        <v>97182</v>
      </c>
      <c r="C40" s="111">
        <v>97182</v>
      </c>
      <c r="D40" s="111">
        <v>160973</v>
      </c>
      <c r="E40" s="111">
        <v>160973</v>
      </c>
      <c r="F40" s="1">
        <v>60.37</v>
      </c>
      <c r="G40" s="1">
        <v>60.37</v>
      </c>
      <c r="M40" s="111">
        <v>-97182</v>
      </c>
      <c r="P40" s="111">
        <v>-160973</v>
      </c>
    </row>
    <row r="41" spans="1:45" ht="12.5" x14ac:dyDescent="0.25">
      <c r="A41" s="1" t="s">
        <v>5</v>
      </c>
      <c r="B41" s="111">
        <v>75848</v>
      </c>
      <c r="C41" s="111">
        <v>173030</v>
      </c>
      <c r="D41" s="111">
        <v>130829</v>
      </c>
      <c r="E41" s="111">
        <v>291802</v>
      </c>
      <c r="F41" s="1">
        <v>57.98</v>
      </c>
      <c r="G41" s="1">
        <v>59.3</v>
      </c>
      <c r="M41" s="111">
        <v>-75848</v>
      </c>
      <c r="P41" s="111">
        <v>-130829</v>
      </c>
    </row>
    <row r="42" spans="1:45" ht="12.5" x14ac:dyDescent="0.25">
      <c r="A42" s="1" t="s">
        <v>6</v>
      </c>
      <c r="B42" s="111">
        <v>67612</v>
      </c>
      <c r="C42" s="111">
        <v>240643</v>
      </c>
      <c r="D42" s="111">
        <v>115516</v>
      </c>
      <c r="E42" s="111">
        <v>407318</v>
      </c>
      <c r="F42" s="1">
        <v>58.53</v>
      </c>
      <c r="G42" s="1">
        <v>59.08</v>
      </c>
      <c r="M42" s="111">
        <v>-67612</v>
      </c>
      <c r="P42" s="111">
        <v>-115516</v>
      </c>
    </row>
    <row r="43" spans="1:45" ht="12.5" x14ac:dyDescent="0.25">
      <c r="A43" s="1" t="s">
        <v>7</v>
      </c>
      <c r="B43" s="111">
        <v>70741</v>
      </c>
      <c r="C43" s="111">
        <v>311384</v>
      </c>
      <c r="D43" s="111">
        <v>122004</v>
      </c>
      <c r="E43" s="111">
        <v>529322</v>
      </c>
      <c r="F43" s="1">
        <v>57.98</v>
      </c>
      <c r="G43" s="1">
        <v>58.83</v>
      </c>
      <c r="M43" s="111">
        <v>-70741</v>
      </c>
      <c r="P43" s="111">
        <v>-122004</v>
      </c>
    </row>
    <row r="44" spans="1:45" ht="12.5" x14ac:dyDescent="0.25">
      <c r="A44" s="1" t="s">
        <v>8</v>
      </c>
      <c r="B44" s="111">
        <v>94614</v>
      </c>
      <c r="C44" s="111">
        <v>405999</v>
      </c>
      <c r="D44" s="111">
        <v>158413</v>
      </c>
      <c r="E44" s="111">
        <v>687734</v>
      </c>
      <c r="F44" s="1">
        <v>59.73</v>
      </c>
      <c r="G44" s="1">
        <v>59.03</v>
      </c>
      <c r="M44" s="111">
        <v>-94614</v>
      </c>
      <c r="P44" s="111">
        <v>-158413</v>
      </c>
    </row>
    <row r="45" spans="1:45" ht="12.5" x14ac:dyDescent="0.25">
      <c r="A45" s="1" t="s">
        <v>9</v>
      </c>
      <c r="B45" s="111">
        <v>124388</v>
      </c>
      <c r="C45" s="111">
        <v>530387</v>
      </c>
      <c r="D45" s="111">
        <v>214462</v>
      </c>
      <c r="E45" s="111">
        <v>902196</v>
      </c>
      <c r="F45" s="1">
        <v>58</v>
      </c>
      <c r="G45" s="1">
        <v>58.79</v>
      </c>
      <c r="M45" s="111">
        <v>-124388</v>
      </c>
      <c r="P45" s="111">
        <v>-214462</v>
      </c>
    </row>
    <row r="46" spans="1:45" ht="12.5" x14ac:dyDescent="0.25">
      <c r="A46" s="1" t="s">
        <v>10</v>
      </c>
      <c r="B46" s="111">
        <v>133213</v>
      </c>
      <c r="C46" s="111">
        <v>663600</v>
      </c>
      <c r="D46" s="111">
        <v>229678</v>
      </c>
      <c r="E46" s="111">
        <v>1131874</v>
      </c>
      <c r="F46" s="1">
        <v>58</v>
      </c>
      <c r="G46" s="1">
        <v>58.63</v>
      </c>
      <c r="M46" s="111">
        <v>-133213</v>
      </c>
      <c r="P46" s="111">
        <v>-229678</v>
      </c>
    </row>
    <row r="47" spans="1:45" ht="12.5" x14ac:dyDescent="0.25">
      <c r="A47" s="1" t="s">
        <v>11</v>
      </c>
      <c r="B47" s="111">
        <v>129849</v>
      </c>
      <c r="C47" s="111">
        <v>793448</v>
      </c>
      <c r="D47" s="111">
        <v>223877</v>
      </c>
      <c r="E47" s="111">
        <v>1355751</v>
      </c>
      <c r="F47" s="1">
        <v>58</v>
      </c>
      <c r="G47" s="1">
        <v>58.52</v>
      </c>
      <c r="M47" s="111">
        <v>-129849</v>
      </c>
      <c r="P47" s="111">
        <v>-223877</v>
      </c>
    </row>
    <row r="48" spans="1:45" ht="12.5" x14ac:dyDescent="0.25">
      <c r="A48" s="1" t="s">
        <v>12</v>
      </c>
      <c r="B48" s="111">
        <v>131715</v>
      </c>
      <c r="C48" s="111">
        <v>925163</v>
      </c>
      <c r="D48" s="111">
        <v>227095</v>
      </c>
      <c r="E48" s="111">
        <v>1582846</v>
      </c>
      <c r="F48" s="1">
        <v>58</v>
      </c>
      <c r="G48" s="1">
        <v>58.45</v>
      </c>
      <c r="H48" s="1"/>
      <c r="M48" s="111">
        <v>-131715</v>
      </c>
      <c r="N48" s="1"/>
      <c r="P48" s="111">
        <v>-227095</v>
      </c>
      <c r="T48" s="1"/>
      <c r="Z48" s="1"/>
      <c r="AF48" s="1"/>
      <c r="AL48" s="1"/>
      <c r="AS48" s="1"/>
    </row>
    <row r="49" spans="1:71" ht="12.5" x14ac:dyDescent="0.25">
      <c r="A49" s="1" t="s">
        <v>13</v>
      </c>
      <c r="B49" s="111">
        <v>137814</v>
      </c>
      <c r="C49" s="111">
        <v>1062977</v>
      </c>
      <c r="D49" s="111">
        <v>237610</v>
      </c>
      <c r="E49" s="111">
        <v>1820456</v>
      </c>
      <c r="F49" s="1">
        <v>58</v>
      </c>
      <c r="G49" s="1">
        <v>58.39</v>
      </c>
      <c r="H49" s="1"/>
      <c r="J49" s="1"/>
      <c r="L49" s="1"/>
      <c r="M49" s="111">
        <v>-137814</v>
      </c>
      <c r="N49" s="1"/>
      <c r="P49" s="111">
        <v>-237610</v>
      </c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V49" s="1"/>
      <c r="AY49" s="1"/>
    </row>
    <row r="50" spans="1:71" ht="12.5" x14ac:dyDescent="0.25">
      <c r="A50" s="1" t="s">
        <v>14</v>
      </c>
      <c r="B50" s="111">
        <v>129001</v>
      </c>
      <c r="C50" s="111">
        <v>1191977</v>
      </c>
      <c r="D50" s="111">
        <v>222415</v>
      </c>
      <c r="E50" s="111">
        <v>2042871</v>
      </c>
      <c r="F50" s="1">
        <v>58</v>
      </c>
      <c r="G50" s="1">
        <v>58.35</v>
      </c>
      <c r="H50" s="1"/>
      <c r="I50" s="1"/>
      <c r="J50" s="1"/>
      <c r="K50" s="1"/>
      <c r="L50" s="1"/>
      <c r="M50" s="111">
        <v>-129001</v>
      </c>
      <c r="N50" s="1"/>
      <c r="O50" s="1"/>
      <c r="P50" s="111">
        <v>-222415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</row>
    <row r="51" spans="1:71" ht="12.5" x14ac:dyDescent="0.25">
      <c r="A51" s="1" t="s">
        <v>15</v>
      </c>
      <c r="B51" s="111">
        <v>123843</v>
      </c>
      <c r="C51" s="111">
        <v>1315821</v>
      </c>
      <c r="D51" s="111">
        <v>213523</v>
      </c>
      <c r="E51" s="111">
        <v>2256393</v>
      </c>
      <c r="F51" s="1">
        <v>58</v>
      </c>
      <c r="G51" s="1">
        <v>58.32</v>
      </c>
      <c r="H51" s="1"/>
      <c r="I51" s="111"/>
      <c r="J51" s="1"/>
      <c r="K51" s="111"/>
      <c r="L51" s="1"/>
      <c r="M51" s="111">
        <v>-123843</v>
      </c>
      <c r="N51" s="111"/>
      <c r="O51" s="111"/>
      <c r="P51" s="111">
        <v>-213523</v>
      </c>
      <c r="Q51" s="111"/>
      <c r="R51" s="1"/>
      <c r="S51" s="1"/>
      <c r="T51" s="111"/>
      <c r="U51" s="111"/>
      <c r="V51" s="111"/>
      <c r="W51" s="111"/>
      <c r="X51" s="1"/>
      <c r="Y51" s="1"/>
      <c r="Z51" s="111"/>
      <c r="AA51" s="111"/>
      <c r="AB51" s="111"/>
      <c r="AC51" s="111"/>
      <c r="AD51" s="1"/>
      <c r="AE51" s="1"/>
      <c r="AF51" s="111"/>
      <c r="AG51" s="111"/>
      <c r="AH51" s="111"/>
      <c r="AI51" s="111"/>
      <c r="AJ51" s="1"/>
      <c r="AK51" s="1"/>
      <c r="AL51" s="111"/>
      <c r="AM51" s="111"/>
      <c r="AN51" s="111"/>
      <c r="AO51" s="111"/>
      <c r="AP51" s="1"/>
      <c r="AQ51" s="1"/>
      <c r="AS51" s="1"/>
      <c r="AT51" s="1"/>
      <c r="AW51" s="111"/>
      <c r="AZ51" s="111"/>
    </row>
    <row r="52" spans="1:71" ht="12.5" x14ac:dyDescent="0.25">
      <c r="A52" s="1"/>
      <c r="B52" s="111"/>
      <c r="C52" s="111"/>
      <c r="D52" s="111"/>
      <c r="E52" s="111"/>
      <c r="F52" s="1"/>
      <c r="G52" s="1"/>
      <c r="H52" s="1"/>
      <c r="I52" s="111"/>
      <c r="J52" s="1"/>
      <c r="K52" s="111"/>
      <c r="L52" s="1"/>
      <c r="M52" s="1"/>
      <c r="N52" s="111"/>
      <c r="O52" s="111"/>
      <c r="P52" s="111"/>
      <c r="Q52" s="111"/>
      <c r="R52" s="1"/>
      <c r="S52" s="1"/>
      <c r="T52" s="111"/>
      <c r="U52" s="111"/>
      <c r="V52" s="111"/>
      <c r="W52" s="111"/>
      <c r="X52" s="1"/>
      <c r="Y52" s="1"/>
      <c r="Z52" s="111"/>
      <c r="AA52" s="111"/>
      <c r="AB52" s="111"/>
      <c r="AC52" s="111"/>
      <c r="AD52" s="1"/>
      <c r="AE52" s="1"/>
      <c r="AF52" s="111"/>
      <c r="AG52" s="111"/>
      <c r="AH52" s="111"/>
      <c r="AI52" s="111"/>
      <c r="AJ52" s="1"/>
      <c r="AK52" s="1"/>
      <c r="AL52" s="111"/>
      <c r="AM52" s="111"/>
      <c r="AN52" s="111"/>
      <c r="AO52" s="111"/>
      <c r="AP52" s="1"/>
      <c r="AQ52" s="1"/>
      <c r="AS52" s="1"/>
      <c r="AT52" s="1"/>
      <c r="AW52" s="111"/>
      <c r="AZ52" s="111"/>
    </row>
    <row r="53" spans="1:71" ht="12.5" x14ac:dyDescent="0.25">
      <c r="A53" s="1"/>
      <c r="B53" s="111"/>
      <c r="C53" s="111"/>
      <c r="D53" s="111"/>
      <c r="E53" s="111"/>
      <c r="F53" s="1"/>
      <c r="G53" s="1"/>
      <c r="H53" s="1"/>
      <c r="I53" s="111"/>
      <c r="J53" s="1"/>
      <c r="K53" s="111"/>
      <c r="L53" s="1"/>
      <c r="M53" s="1"/>
      <c r="N53" s="111"/>
      <c r="O53" s="111"/>
      <c r="P53" s="111"/>
      <c r="Q53" s="111"/>
      <c r="R53" s="1"/>
      <c r="S53" s="1"/>
      <c r="T53" s="111"/>
      <c r="U53" s="111"/>
      <c r="V53" s="111"/>
      <c r="W53" s="111"/>
      <c r="X53" s="1"/>
      <c r="Y53" s="1"/>
      <c r="Z53" s="111"/>
      <c r="AA53" s="111"/>
      <c r="AB53" s="111"/>
      <c r="AC53" s="111"/>
      <c r="AD53" s="1"/>
      <c r="AE53" s="1"/>
      <c r="AF53" s="111"/>
      <c r="AG53" s="111"/>
      <c r="AH53" s="111"/>
      <c r="AI53" s="111"/>
      <c r="AJ53" s="1"/>
      <c r="AK53" s="1"/>
      <c r="AL53" s="111"/>
      <c r="AM53" s="111"/>
      <c r="AN53" s="111"/>
      <c r="AO53" s="111"/>
      <c r="AP53" s="1"/>
      <c r="AQ53" s="1"/>
      <c r="AS53" s="1"/>
      <c r="AT53" s="1"/>
      <c r="AW53" s="111"/>
      <c r="AZ53" s="111"/>
    </row>
    <row r="54" spans="1:71" ht="12.5" x14ac:dyDescent="0.25">
      <c r="A54" s="1" t="s">
        <v>115</v>
      </c>
      <c r="B54" s="111"/>
      <c r="C54" s="111"/>
      <c r="D54" s="111"/>
      <c r="E54" s="111"/>
      <c r="F54" s="1"/>
      <c r="G54" s="1"/>
      <c r="H54" s="1" t="s">
        <v>116</v>
      </c>
      <c r="I54" s="111"/>
      <c r="J54" s="1"/>
      <c r="K54" s="111"/>
      <c r="L54" s="1"/>
      <c r="M54" s="1"/>
      <c r="N54" s="111" t="s">
        <v>95</v>
      </c>
      <c r="O54" s="111"/>
      <c r="P54" s="111"/>
      <c r="Q54" s="111"/>
      <c r="R54" s="1"/>
      <c r="S54" s="1"/>
      <c r="T54" s="111" t="s">
        <v>117</v>
      </c>
      <c r="U54" s="111"/>
      <c r="V54" s="111"/>
      <c r="W54" s="111"/>
      <c r="X54" s="1"/>
      <c r="Y54" s="1"/>
      <c r="Z54" s="111" t="s">
        <v>118</v>
      </c>
      <c r="AA54" s="111"/>
      <c r="AB54" s="111"/>
      <c r="AC54" s="111"/>
      <c r="AD54" s="1"/>
      <c r="AE54" s="1"/>
      <c r="AF54" s="111" t="s">
        <v>119</v>
      </c>
      <c r="AG54" s="111"/>
      <c r="AH54" s="111"/>
      <c r="AI54" s="111"/>
      <c r="AJ54" s="1"/>
      <c r="AK54" s="1"/>
      <c r="AL54" s="111" t="s">
        <v>120</v>
      </c>
      <c r="AM54" s="111"/>
      <c r="AN54" s="111"/>
      <c r="AO54" s="111"/>
      <c r="AP54" s="1"/>
      <c r="AQ54" s="1"/>
      <c r="AS54" s="1" t="s">
        <v>101</v>
      </c>
      <c r="AT54" s="1"/>
      <c r="AW54" s="111"/>
      <c r="AZ54" s="111"/>
    </row>
    <row r="55" spans="1:71" ht="12.5" x14ac:dyDescent="0.25">
      <c r="A55" s="1" t="s">
        <v>102</v>
      </c>
      <c r="B55" s="111" t="s">
        <v>2</v>
      </c>
      <c r="C55" s="111"/>
      <c r="D55" s="111" t="s">
        <v>3</v>
      </c>
      <c r="E55" s="111"/>
      <c r="F55" s="1" t="s">
        <v>103</v>
      </c>
      <c r="G55" s="1"/>
      <c r="H55" s="1" t="s">
        <v>2</v>
      </c>
      <c r="I55" s="111"/>
      <c r="J55" s="1" t="s">
        <v>3</v>
      </c>
      <c r="K55" s="111"/>
      <c r="L55" s="1" t="s">
        <v>103</v>
      </c>
      <c r="M55" s="1"/>
      <c r="N55" s="111" t="s">
        <v>2</v>
      </c>
      <c r="O55" s="111"/>
      <c r="P55" s="111" t="s">
        <v>3</v>
      </c>
      <c r="Q55" s="111"/>
      <c r="R55" s="1" t="s">
        <v>103</v>
      </c>
      <c r="S55" s="1"/>
      <c r="T55" s="111" t="s">
        <v>2</v>
      </c>
      <c r="U55" s="111"/>
      <c r="V55" s="111" t="s">
        <v>3</v>
      </c>
      <c r="W55" s="111"/>
      <c r="X55" s="1" t="s">
        <v>103</v>
      </c>
      <c r="Y55" s="1"/>
      <c r="Z55" s="111" t="s">
        <v>2</v>
      </c>
      <c r="AA55" s="111"/>
      <c r="AB55" s="111" t="s">
        <v>3</v>
      </c>
      <c r="AC55" s="111"/>
      <c r="AD55" s="1" t="s">
        <v>103</v>
      </c>
      <c r="AE55" s="1"/>
      <c r="AF55" s="111" t="s">
        <v>2</v>
      </c>
      <c r="AG55" s="111"/>
      <c r="AH55" s="111" t="s">
        <v>3</v>
      </c>
      <c r="AI55" s="111"/>
      <c r="AJ55" s="1" t="s">
        <v>103</v>
      </c>
      <c r="AK55" s="1"/>
      <c r="AL55" s="111" t="s">
        <v>2</v>
      </c>
      <c r="AM55" s="111"/>
      <c r="AN55" s="111" t="s">
        <v>3</v>
      </c>
      <c r="AO55" s="111"/>
      <c r="AP55" s="1" t="s">
        <v>103</v>
      </c>
      <c r="AQ55" s="1"/>
      <c r="AS55" s="1"/>
      <c r="AT55" s="1"/>
      <c r="AV55" s="1" t="s">
        <v>104</v>
      </c>
      <c r="AW55" s="111"/>
      <c r="AY55" s="1" t="s">
        <v>105</v>
      </c>
      <c r="AZ55" s="111"/>
    </row>
    <row r="56" spans="1:71" ht="12.5" x14ac:dyDescent="0.25">
      <c r="A56" s="1"/>
      <c r="B56" s="111" t="s">
        <v>106</v>
      </c>
      <c r="C56" s="111" t="s">
        <v>107</v>
      </c>
      <c r="D56" s="111" t="s">
        <v>106</v>
      </c>
      <c r="E56" s="111" t="s">
        <v>107</v>
      </c>
      <c r="F56" s="1" t="s">
        <v>106</v>
      </c>
      <c r="G56" s="1" t="s">
        <v>107</v>
      </c>
      <c r="H56" s="1" t="s">
        <v>106</v>
      </c>
      <c r="I56" s="111" t="s">
        <v>107</v>
      </c>
      <c r="J56" s="1" t="s">
        <v>106</v>
      </c>
      <c r="K56" s="111" t="s">
        <v>107</v>
      </c>
      <c r="L56" s="1" t="s">
        <v>106</v>
      </c>
      <c r="M56" s="1" t="s">
        <v>107</v>
      </c>
      <c r="N56" s="111" t="s">
        <v>106</v>
      </c>
      <c r="O56" s="111" t="s">
        <v>107</v>
      </c>
      <c r="P56" s="111" t="s">
        <v>106</v>
      </c>
      <c r="Q56" s="111" t="s">
        <v>107</v>
      </c>
      <c r="R56" s="1" t="s">
        <v>106</v>
      </c>
      <c r="S56" s="1" t="s">
        <v>107</v>
      </c>
      <c r="T56" s="111" t="s">
        <v>106</v>
      </c>
      <c r="U56" s="111" t="s">
        <v>107</v>
      </c>
      <c r="V56" s="111" t="s">
        <v>106</v>
      </c>
      <c r="W56" s="111" t="s">
        <v>107</v>
      </c>
      <c r="X56" s="1" t="s">
        <v>106</v>
      </c>
      <c r="Y56" s="1" t="s">
        <v>107</v>
      </c>
      <c r="Z56" s="111" t="s">
        <v>106</v>
      </c>
      <c r="AA56" s="111" t="s">
        <v>107</v>
      </c>
      <c r="AB56" s="111" t="s">
        <v>106</v>
      </c>
      <c r="AC56" s="111" t="s">
        <v>107</v>
      </c>
      <c r="AD56" s="1" t="s">
        <v>106</v>
      </c>
      <c r="AE56" s="1" t="s">
        <v>107</v>
      </c>
      <c r="AF56" s="111" t="s">
        <v>106</v>
      </c>
      <c r="AG56" s="111" t="s">
        <v>107</v>
      </c>
      <c r="AH56" s="111" t="s">
        <v>106</v>
      </c>
      <c r="AI56" s="111" t="s">
        <v>107</v>
      </c>
      <c r="AJ56" s="1" t="s">
        <v>106</v>
      </c>
      <c r="AK56" s="1" t="s">
        <v>107</v>
      </c>
      <c r="AL56" s="111" t="s">
        <v>106</v>
      </c>
      <c r="AM56" s="111" t="s">
        <v>107</v>
      </c>
      <c r="AN56" s="111" t="s">
        <v>106</v>
      </c>
      <c r="AO56" s="111" t="s">
        <v>107</v>
      </c>
      <c r="AP56" s="1" t="s">
        <v>106</v>
      </c>
      <c r="AQ56" s="1" t="s">
        <v>107</v>
      </c>
      <c r="AS56" s="1" t="s">
        <v>106</v>
      </c>
      <c r="AT56" s="1" t="s">
        <v>107</v>
      </c>
      <c r="AW56" s="111"/>
      <c r="AZ56" s="111"/>
    </row>
    <row r="57" spans="1:71" ht="12.5" x14ac:dyDescent="0.25">
      <c r="A57" s="1" t="s">
        <v>4</v>
      </c>
      <c r="B57" s="111">
        <v>18217</v>
      </c>
      <c r="C57" s="111">
        <v>18217</v>
      </c>
      <c r="D57" s="111">
        <v>20892</v>
      </c>
      <c r="E57" s="111">
        <v>20892</v>
      </c>
      <c r="F57" s="1">
        <v>87.2</v>
      </c>
      <c r="G57" s="1">
        <v>87.2</v>
      </c>
      <c r="H57" s="111">
        <v>31211</v>
      </c>
      <c r="I57" s="111">
        <v>31211</v>
      </c>
      <c r="J57" s="111">
        <v>34515</v>
      </c>
      <c r="K57" s="111">
        <v>34515</v>
      </c>
      <c r="L57" s="1">
        <v>90.43</v>
      </c>
      <c r="M57" s="1">
        <v>90.43</v>
      </c>
      <c r="N57" s="111">
        <v>51151</v>
      </c>
      <c r="O57" s="111">
        <v>51151</v>
      </c>
      <c r="P57" s="111">
        <v>59400</v>
      </c>
      <c r="Q57" s="111">
        <v>59400</v>
      </c>
      <c r="R57" s="1">
        <v>86.11</v>
      </c>
      <c r="S57" s="1">
        <v>86.11</v>
      </c>
      <c r="T57" s="111">
        <v>0</v>
      </c>
      <c r="U57" s="111">
        <v>0</v>
      </c>
      <c r="V57" s="111">
        <v>0</v>
      </c>
      <c r="W57" s="111">
        <v>0</v>
      </c>
      <c r="X57" s="1">
        <v>0</v>
      </c>
      <c r="Y57" s="1">
        <v>0</v>
      </c>
      <c r="Z57" s="111">
        <v>100579</v>
      </c>
      <c r="AA57" s="111">
        <v>100579</v>
      </c>
      <c r="AB57" s="111">
        <v>114807</v>
      </c>
      <c r="AC57" s="111">
        <v>114807</v>
      </c>
      <c r="AD57" s="1">
        <v>87.61</v>
      </c>
      <c r="AE57" s="1">
        <v>87.61</v>
      </c>
      <c r="AF57" s="111">
        <v>18217</v>
      </c>
      <c r="AG57" s="111">
        <v>18217</v>
      </c>
      <c r="AH57" s="111">
        <v>20892</v>
      </c>
      <c r="AI57" s="111">
        <v>20892</v>
      </c>
      <c r="AJ57" s="1">
        <v>87.2</v>
      </c>
      <c r="AK57" s="1">
        <v>87.2</v>
      </c>
      <c r="AL57" s="111">
        <v>82362</v>
      </c>
      <c r="AM57" s="111">
        <v>82362</v>
      </c>
      <c r="AN57" s="111">
        <v>93915</v>
      </c>
      <c r="AO57" s="111">
        <v>93915</v>
      </c>
      <c r="AP57" s="1">
        <v>87.7</v>
      </c>
      <c r="AQ57" s="1">
        <v>87.7</v>
      </c>
      <c r="AS57" s="1">
        <v>18.2</v>
      </c>
      <c r="AT57" s="1">
        <v>18.2</v>
      </c>
      <c r="AW57" s="111">
        <v>-100579</v>
      </c>
      <c r="AZ57" s="111">
        <v>-114807</v>
      </c>
    </row>
    <row r="58" spans="1:71" ht="12.5" x14ac:dyDescent="0.25">
      <c r="A58" s="1" t="s">
        <v>5</v>
      </c>
      <c r="B58" s="111">
        <v>18647</v>
      </c>
      <c r="C58" s="111">
        <v>36864</v>
      </c>
      <c r="D58" s="111">
        <v>20653</v>
      </c>
      <c r="E58" s="111">
        <v>41545</v>
      </c>
      <c r="F58" s="1">
        <v>90.29</v>
      </c>
      <c r="G58" s="1">
        <v>88.73</v>
      </c>
      <c r="H58" s="111">
        <v>26552</v>
      </c>
      <c r="I58" s="111">
        <v>57763</v>
      </c>
      <c r="J58" s="111">
        <v>29050</v>
      </c>
      <c r="K58" s="111">
        <v>63565</v>
      </c>
      <c r="L58" s="1">
        <v>91.4</v>
      </c>
      <c r="M58" s="1">
        <v>90.87</v>
      </c>
      <c r="N58" s="111">
        <v>40267</v>
      </c>
      <c r="O58" s="111">
        <v>91419</v>
      </c>
      <c r="P58" s="111">
        <v>46400</v>
      </c>
      <c r="Q58" s="111">
        <v>105800</v>
      </c>
      <c r="R58" s="1">
        <v>86.78</v>
      </c>
      <c r="S58" s="1">
        <v>86.41</v>
      </c>
      <c r="T58" s="111">
        <v>1434</v>
      </c>
      <c r="U58" s="111">
        <v>1434</v>
      </c>
      <c r="V58" s="111">
        <v>1514</v>
      </c>
      <c r="W58" s="111">
        <v>1514</v>
      </c>
      <c r="X58" s="1">
        <v>94.72</v>
      </c>
      <c r="Y58" s="1">
        <v>94.72</v>
      </c>
      <c r="Z58" s="111">
        <v>86901</v>
      </c>
      <c r="AA58" s="111">
        <v>187480</v>
      </c>
      <c r="AB58" s="111">
        <v>97617</v>
      </c>
      <c r="AC58" s="111">
        <v>212424</v>
      </c>
      <c r="AD58" s="1">
        <v>89.02</v>
      </c>
      <c r="AE58" s="1">
        <v>88.26</v>
      </c>
      <c r="AF58" s="111">
        <v>18647</v>
      </c>
      <c r="AG58" s="111">
        <v>36864</v>
      </c>
      <c r="AH58" s="111">
        <v>20653</v>
      </c>
      <c r="AI58" s="111">
        <v>41545</v>
      </c>
      <c r="AJ58" s="1">
        <v>90.29</v>
      </c>
      <c r="AK58" s="1">
        <v>88.73</v>
      </c>
      <c r="AL58" s="111">
        <v>68254</v>
      </c>
      <c r="AM58" s="111">
        <v>150616</v>
      </c>
      <c r="AN58" s="111">
        <v>76964</v>
      </c>
      <c r="AO58" s="111">
        <v>170879</v>
      </c>
      <c r="AP58" s="1">
        <v>88.68</v>
      </c>
      <c r="AQ58" s="1">
        <v>88.14</v>
      </c>
      <c r="AS58" s="1">
        <v>21.16</v>
      </c>
      <c r="AT58" s="1">
        <v>19.559999999999999</v>
      </c>
      <c r="AW58" s="111">
        <v>-86901</v>
      </c>
      <c r="AZ58" s="111">
        <v>-97617</v>
      </c>
    </row>
    <row r="59" spans="1:71" ht="12.5" x14ac:dyDescent="0.25">
      <c r="A59" s="1" t="s">
        <v>6</v>
      </c>
      <c r="B59" s="111">
        <v>10441</v>
      </c>
      <c r="C59" s="111">
        <v>47305</v>
      </c>
      <c r="D59" s="111">
        <v>11537</v>
      </c>
      <c r="E59" s="111">
        <v>53082</v>
      </c>
      <c r="F59" s="1">
        <v>90.5</v>
      </c>
      <c r="G59" s="1">
        <v>89.12</v>
      </c>
      <c r="H59" s="111">
        <v>28605</v>
      </c>
      <c r="I59" s="111">
        <v>86369</v>
      </c>
      <c r="J59" s="111">
        <v>31496</v>
      </c>
      <c r="K59" s="111">
        <v>95061</v>
      </c>
      <c r="L59" s="1">
        <v>90.82</v>
      </c>
      <c r="M59" s="1">
        <v>90.86</v>
      </c>
      <c r="N59" s="111">
        <v>28197</v>
      </c>
      <c r="O59" s="111">
        <v>119616</v>
      </c>
      <c r="P59" s="111">
        <v>32470</v>
      </c>
      <c r="Q59" s="111">
        <v>138270</v>
      </c>
      <c r="R59" s="1">
        <v>86.84</v>
      </c>
      <c r="S59" s="1">
        <v>86.51</v>
      </c>
      <c r="T59" s="111">
        <v>8544</v>
      </c>
      <c r="U59" s="111">
        <v>9978</v>
      </c>
      <c r="V59" s="111">
        <v>8988</v>
      </c>
      <c r="W59" s="111">
        <v>10502</v>
      </c>
      <c r="X59" s="1">
        <v>95.06</v>
      </c>
      <c r="Y59" s="1">
        <v>95.01</v>
      </c>
      <c r="Z59" s="111">
        <v>75788</v>
      </c>
      <c r="AA59" s="111">
        <v>263268</v>
      </c>
      <c r="AB59" s="111">
        <v>84492</v>
      </c>
      <c r="AC59" s="111">
        <v>296915</v>
      </c>
      <c r="AD59" s="1">
        <v>89.7</v>
      </c>
      <c r="AE59" s="1">
        <v>88.67</v>
      </c>
      <c r="AF59" s="111">
        <v>10441</v>
      </c>
      <c r="AG59" s="111">
        <v>47305</v>
      </c>
      <c r="AH59" s="111">
        <v>11537</v>
      </c>
      <c r="AI59" s="111">
        <v>53082</v>
      </c>
      <c r="AJ59" s="1">
        <v>90.5</v>
      </c>
      <c r="AK59" s="1">
        <v>89.12</v>
      </c>
      <c r="AL59" s="111">
        <v>65347</v>
      </c>
      <c r="AM59" s="111">
        <v>215963</v>
      </c>
      <c r="AN59" s="111">
        <v>72955</v>
      </c>
      <c r="AO59" s="111">
        <v>243833</v>
      </c>
      <c r="AP59" s="1">
        <v>89.57</v>
      </c>
      <c r="AQ59" s="1">
        <v>88.57</v>
      </c>
      <c r="AS59" s="1">
        <v>13.65</v>
      </c>
      <c r="AT59" s="1">
        <v>17.88</v>
      </c>
      <c r="AW59" s="111">
        <v>-75788</v>
      </c>
      <c r="AZ59" s="111">
        <v>-84492</v>
      </c>
    </row>
    <row r="60" spans="1:71" ht="12.5" x14ac:dyDescent="0.25">
      <c r="A60" s="1" t="s">
        <v>7</v>
      </c>
      <c r="B60" s="111">
        <v>14730</v>
      </c>
      <c r="C60" s="111">
        <v>62036</v>
      </c>
      <c r="D60" s="111">
        <v>16610</v>
      </c>
      <c r="E60" s="111">
        <v>69692</v>
      </c>
      <c r="F60" s="1">
        <v>88.68</v>
      </c>
      <c r="G60" s="1">
        <v>89.01</v>
      </c>
      <c r="H60" s="111">
        <v>26171</v>
      </c>
      <c r="I60" s="111">
        <v>112540</v>
      </c>
      <c r="J60" s="111">
        <v>29044</v>
      </c>
      <c r="K60" s="111">
        <v>124105</v>
      </c>
      <c r="L60" s="1">
        <v>90.11</v>
      </c>
      <c r="M60" s="1">
        <v>90.68</v>
      </c>
      <c r="N60" s="111">
        <v>34367</v>
      </c>
      <c r="O60" s="111">
        <v>153983</v>
      </c>
      <c r="P60" s="111">
        <v>39743</v>
      </c>
      <c r="Q60" s="111">
        <v>178013</v>
      </c>
      <c r="R60" s="1">
        <v>86.47</v>
      </c>
      <c r="S60" s="1">
        <v>86.5</v>
      </c>
      <c r="T60" s="111">
        <v>0</v>
      </c>
      <c r="U60" s="111">
        <v>9978</v>
      </c>
      <c r="V60" s="111">
        <v>0</v>
      </c>
      <c r="W60" s="111">
        <v>10502</v>
      </c>
      <c r="X60" s="1">
        <v>0</v>
      </c>
      <c r="Y60" s="1">
        <v>95.01</v>
      </c>
      <c r="Z60" s="111">
        <v>75269</v>
      </c>
      <c r="AA60" s="111">
        <v>338536</v>
      </c>
      <c r="AB60" s="111">
        <v>85397</v>
      </c>
      <c r="AC60" s="111">
        <v>382312</v>
      </c>
      <c r="AD60" s="1">
        <v>88.14</v>
      </c>
      <c r="AE60" s="1">
        <v>88.55</v>
      </c>
      <c r="AF60" s="111">
        <v>14730</v>
      </c>
      <c r="AG60" s="111">
        <v>62036</v>
      </c>
      <c r="AH60" s="111">
        <v>16610</v>
      </c>
      <c r="AI60" s="111">
        <v>69692</v>
      </c>
      <c r="AJ60" s="1">
        <v>88.68</v>
      </c>
      <c r="AK60" s="1">
        <v>89.01</v>
      </c>
      <c r="AL60" s="111">
        <v>60538</v>
      </c>
      <c r="AM60" s="111">
        <v>276501</v>
      </c>
      <c r="AN60" s="111">
        <v>68787</v>
      </c>
      <c r="AO60" s="111">
        <v>312621</v>
      </c>
      <c r="AP60" s="1">
        <v>88.01</v>
      </c>
      <c r="AQ60" s="1">
        <v>88.45</v>
      </c>
      <c r="AS60" s="1">
        <v>19.45</v>
      </c>
      <c r="AT60" s="1">
        <v>18.23</v>
      </c>
      <c r="AW60" s="111">
        <v>-75269</v>
      </c>
      <c r="AZ60" s="111">
        <v>-85397</v>
      </c>
    </row>
    <row r="61" spans="1:71" ht="12.5" x14ac:dyDescent="0.25">
      <c r="A61" s="1" t="s">
        <v>8</v>
      </c>
      <c r="B61" s="111">
        <v>20704</v>
      </c>
      <c r="C61" s="111">
        <v>82740</v>
      </c>
      <c r="D61" s="111">
        <v>23533</v>
      </c>
      <c r="E61" s="111">
        <v>93225</v>
      </c>
      <c r="F61" s="1">
        <v>87.98</v>
      </c>
      <c r="G61" s="1">
        <v>88.75</v>
      </c>
      <c r="H61" s="111">
        <v>30592</v>
      </c>
      <c r="I61" s="111">
        <v>143132</v>
      </c>
      <c r="J61" s="111">
        <v>33956</v>
      </c>
      <c r="K61" s="111">
        <v>158061</v>
      </c>
      <c r="L61" s="1">
        <v>90.09</v>
      </c>
      <c r="M61" s="1">
        <v>90.55</v>
      </c>
      <c r="N61" s="111">
        <v>46583</v>
      </c>
      <c r="O61" s="111">
        <v>200566</v>
      </c>
      <c r="P61" s="111">
        <v>53721</v>
      </c>
      <c r="Q61" s="111">
        <v>231734</v>
      </c>
      <c r="R61" s="1">
        <v>86.71</v>
      </c>
      <c r="S61" s="1">
        <v>86.55</v>
      </c>
      <c r="T61" s="111">
        <v>0</v>
      </c>
      <c r="U61" s="111">
        <v>9978</v>
      </c>
      <c r="V61" s="111">
        <v>0</v>
      </c>
      <c r="W61" s="111">
        <v>10502</v>
      </c>
      <c r="X61" s="1">
        <v>0</v>
      </c>
      <c r="Y61" s="1">
        <v>95.01</v>
      </c>
      <c r="Z61" s="111">
        <v>97880</v>
      </c>
      <c r="AA61" s="111">
        <v>436416</v>
      </c>
      <c r="AB61" s="111">
        <v>111210</v>
      </c>
      <c r="AC61" s="111">
        <v>493522</v>
      </c>
      <c r="AD61" s="1">
        <v>88.01</v>
      </c>
      <c r="AE61" s="1">
        <v>88.43</v>
      </c>
      <c r="AF61" s="111">
        <v>20704</v>
      </c>
      <c r="AG61" s="111">
        <v>82740</v>
      </c>
      <c r="AH61" s="111">
        <v>23533</v>
      </c>
      <c r="AI61" s="111">
        <v>93225</v>
      </c>
      <c r="AJ61" s="1">
        <v>87.98</v>
      </c>
      <c r="AK61" s="1">
        <v>88.75</v>
      </c>
      <c r="AL61" s="111">
        <v>77175</v>
      </c>
      <c r="AM61" s="111">
        <v>353676</v>
      </c>
      <c r="AN61" s="111">
        <v>87677</v>
      </c>
      <c r="AO61" s="111">
        <v>400297</v>
      </c>
      <c r="AP61" s="1">
        <v>88.02</v>
      </c>
      <c r="AQ61" s="1">
        <v>88.35</v>
      </c>
      <c r="AS61" s="1">
        <v>21.16</v>
      </c>
      <c r="AT61" s="1">
        <v>18.89</v>
      </c>
      <c r="AW61" s="111">
        <v>-97880</v>
      </c>
      <c r="AZ61" s="111">
        <v>-111210</v>
      </c>
    </row>
    <row r="62" spans="1:71" ht="12.5" x14ac:dyDescent="0.25">
      <c r="A62" s="1" t="s">
        <v>9</v>
      </c>
      <c r="B62" s="111">
        <v>27973</v>
      </c>
      <c r="C62" s="111">
        <v>110713</v>
      </c>
      <c r="D62" s="111">
        <v>47563</v>
      </c>
      <c r="E62" s="111">
        <v>140787</v>
      </c>
      <c r="F62" s="1">
        <v>58.81</v>
      </c>
      <c r="G62" s="1">
        <v>78.64</v>
      </c>
      <c r="H62" s="1">
        <v>0</v>
      </c>
      <c r="I62" s="111">
        <v>143132</v>
      </c>
      <c r="J62" s="1">
        <v>0</v>
      </c>
      <c r="K62" s="111">
        <v>158061</v>
      </c>
      <c r="L62" s="1" t="e">
        <v>#DIV/0!</v>
      </c>
      <c r="M62" s="1">
        <v>90.55</v>
      </c>
      <c r="N62" s="111">
        <v>21141</v>
      </c>
      <c r="O62" s="111">
        <v>221707</v>
      </c>
      <c r="P62" s="111">
        <v>24311</v>
      </c>
      <c r="Q62" s="111">
        <v>256045</v>
      </c>
      <c r="R62" s="1">
        <v>86.96</v>
      </c>
      <c r="S62" s="1">
        <v>86.59</v>
      </c>
      <c r="T62" s="111">
        <v>1817</v>
      </c>
      <c r="U62" s="111">
        <v>11795</v>
      </c>
      <c r="V62" s="111">
        <v>1903</v>
      </c>
      <c r="W62" s="111">
        <v>12405</v>
      </c>
      <c r="X62" s="1">
        <v>95.5</v>
      </c>
      <c r="Y62" s="1">
        <v>95.09</v>
      </c>
      <c r="Z62" s="111">
        <v>50931</v>
      </c>
      <c r="AA62" s="111">
        <v>487347</v>
      </c>
      <c r="AB62" s="111">
        <v>73776</v>
      </c>
      <c r="AC62" s="111">
        <v>567298</v>
      </c>
      <c r="AD62" s="1">
        <v>69.03</v>
      </c>
      <c r="AE62" s="1">
        <v>85.91</v>
      </c>
      <c r="AF62" s="111">
        <v>27973</v>
      </c>
      <c r="AG62" s="111">
        <v>110713</v>
      </c>
      <c r="AH62" s="111">
        <v>47563</v>
      </c>
      <c r="AI62" s="111">
        <v>140787</v>
      </c>
      <c r="AJ62" s="1">
        <v>58.81</v>
      </c>
      <c r="AK62" s="1">
        <v>78.64</v>
      </c>
      <c r="AL62" s="111">
        <v>22958</v>
      </c>
      <c r="AM62" s="111">
        <v>376634</v>
      </c>
      <c r="AN62" s="111">
        <v>26213</v>
      </c>
      <c r="AO62" s="111">
        <v>426511</v>
      </c>
      <c r="AP62" s="1">
        <v>87.58</v>
      </c>
      <c r="AQ62" s="1">
        <v>88.31</v>
      </c>
      <c r="AR62" s="1"/>
      <c r="AS62" s="1">
        <v>64.47</v>
      </c>
      <c r="AT62" s="1">
        <v>24.82</v>
      </c>
      <c r="AW62" s="111">
        <v>-50931</v>
      </c>
      <c r="AZ62" s="111">
        <v>-73776</v>
      </c>
      <c r="BD62" s="1"/>
      <c r="BR62" s="1"/>
    </row>
    <row r="63" spans="1:71" ht="12.5" x14ac:dyDescent="0.25">
      <c r="A63" s="1" t="s">
        <v>10</v>
      </c>
      <c r="B63" s="111">
        <v>1758</v>
      </c>
      <c r="C63" s="111">
        <v>112471</v>
      </c>
      <c r="D63" s="111">
        <v>2056</v>
      </c>
      <c r="E63" s="111">
        <v>142843</v>
      </c>
      <c r="F63" s="1">
        <v>85.54</v>
      </c>
      <c r="G63" s="1">
        <v>78.739999999999995</v>
      </c>
      <c r="H63" s="1">
        <v>0</v>
      </c>
      <c r="I63" s="111">
        <v>143132</v>
      </c>
      <c r="J63" s="1">
        <v>0</v>
      </c>
      <c r="K63" s="111">
        <v>158061</v>
      </c>
      <c r="L63" s="1" t="e">
        <v>#DIV/0!</v>
      </c>
      <c r="M63" s="1">
        <v>90.55</v>
      </c>
      <c r="N63" s="111">
        <v>26948</v>
      </c>
      <c r="O63" s="111">
        <v>248656</v>
      </c>
      <c r="P63" s="111">
        <v>30989</v>
      </c>
      <c r="Q63" s="111">
        <v>287035</v>
      </c>
      <c r="R63" s="1">
        <v>86.96</v>
      </c>
      <c r="S63" s="1">
        <v>86.63</v>
      </c>
      <c r="T63" s="111">
        <v>3223</v>
      </c>
      <c r="U63" s="111">
        <v>15018</v>
      </c>
      <c r="V63" s="111">
        <v>3374</v>
      </c>
      <c r="W63" s="111">
        <v>15779</v>
      </c>
      <c r="X63" s="1">
        <v>95.5</v>
      </c>
      <c r="Y63" s="1">
        <v>95.18</v>
      </c>
      <c r="Z63" s="111">
        <v>31930</v>
      </c>
      <c r="AA63" s="111">
        <v>519276</v>
      </c>
      <c r="AB63" s="111">
        <v>36420</v>
      </c>
      <c r="AC63" s="111">
        <v>603718</v>
      </c>
      <c r="AD63" s="1">
        <v>87.67</v>
      </c>
      <c r="AE63" s="1">
        <v>86.01</v>
      </c>
      <c r="AF63" s="111">
        <v>1758</v>
      </c>
      <c r="AG63" s="111">
        <v>112471</v>
      </c>
      <c r="AH63" s="111">
        <v>2056</v>
      </c>
      <c r="AI63" s="111">
        <v>142843</v>
      </c>
      <c r="AJ63" s="1">
        <v>85.54</v>
      </c>
      <c r="AK63" s="1">
        <v>78.739999999999995</v>
      </c>
      <c r="AL63" s="111">
        <v>30171</v>
      </c>
      <c r="AM63" s="111">
        <v>406805</v>
      </c>
      <c r="AN63" s="111">
        <v>34364</v>
      </c>
      <c r="AO63" s="111">
        <v>460875</v>
      </c>
      <c r="AP63" s="1">
        <v>87.8</v>
      </c>
      <c r="AQ63" s="1">
        <v>88.27</v>
      </c>
      <c r="AR63" s="1"/>
      <c r="AS63" s="1">
        <v>5.64</v>
      </c>
      <c r="AT63" s="1">
        <v>23.66</v>
      </c>
      <c r="AV63" s="1"/>
      <c r="AW63" s="111">
        <v>-31930</v>
      </c>
      <c r="AX63" s="1"/>
      <c r="AZ63" s="111">
        <v>-36420</v>
      </c>
      <c r="BD63" s="1"/>
      <c r="BG63" s="1"/>
      <c r="BJ63" s="1"/>
      <c r="BR63" s="1"/>
    </row>
    <row r="64" spans="1:71" ht="12.5" x14ac:dyDescent="0.25">
      <c r="A64" s="1" t="s">
        <v>11</v>
      </c>
      <c r="B64" s="111">
        <v>1212</v>
      </c>
      <c r="C64" s="111">
        <v>113683</v>
      </c>
      <c r="D64" s="111">
        <v>1365</v>
      </c>
      <c r="E64" s="111">
        <v>144208</v>
      </c>
      <c r="F64" s="1">
        <v>88.83</v>
      </c>
      <c r="G64" s="1">
        <v>78.83</v>
      </c>
      <c r="H64" s="1">
        <v>0</v>
      </c>
      <c r="I64" s="111">
        <v>143132</v>
      </c>
      <c r="J64" s="1">
        <v>0</v>
      </c>
      <c r="K64" s="111">
        <v>158061</v>
      </c>
      <c r="L64" s="1" t="e">
        <v>#DIV/0!</v>
      </c>
      <c r="M64" s="1">
        <v>90.55</v>
      </c>
      <c r="N64" s="111">
        <v>18550</v>
      </c>
      <c r="O64" s="111">
        <v>267205</v>
      </c>
      <c r="P64" s="111">
        <v>21331</v>
      </c>
      <c r="Q64" s="111">
        <v>308366</v>
      </c>
      <c r="R64" s="1">
        <v>86.96</v>
      </c>
      <c r="S64" s="1">
        <v>86.65</v>
      </c>
      <c r="T64" s="111">
        <v>1899</v>
      </c>
      <c r="U64" s="111">
        <v>16917</v>
      </c>
      <c r="V64" s="111">
        <v>1989</v>
      </c>
      <c r="W64" s="111">
        <v>17768</v>
      </c>
      <c r="X64" s="1">
        <v>95.5</v>
      </c>
      <c r="Y64" s="1">
        <v>95.21</v>
      </c>
      <c r="Z64" s="111">
        <v>21661</v>
      </c>
      <c r="AA64" s="111">
        <v>540938</v>
      </c>
      <c r="AB64" s="111">
        <v>24685</v>
      </c>
      <c r="AC64" s="111">
        <v>628403</v>
      </c>
      <c r="AD64" s="1">
        <v>87.75</v>
      </c>
      <c r="AE64" s="1">
        <v>86.08</v>
      </c>
      <c r="AF64" s="111">
        <v>1212</v>
      </c>
      <c r="AG64" s="111">
        <v>113683</v>
      </c>
      <c r="AH64" s="111">
        <v>1365</v>
      </c>
      <c r="AI64" s="111">
        <v>144208</v>
      </c>
      <c r="AJ64" s="1">
        <v>88.83</v>
      </c>
      <c r="AK64" s="1">
        <v>78.83</v>
      </c>
      <c r="AL64" s="111">
        <v>20449</v>
      </c>
      <c r="AM64" s="111">
        <v>427254</v>
      </c>
      <c r="AN64" s="111">
        <v>23320</v>
      </c>
      <c r="AO64" s="111">
        <v>484195</v>
      </c>
      <c r="AP64" s="1">
        <v>87.69</v>
      </c>
      <c r="AQ64" s="1">
        <v>88.24</v>
      </c>
      <c r="AR64" s="1"/>
      <c r="AS64" s="1">
        <v>5.53</v>
      </c>
      <c r="AT64" s="1">
        <v>22.95</v>
      </c>
      <c r="AU64" s="1"/>
      <c r="AV64" s="1"/>
      <c r="AW64" s="111">
        <v>-21661</v>
      </c>
      <c r="AX64" s="1"/>
      <c r="AY64" s="1"/>
      <c r="AZ64" s="111">
        <v>-24685</v>
      </c>
      <c r="BD64" s="1"/>
      <c r="BE64" s="1"/>
      <c r="BR64" s="1"/>
      <c r="BS64" s="1"/>
    </row>
    <row r="65" spans="1:71" ht="12.5" x14ac:dyDescent="0.25">
      <c r="A65" s="1" t="s">
        <v>12</v>
      </c>
      <c r="B65" s="111">
        <v>5740</v>
      </c>
      <c r="C65" s="111">
        <v>119424</v>
      </c>
      <c r="D65" s="111">
        <v>6194</v>
      </c>
      <c r="E65" s="111">
        <v>150402</v>
      </c>
      <c r="F65" s="1">
        <v>92.67</v>
      </c>
      <c r="G65" s="1">
        <v>79.400000000000006</v>
      </c>
      <c r="H65" s="1">
        <v>0</v>
      </c>
      <c r="I65" s="111">
        <v>143132</v>
      </c>
      <c r="J65" s="1">
        <v>0</v>
      </c>
      <c r="K65" s="111">
        <v>158061</v>
      </c>
      <c r="L65" s="1" t="e">
        <v>#DIV/0!</v>
      </c>
      <c r="M65" s="1">
        <v>90.55</v>
      </c>
      <c r="N65" s="111">
        <v>20950</v>
      </c>
      <c r="O65" s="111">
        <v>288155</v>
      </c>
      <c r="P65" s="111">
        <v>24091</v>
      </c>
      <c r="Q65" s="111">
        <v>332457</v>
      </c>
      <c r="R65" s="1">
        <v>86.96</v>
      </c>
      <c r="S65" s="1">
        <v>86.67</v>
      </c>
      <c r="T65" s="111">
        <v>31768</v>
      </c>
      <c r="U65" s="111">
        <v>48685</v>
      </c>
      <c r="V65" s="111">
        <v>33265</v>
      </c>
      <c r="W65" s="111">
        <v>51033</v>
      </c>
      <c r="X65" s="1">
        <v>95.5</v>
      </c>
      <c r="Y65" s="1">
        <v>95.4</v>
      </c>
      <c r="Z65" s="111">
        <v>58458</v>
      </c>
      <c r="AA65" s="111">
        <v>599396</v>
      </c>
      <c r="AB65" s="111">
        <v>63551</v>
      </c>
      <c r="AC65" s="111">
        <v>691953</v>
      </c>
      <c r="AD65" s="1">
        <v>91.99</v>
      </c>
      <c r="AE65" s="1">
        <v>86.62</v>
      </c>
      <c r="AF65" s="111">
        <v>5740</v>
      </c>
      <c r="AG65" s="111">
        <v>119424</v>
      </c>
      <c r="AH65" s="111">
        <v>6194</v>
      </c>
      <c r="AI65" s="111">
        <v>150402</v>
      </c>
      <c r="AJ65" s="1">
        <v>92.67</v>
      </c>
      <c r="AK65" s="1">
        <v>79.400000000000006</v>
      </c>
      <c r="AL65" s="111">
        <v>52718</v>
      </c>
      <c r="AM65" s="111">
        <v>479972</v>
      </c>
      <c r="AN65" s="111">
        <v>57356</v>
      </c>
      <c r="AO65" s="111">
        <v>541551</v>
      </c>
      <c r="AP65" s="1">
        <v>91.91</v>
      </c>
      <c r="AQ65" s="1">
        <v>88.63</v>
      </c>
      <c r="AR65" s="111"/>
      <c r="AS65" s="111">
        <v>9.75</v>
      </c>
      <c r="AT65" s="111">
        <v>21.74</v>
      </c>
      <c r="AU65" s="111"/>
      <c r="AV65" s="1"/>
      <c r="AW65" s="111">
        <v>-58458</v>
      </c>
      <c r="AX65" s="1"/>
      <c r="AY65" s="1"/>
      <c r="AZ65" s="111">
        <v>-63551</v>
      </c>
      <c r="BD65" s="1"/>
      <c r="BE65" s="1"/>
      <c r="BH65" s="111"/>
      <c r="BK65" s="111"/>
      <c r="BR65" s="111"/>
      <c r="BS65" s="1"/>
    </row>
    <row r="66" spans="1:71" ht="12.5" x14ac:dyDescent="0.25">
      <c r="A66" s="1" t="s">
        <v>13</v>
      </c>
      <c r="B66" s="111">
        <v>15410</v>
      </c>
      <c r="C66" s="111">
        <v>134834</v>
      </c>
      <c r="D66" s="111">
        <v>22533</v>
      </c>
      <c r="E66" s="111">
        <v>172935</v>
      </c>
      <c r="F66" s="1">
        <v>68.39</v>
      </c>
      <c r="G66" s="1">
        <v>77.97</v>
      </c>
      <c r="H66" s="1">
        <v>0</v>
      </c>
      <c r="I66" s="111">
        <v>143132</v>
      </c>
      <c r="J66" s="1">
        <v>0</v>
      </c>
      <c r="K66" s="111">
        <v>158061</v>
      </c>
      <c r="L66" s="1" t="e">
        <v>#DIV/0!</v>
      </c>
      <c r="M66" s="1">
        <v>90.55</v>
      </c>
      <c r="N66" s="111">
        <v>30835</v>
      </c>
      <c r="O66" s="111">
        <v>318990</v>
      </c>
      <c r="P66" s="111">
        <v>35459</v>
      </c>
      <c r="Q66" s="111">
        <v>367916</v>
      </c>
      <c r="R66" s="1">
        <v>86.96</v>
      </c>
      <c r="S66" s="1">
        <v>86.7</v>
      </c>
      <c r="T66" s="111">
        <v>32271</v>
      </c>
      <c r="U66" s="111">
        <v>80957</v>
      </c>
      <c r="V66" s="111">
        <v>33792</v>
      </c>
      <c r="W66" s="111">
        <v>84825</v>
      </c>
      <c r="X66" s="1">
        <v>95.5</v>
      </c>
      <c r="Y66" s="1">
        <v>95.44</v>
      </c>
      <c r="Z66" s="111">
        <v>78517</v>
      </c>
      <c r="AA66" s="111">
        <v>677912</v>
      </c>
      <c r="AB66" s="111">
        <v>91784</v>
      </c>
      <c r="AC66" s="111">
        <v>783737</v>
      </c>
      <c r="AD66" s="1">
        <v>85.55</v>
      </c>
      <c r="AE66" s="1">
        <v>86.5</v>
      </c>
      <c r="AF66" s="111">
        <v>15410</v>
      </c>
      <c r="AG66" s="111">
        <v>134834</v>
      </c>
      <c r="AH66" s="111">
        <v>22533</v>
      </c>
      <c r="AI66" s="111">
        <v>172935</v>
      </c>
      <c r="AJ66" s="1">
        <v>68.39</v>
      </c>
      <c r="AK66" s="1">
        <v>77.97</v>
      </c>
      <c r="AL66" s="111">
        <v>63106</v>
      </c>
      <c r="AM66" s="111">
        <v>543078</v>
      </c>
      <c r="AN66" s="111">
        <v>69251</v>
      </c>
      <c r="AO66" s="111">
        <v>610802</v>
      </c>
      <c r="AP66" s="1">
        <v>91.13</v>
      </c>
      <c r="AQ66" s="1">
        <v>88.91</v>
      </c>
      <c r="AR66" s="111"/>
      <c r="AS66" s="111">
        <v>24.55</v>
      </c>
      <c r="AT66" s="111">
        <v>22.07</v>
      </c>
      <c r="AU66" s="111"/>
      <c r="AV66" s="1"/>
      <c r="AW66" s="111">
        <v>-78517</v>
      </c>
      <c r="AX66" s="1"/>
      <c r="AY66" s="1"/>
      <c r="AZ66" s="111">
        <v>-91784</v>
      </c>
      <c r="BD66" s="1"/>
      <c r="BE66" s="1"/>
      <c r="BH66" s="111"/>
      <c r="BK66" s="111"/>
      <c r="BR66" s="111"/>
      <c r="BS66" s="1"/>
    </row>
    <row r="67" spans="1:71" ht="12.5" x14ac:dyDescent="0.25">
      <c r="A67" s="1" t="s">
        <v>14</v>
      </c>
      <c r="B67" s="111">
        <v>32837</v>
      </c>
      <c r="C67" s="111">
        <v>167672</v>
      </c>
      <c r="D67" s="111">
        <v>52742</v>
      </c>
      <c r="E67" s="111">
        <v>225677</v>
      </c>
      <c r="F67" s="1">
        <v>62.26</v>
      </c>
      <c r="G67" s="1">
        <v>74.3</v>
      </c>
      <c r="H67" s="1">
        <v>0</v>
      </c>
      <c r="I67" s="111">
        <v>143132</v>
      </c>
      <c r="J67" s="1">
        <v>0</v>
      </c>
      <c r="K67" s="111">
        <v>158061</v>
      </c>
      <c r="L67" s="1" t="e">
        <v>#DIV/0!</v>
      </c>
      <c r="M67" s="1">
        <v>90.55</v>
      </c>
      <c r="N67" s="111">
        <v>25266</v>
      </c>
      <c r="O67" s="111">
        <v>344255</v>
      </c>
      <c r="P67" s="111">
        <v>29054</v>
      </c>
      <c r="Q67" s="111">
        <v>396970</v>
      </c>
      <c r="R67" s="1">
        <v>86.96</v>
      </c>
      <c r="S67" s="1">
        <v>86.72</v>
      </c>
      <c r="T67" s="111">
        <v>32240</v>
      </c>
      <c r="U67" s="111">
        <v>113197</v>
      </c>
      <c r="V67" s="111">
        <v>33759</v>
      </c>
      <c r="W67" s="111">
        <v>118584</v>
      </c>
      <c r="X67" s="1">
        <v>95.5</v>
      </c>
      <c r="Y67" s="1">
        <v>95.46</v>
      </c>
      <c r="Z67" s="111">
        <v>90343</v>
      </c>
      <c r="AA67" s="111">
        <v>768256</v>
      </c>
      <c r="AB67" s="111">
        <v>115555</v>
      </c>
      <c r="AC67" s="111">
        <v>899292</v>
      </c>
      <c r="AD67" s="1">
        <v>78.180000000000007</v>
      </c>
      <c r="AE67" s="1">
        <v>85.43</v>
      </c>
      <c r="AF67" s="111">
        <v>32837</v>
      </c>
      <c r="AG67" s="111">
        <v>167672</v>
      </c>
      <c r="AH67" s="111">
        <v>52742</v>
      </c>
      <c r="AI67" s="111">
        <v>225677</v>
      </c>
      <c r="AJ67" s="1">
        <v>62.26</v>
      </c>
      <c r="AK67" s="1">
        <v>74.3</v>
      </c>
      <c r="AL67" s="111">
        <v>57506</v>
      </c>
      <c r="AM67" s="111">
        <v>600584</v>
      </c>
      <c r="AN67" s="111">
        <v>62814</v>
      </c>
      <c r="AO67" s="111">
        <v>673615</v>
      </c>
      <c r="AP67" s="1">
        <v>91.55</v>
      </c>
      <c r="AQ67" s="1">
        <v>89.16</v>
      </c>
      <c r="AR67" s="111"/>
      <c r="AS67" s="111">
        <v>45.64</v>
      </c>
      <c r="AT67" s="111">
        <v>25.09</v>
      </c>
      <c r="AU67" s="111"/>
      <c r="AV67" s="1"/>
      <c r="AW67" s="111">
        <v>-90343</v>
      </c>
      <c r="AX67" s="1"/>
      <c r="AY67" s="1"/>
      <c r="AZ67" s="111">
        <v>-115555</v>
      </c>
      <c r="BD67" s="1"/>
      <c r="BE67" s="1"/>
      <c r="BH67" s="111"/>
      <c r="BK67" s="111"/>
    </row>
    <row r="68" spans="1:71" ht="12.5" x14ac:dyDescent="0.25">
      <c r="A68" s="1" t="s">
        <v>15</v>
      </c>
      <c r="B68" s="111">
        <v>9450</v>
      </c>
      <c r="C68" s="111">
        <v>177122</v>
      </c>
      <c r="D68" s="111">
        <v>12595</v>
      </c>
      <c r="E68" s="111">
        <v>238272</v>
      </c>
      <c r="F68" s="1">
        <v>75.03</v>
      </c>
      <c r="G68" s="1">
        <v>74.34</v>
      </c>
      <c r="H68" s="1">
        <v>0</v>
      </c>
      <c r="I68" s="111">
        <v>143132</v>
      </c>
      <c r="J68" s="1">
        <v>0</v>
      </c>
      <c r="K68" s="111">
        <v>158061</v>
      </c>
      <c r="L68" s="1" t="e">
        <v>#DIV/0!</v>
      </c>
      <c r="M68" s="1">
        <v>90.55</v>
      </c>
      <c r="N68" s="111">
        <v>17424</v>
      </c>
      <c r="O68" s="111">
        <v>361680</v>
      </c>
      <c r="P68" s="111">
        <v>20037</v>
      </c>
      <c r="Q68" s="111">
        <v>417007</v>
      </c>
      <c r="R68" s="1">
        <v>86.96</v>
      </c>
      <c r="S68" s="1">
        <v>86.73</v>
      </c>
      <c r="T68" s="111">
        <v>30618</v>
      </c>
      <c r="U68" s="111">
        <v>143815</v>
      </c>
      <c r="V68" s="111">
        <v>32060</v>
      </c>
      <c r="W68" s="111">
        <v>150645</v>
      </c>
      <c r="X68" s="1">
        <v>95.5</v>
      </c>
      <c r="Y68" s="1">
        <v>95.47</v>
      </c>
      <c r="Z68" s="111">
        <v>57492</v>
      </c>
      <c r="AA68" s="111">
        <v>825747</v>
      </c>
      <c r="AB68" s="111">
        <v>64692</v>
      </c>
      <c r="AC68" s="111">
        <v>963985</v>
      </c>
      <c r="AD68" s="1">
        <v>88.87</v>
      </c>
      <c r="AE68" s="1">
        <v>85.66</v>
      </c>
      <c r="AF68" s="111">
        <v>9450</v>
      </c>
      <c r="AG68" s="111">
        <v>177122</v>
      </c>
      <c r="AH68" s="111">
        <v>12595</v>
      </c>
      <c r="AI68" s="111">
        <v>238272</v>
      </c>
      <c r="AJ68" s="1">
        <v>75.03</v>
      </c>
      <c r="AK68" s="1">
        <v>74.34</v>
      </c>
      <c r="AL68" s="111">
        <v>48042</v>
      </c>
      <c r="AM68" s="111">
        <v>648626</v>
      </c>
      <c r="AN68" s="111">
        <v>52098</v>
      </c>
      <c r="AO68" s="111">
        <v>725713</v>
      </c>
      <c r="AP68" s="1">
        <v>92.22</v>
      </c>
      <c r="AQ68" s="1">
        <v>89.38</v>
      </c>
      <c r="AR68" s="111"/>
      <c r="AS68" s="111">
        <v>19.47</v>
      </c>
      <c r="AT68" s="111">
        <v>24.72</v>
      </c>
      <c r="AU68" s="111"/>
      <c r="AV68" s="1"/>
      <c r="AW68" s="111">
        <v>-57492</v>
      </c>
      <c r="AX68" s="1"/>
      <c r="AY68" s="1"/>
      <c r="AZ68" s="111">
        <v>-64692</v>
      </c>
      <c r="BD68" s="1"/>
      <c r="BE68" s="1"/>
      <c r="BH68" s="111"/>
      <c r="BK68" s="111"/>
    </row>
    <row r="69" spans="1:71" ht="12.5" x14ac:dyDescent="0.25">
      <c r="A69" s="1"/>
      <c r="B69" s="111"/>
      <c r="C69" s="111"/>
      <c r="D69" s="111"/>
      <c r="E69" s="112">
        <v>0.25</v>
      </c>
      <c r="F69" s="1"/>
      <c r="G69" s="1"/>
      <c r="H69" s="1"/>
      <c r="I69" s="111"/>
      <c r="J69" s="1"/>
      <c r="K69" s="112">
        <v>0.16</v>
      </c>
      <c r="L69" s="1"/>
      <c r="M69" s="1"/>
      <c r="N69" s="111"/>
      <c r="O69" s="111"/>
      <c r="P69" s="111"/>
      <c r="Q69" s="112">
        <v>0.43</v>
      </c>
      <c r="R69" s="1"/>
      <c r="S69" s="1"/>
      <c r="T69" s="1"/>
      <c r="U69" s="111"/>
      <c r="V69" s="1"/>
      <c r="W69" s="112">
        <v>0.16</v>
      </c>
      <c r="X69" s="1"/>
      <c r="Y69" s="1"/>
      <c r="Z69" s="111"/>
      <c r="AA69" s="111"/>
      <c r="AB69" s="111"/>
      <c r="AC69" s="111"/>
      <c r="AD69" s="1"/>
      <c r="AE69" s="1"/>
      <c r="AF69" s="111"/>
      <c r="AG69" s="111"/>
      <c r="AH69" s="111"/>
      <c r="AI69" s="111"/>
      <c r="AJ69" s="1"/>
      <c r="AK69" s="1"/>
      <c r="AL69" s="111"/>
      <c r="AM69" s="111"/>
      <c r="AN69" s="111"/>
      <c r="AO69" s="111"/>
      <c r="AP69" s="1"/>
      <c r="AQ69" s="1"/>
      <c r="AR69" s="111"/>
      <c r="AS69" s="111"/>
      <c r="AT69" s="111"/>
      <c r="AU69" s="111"/>
      <c r="AV69" s="1"/>
      <c r="AW69" s="1"/>
      <c r="AX69" s="1"/>
      <c r="AY69" s="1"/>
      <c r="BD69" s="1"/>
      <c r="BE69" s="1"/>
      <c r="BH69" s="111"/>
      <c r="BK69" s="111"/>
    </row>
    <row r="70" spans="1:71" ht="12.5" x14ac:dyDescent="0.25">
      <c r="A70" s="1"/>
      <c r="B70" s="111"/>
      <c r="C70" s="111"/>
      <c r="D70" s="111"/>
      <c r="E70" s="111"/>
      <c r="F70" s="1"/>
      <c r="G70" s="1"/>
      <c r="H70" s="1"/>
      <c r="I70" s="111"/>
      <c r="J70" s="1"/>
      <c r="K70" s="111"/>
      <c r="L70" s="1"/>
      <c r="M70" s="1"/>
      <c r="N70" s="111"/>
      <c r="O70" s="111"/>
      <c r="P70" s="111"/>
      <c r="Q70" s="111"/>
      <c r="R70" s="1"/>
      <c r="S70" s="1"/>
      <c r="T70" s="1"/>
      <c r="U70" s="111"/>
      <c r="V70" s="1"/>
      <c r="W70" s="111"/>
      <c r="X70" s="1"/>
      <c r="Y70" s="1"/>
      <c r="Z70" s="111"/>
      <c r="AA70" s="111"/>
      <c r="AB70" s="111"/>
      <c r="AC70" s="111"/>
      <c r="AD70" s="1"/>
      <c r="AE70" s="1"/>
      <c r="AF70" s="111"/>
      <c r="AG70" s="111"/>
      <c r="AH70" s="111"/>
      <c r="AI70" s="111"/>
      <c r="AJ70" s="1"/>
      <c r="AK70" s="1"/>
      <c r="AL70" s="111"/>
      <c r="AM70" s="111"/>
      <c r="AN70" s="111"/>
      <c r="AO70" s="111"/>
      <c r="AP70" s="1"/>
      <c r="AQ70" s="1"/>
      <c r="AR70" s="111"/>
      <c r="AS70" s="111"/>
      <c r="AT70" s="111"/>
      <c r="AU70" s="111"/>
      <c r="AV70" s="1"/>
      <c r="AW70" s="1"/>
      <c r="AX70" s="1"/>
      <c r="AY70" s="1"/>
      <c r="BD70" s="1"/>
      <c r="BE70" s="1"/>
      <c r="BH70" s="111"/>
      <c r="BK70" s="111"/>
    </row>
    <row r="71" spans="1:71" ht="12.5" x14ac:dyDescent="0.25">
      <c r="A71" s="1" t="s">
        <v>170</v>
      </c>
      <c r="B71" s="111"/>
      <c r="C71" s="111"/>
      <c r="D71" s="111"/>
      <c r="E71" s="111"/>
      <c r="F71" s="1"/>
      <c r="G71" s="1"/>
      <c r="H71" s="1"/>
      <c r="I71" s="111"/>
      <c r="J71" s="1"/>
      <c r="K71" s="111"/>
      <c r="L71" s="1"/>
      <c r="M71" s="1"/>
      <c r="N71" s="111" t="s">
        <v>157</v>
      </c>
      <c r="O71" s="111"/>
      <c r="P71" s="111"/>
      <c r="Q71" s="111"/>
      <c r="R71" s="1"/>
      <c r="S71" s="1"/>
      <c r="T71" s="1" t="s">
        <v>122</v>
      </c>
      <c r="U71" s="111"/>
      <c r="V71" s="1"/>
      <c r="W71" s="111"/>
      <c r="X71" s="1"/>
      <c r="Y71" s="1"/>
      <c r="Z71" s="111" t="s">
        <v>95</v>
      </c>
      <c r="AA71" s="111"/>
      <c r="AB71" s="111"/>
      <c r="AC71" s="111"/>
      <c r="AD71" s="1"/>
      <c r="AE71" s="1"/>
      <c r="AF71" s="111" t="s">
        <v>116</v>
      </c>
      <c r="AG71" s="111"/>
      <c r="AH71" s="111"/>
      <c r="AI71" s="111"/>
      <c r="AJ71" s="1"/>
      <c r="AK71" s="1"/>
      <c r="AL71" s="111" t="s">
        <v>123</v>
      </c>
      <c r="AM71" s="111"/>
      <c r="AN71" s="111"/>
      <c r="AO71" s="111"/>
      <c r="AP71" s="1"/>
      <c r="AQ71" s="1"/>
      <c r="AR71" s="111" t="s">
        <v>124</v>
      </c>
      <c r="AS71" s="111"/>
      <c r="AT71" s="111"/>
      <c r="AU71" s="111"/>
      <c r="AV71" s="1"/>
      <c r="AW71" s="1"/>
      <c r="AX71" s="1"/>
      <c r="AY71" s="1"/>
      <c r="BD71" s="1" t="s">
        <v>101</v>
      </c>
      <c r="BE71" s="1"/>
      <c r="BH71" s="111"/>
      <c r="BK71" s="111"/>
      <c r="BR71" s="1" t="s">
        <v>125</v>
      </c>
    </row>
    <row r="72" spans="1:71" ht="12.5" x14ac:dyDescent="0.25">
      <c r="A72" s="1" t="s">
        <v>102</v>
      </c>
      <c r="B72" s="111" t="s">
        <v>2</v>
      </c>
      <c r="C72" s="111"/>
      <c r="D72" s="111" t="s">
        <v>3</v>
      </c>
      <c r="E72" s="111"/>
      <c r="F72" s="1" t="s">
        <v>103</v>
      </c>
      <c r="G72" s="1"/>
      <c r="H72" s="1" t="s">
        <v>2</v>
      </c>
      <c r="I72" s="111"/>
      <c r="J72" s="1" t="s">
        <v>3</v>
      </c>
      <c r="K72" s="111"/>
      <c r="L72" s="1" t="s">
        <v>103</v>
      </c>
      <c r="M72" s="1"/>
      <c r="N72" s="111" t="s">
        <v>2</v>
      </c>
      <c r="O72" s="111"/>
      <c r="P72" s="111" t="s">
        <v>3</v>
      </c>
      <c r="Q72" s="111"/>
      <c r="R72" s="1" t="s">
        <v>103</v>
      </c>
      <c r="S72" s="1"/>
      <c r="T72" s="1" t="s">
        <v>2</v>
      </c>
      <c r="U72" s="111"/>
      <c r="V72" s="1" t="s">
        <v>3</v>
      </c>
      <c r="W72" s="111"/>
      <c r="X72" s="1" t="s">
        <v>103</v>
      </c>
      <c r="Y72" s="1"/>
      <c r="Z72" s="111" t="s">
        <v>2</v>
      </c>
      <c r="AA72" s="111"/>
      <c r="AB72" s="111" t="s">
        <v>3</v>
      </c>
      <c r="AC72" s="111"/>
      <c r="AD72" s="1" t="s">
        <v>103</v>
      </c>
      <c r="AE72" s="1"/>
      <c r="AF72" s="111" t="s">
        <v>2</v>
      </c>
      <c r="AG72" s="111"/>
      <c r="AH72" s="111" t="s">
        <v>3</v>
      </c>
      <c r="AI72" s="111"/>
      <c r="AJ72" s="1" t="s">
        <v>103</v>
      </c>
      <c r="AK72" s="1"/>
      <c r="AL72" s="111" t="s">
        <v>2</v>
      </c>
      <c r="AM72" s="111"/>
      <c r="AN72" s="111" t="s">
        <v>3</v>
      </c>
      <c r="AO72" s="111"/>
      <c r="AP72" s="1" t="s">
        <v>103</v>
      </c>
      <c r="AQ72" s="1"/>
      <c r="AR72" s="111" t="s">
        <v>2</v>
      </c>
      <c r="AS72" s="111"/>
      <c r="AT72" s="111" t="s">
        <v>3</v>
      </c>
      <c r="AU72" s="111"/>
      <c r="AV72" s="1" t="s">
        <v>103</v>
      </c>
      <c r="AW72" s="1"/>
      <c r="AX72" s="1" t="s">
        <v>126</v>
      </c>
      <c r="AY72" s="1"/>
      <c r="BD72" s="1">
        <v>100</v>
      </c>
      <c r="BE72" s="1"/>
      <c r="BG72" s="1" t="s">
        <v>104</v>
      </c>
      <c r="BH72" s="111"/>
      <c r="BJ72" s="1" t="s">
        <v>105</v>
      </c>
      <c r="BK72" s="111"/>
      <c r="BR72" s="1" t="s">
        <v>127</v>
      </c>
    </row>
    <row r="73" spans="1:71" ht="12.5" x14ac:dyDescent="0.25">
      <c r="A73" s="1"/>
      <c r="B73" s="111" t="s">
        <v>106</v>
      </c>
      <c r="C73" s="111" t="s">
        <v>107</v>
      </c>
      <c r="D73" s="111" t="s">
        <v>106</v>
      </c>
      <c r="E73" s="111" t="s">
        <v>107</v>
      </c>
      <c r="F73" s="1" t="s">
        <v>106</v>
      </c>
      <c r="G73" s="1" t="s">
        <v>107</v>
      </c>
      <c r="H73" s="1" t="s">
        <v>106</v>
      </c>
      <c r="I73" s="111" t="s">
        <v>107</v>
      </c>
      <c r="J73" s="1" t="s">
        <v>106</v>
      </c>
      <c r="K73" s="111" t="s">
        <v>107</v>
      </c>
      <c r="L73" s="1" t="s">
        <v>106</v>
      </c>
      <c r="M73" s="1" t="s">
        <v>107</v>
      </c>
      <c r="N73" s="111" t="s">
        <v>106</v>
      </c>
      <c r="O73" s="111" t="s">
        <v>107</v>
      </c>
      <c r="P73" s="111" t="s">
        <v>106</v>
      </c>
      <c r="Q73" s="111" t="s">
        <v>107</v>
      </c>
      <c r="R73" s="1" t="s">
        <v>106</v>
      </c>
      <c r="S73" s="1" t="s">
        <v>107</v>
      </c>
      <c r="T73" s="1" t="s">
        <v>106</v>
      </c>
      <c r="U73" s="111" t="s">
        <v>107</v>
      </c>
      <c r="V73" s="1" t="s">
        <v>106</v>
      </c>
      <c r="W73" s="111" t="s">
        <v>107</v>
      </c>
      <c r="X73" s="1" t="s">
        <v>106</v>
      </c>
      <c r="Y73" s="1" t="s">
        <v>107</v>
      </c>
      <c r="Z73" s="111" t="s">
        <v>106</v>
      </c>
      <c r="AA73" s="111" t="s">
        <v>107</v>
      </c>
      <c r="AB73" s="111" t="s">
        <v>106</v>
      </c>
      <c r="AC73" s="111" t="s">
        <v>107</v>
      </c>
      <c r="AD73" s="1" t="s">
        <v>106</v>
      </c>
      <c r="AE73" s="1" t="s">
        <v>107</v>
      </c>
      <c r="AF73" s="111" t="s">
        <v>106</v>
      </c>
      <c r="AG73" s="111" t="s">
        <v>107</v>
      </c>
      <c r="AH73" s="111" t="s">
        <v>106</v>
      </c>
      <c r="AI73" s="111" t="s">
        <v>107</v>
      </c>
      <c r="AJ73" s="1" t="s">
        <v>106</v>
      </c>
      <c r="AK73" s="1" t="s">
        <v>107</v>
      </c>
      <c r="AL73" s="111" t="s">
        <v>106</v>
      </c>
      <c r="AM73" s="111" t="s">
        <v>107</v>
      </c>
      <c r="AN73" s="111" t="s">
        <v>106</v>
      </c>
      <c r="AO73" s="111" t="s">
        <v>107</v>
      </c>
      <c r="AP73" s="1" t="s">
        <v>106</v>
      </c>
      <c r="AQ73" s="1" t="s">
        <v>107</v>
      </c>
      <c r="AR73" s="111" t="s">
        <v>106</v>
      </c>
      <c r="AS73" s="111" t="s">
        <v>107</v>
      </c>
      <c r="AT73" s="111" t="s">
        <v>106</v>
      </c>
      <c r="AU73" s="111" t="s">
        <v>107</v>
      </c>
      <c r="AV73" s="1" t="s">
        <v>106</v>
      </c>
      <c r="AW73" s="1" t="s">
        <v>107</v>
      </c>
      <c r="AX73" s="1" t="s">
        <v>128</v>
      </c>
      <c r="AY73" s="1" t="s">
        <v>129</v>
      </c>
      <c r="BD73" s="1" t="s">
        <v>106</v>
      </c>
      <c r="BE73" s="1" t="s">
        <v>107</v>
      </c>
      <c r="BH73" s="111"/>
      <c r="BK73" s="111"/>
      <c r="BR73" s="1" t="s">
        <v>130</v>
      </c>
      <c r="BS73" s="1" t="s">
        <v>129</v>
      </c>
    </row>
    <row r="74" spans="1:71" ht="12.5" x14ac:dyDescent="0.25">
      <c r="A74" s="1" t="s">
        <v>4</v>
      </c>
      <c r="B74" s="111">
        <v>38661</v>
      </c>
      <c r="C74" s="111">
        <v>38661</v>
      </c>
      <c r="D74" s="111">
        <v>66156</v>
      </c>
      <c r="E74" s="111">
        <v>66156</v>
      </c>
      <c r="F74" s="1">
        <v>58.44</v>
      </c>
      <c r="G74" s="1">
        <v>58.44</v>
      </c>
      <c r="H74" s="111"/>
      <c r="I74" s="111">
        <v>0</v>
      </c>
      <c r="J74" s="111"/>
      <c r="K74" s="111">
        <v>0</v>
      </c>
      <c r="L74" s="1" t="e">
        <v>#DIV/0!</v>
      </c>
      <c r="M74" s="1" t="e">
        <v>#DIV/0!</v>
      </c>
      <c r="N74" s="111">
        <v>38661</v>
      </c>
      <c r="O74" s="111">
        <v>38661</v>
      </c>
      <c r="P74" s="111">
        <v>66156</v>
      </c>
      <c r="Q74" s="111">
        <v>66156</v>
      </c>
      <c r="R74" s="1">
        <v>58.44</v>
      </c>
      <c r="S74" s="1">
        <v>58.44</v>
      </c>
      <c r="T74" s="111">
        <v>2909</v>
      </c>
      <c r="U74" s="111">
        <v>2909</v>
      </c>
      <c r="V74" s="111">
        <v>3063</v>
      </c>
      <c r="W74" s="111">
        <v>3063</v>
      </c>
      <c r="X74" s="1">
        <v>94.96</v>
      </c>
      <c r="Y74" s="1">
        <v>94.96</v>
      </c>
      <c r="Z74" s="1">
        <v>813</v>
      </c>
      <c r="AA74" s="1">
        <v>813</v>
      </c>
      <c r="AB74" s="1">
        <v>934</v>
      </c>
      <c r="AC74" s="1">
        <v>934</v>
      </c>
      <c r="AD74" s="1">
        <v>86.98</v>
      </c>
      <c r="AE74" s="1">
        <v>86.98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11">
        <v>42383</v>
      </c>
      <c r="AM74" s="111">
        <v>42383</v>
      </c>
      <c r="AN74" s="111">
        <v>70153</v>
      </c>
      <c r="AO74" s="111">
        <v>70153</v>
      </c>
      <c r="AP74" s="1">
        <v>60.41</v>
      </c>
      <c r="AQ74" s="1">
        <v>60.41</v>
      </c>
      <c r="AR74" s="111">
        <v>142962</v>
      </c>
      <c r="AS74" s="111">
        <v>142962</v>
      </c>
      <c r="AT74" s="111">
        <v>184960</v>
      </c>
      <c r="AU74" s="111">
        <v>184960</v>
      </c>
      <c r="AV74" s="1">
        <v>77.290000000000006</v>
      </c>
      <c r="AW74" s="1">
        <v>77.290000000000006</v>
      </c>
      <c r="AX74" s="1">
        <v>0</v>
      </c>
      <c r="AY74" s="1">
        <v>0</v>
      </c>
      <c r="BD74" s="1">
        <v>94.3</v>
      </c>
      <c r="BE74" s="1">
        <v>94.3</v>
      </c>
      <c r="BH74" s="111">
        <v>42383</v>
      </c>
      <c r="BK74" s="111">
        <v>-70153</v>
      </c>
      <c r="BR74" s="111">
        <v>-38661</v>
      </c>
      <c r="BS74" s="1" t="e">
        <v>#REF!</v>
      </c>
    </row>
    <row r="75" spans="1:71" ht="12.5" x14ac:dyDescent="0.25">
      <c r="A75" s="1" t="s">
        <v>5</v>
      </c>
      <c r="B75" s="111">
        <v>39101</v>
      </c>
      <c r="C75" s="111">
        <v>77762</v>
      </c>
      <c r="D75" s="111">
        <v>67357</v>
      </c>
      <c r="E75" s="111">
        <v>133513</v>
      </c>
      <c r="F75" s="1">
        <v>58.05</v>
      </c>
      <c r="G75" s="1">
        <v>58.24</v>
      </c>
      <c r="H75" s="111"/>
      <c r="I75" s="111">
        <v>0</v>
      </c>
      <c r="J75" s="111"/>
      <c r="K75" s="111">
        <v>0</v>
      </c>
      <c r="L75" s="1" t="e">
        <v>#DIV/0!</v>
      </c>
      <c r="M75" s="1" t="e">
        <v>#DIV/0!</v>
      </c>
      <c r="N75" s="111">
        <v>39101</v>
      </c>
      <c r="O75" s="111">
        <v>77762</v>
      </c>
      <c r="P75" s="111">
        <v>67357</v>
      </c>
      <c r="Q75" s="111">
        <v>133513</v>
      </c>
      <c r="R75" s="1">
        <v>58.05</v>
      </c>
      <c r="S75" s="1">
        <v>58.24</v>
      </c>
      <c r="T75" s="1">
        <v>0</v>
      </c>
      <c r="U75" s="111">
        <v>2909</v>
      </c>
      <c r="V75" s="1">
        <v>0</v>
      </c>
      <c r="W75" s="111">
        <v>3063</v>
      </c>
      <c r="X75" s="1">
        <v>0</v>
      </c>
      <c r="Y75" s="1">
        <v>94.96</v>
      </c>
      <c r="Z75" s="1">
        <v>492</v>
      </c>
      <c r="AA75" s="111">
        <v>1305</v>
      </c>
      <c r="AB75" s="1">
        <v>569</v>
      </c>
      <c r="AC75" s="111">
        <v>1504</v>
      </c>
      <c r="AD75" s="1">
        <v>86.49</v>
      </c>
      <c r="AE75" s="1">
        <v>86.8</v>
      </c>
      <c r="AF75" s="111">
        <v>2828</v>
      </c>
      <c r="AG75" s="111">
        <v>2828</v>
      </c>
      <c r="AH75" s="111">
        <v>3105</v>
      </c>
      <c r="AI75" s="111">
        <v>3105</v>
      </c>
      <c r="AJ75" s="1">
        <v>91.09</v>
      </c>
      <c r="AK75" s="1">
        <v>91.09</v>
      </c>
      <c r="AL75" s="111">
        <v>42421</v>
      </c>
      <c r="AM75" s="111">
        <v>84804</v>
      </c>
      <c r="AN75" s="111">
        <v>71031</v>
      </c>
      <c r="AO75" s="111">
        <v>141185</v>
      </c>
      <c r="AP75" s="1">
        <v>59.72</v>
      </c>
      <c r="AQ75" s="1">
        <v>60.07</v>
      </c>
      <c r="AR75" s="111">
        <v>129322</v>
      </c>
      <c r="AS75" s="111">
        <v>272284</v>
      </c>
      <c r="AT75" s="111">
        <v>168648</v>
      </c>
      <c r="AU75" s="111">
        <v>353608</v>
      </c>
      <c r="AV75" s="1">
        <v>76.680000000000007</v>
      </c>
      <c r="AW75" s="1">
        <v>77</v>
      </c>
      <c r="AX75" s="1">
        <v>0</v>
      </c>
      <c r="AY75" s="1">
        <v>0</v>
      </c>
      <c r="BD75" s="1">
        <v>94.83</v>
      </c>
      <c r="BE75" s="1">
        <v>94.57</v>
      </c>
      <c r="BH75" s="111">
        <v>42421</v>
      </c>
      <c r="BK75" s="111">
        <v>-71031</v>
      </c>
      <c r="BR75" s="111">
        <v>-39101</v>
      </c>
      <c r="BS75" s="1" t="e">
        <v>#REF!</v>
      </c>
    </row>
    <row r="76" spans="1:71" ht="12.5" x14ac:dyDescent="0.25">
      <c r="A76" s="1" t="s">
        <v>6</v>
      </c>
      <c r="B76" s="111">
        <v>40876</v>
      </c>
      <c r="C76" s="111">
        <v>118638</v>
      </c>
      <c r="D76" s="111">
        <v>67483</v>
      </c>
      <c r="E76" s="111">
        <v>200997</v>
      </c>
      <c r="F76" s="1">
        <v>60.57</v>
      </c>
      <c r="G76" s="1">
        <v>59.02</v>
      </c>
      <c r="H76" s="1"/>
      <c r="I76" s="111">
        <v>0</v>
      </c>
      <c r="J76" s="1"/>
      <c r="K76" s="111">
        <v>0</v>
      </c>
      <c r="L76" s="1" t="e">
        <v>#DIV/0!</v>
      </c>
      <c r="M76" s="1" t="e">
        <v>#DIV/0!</v>
      </c>
      <c r="N76" s="111">
        <v>40876</v>
      </c>
      <c r="O76" s="111">
        <v>118638</v>
      </c>
      <c r="P76" s="111">
        <v>67483</v>
      </c>
      <c r="Q76" s="111">
        <v>200997</v>
      </c>
      <c r="R76" s="1">
        <v>60.57</v>
      </c>
      <c r="S76" s="1">
        <v>59.02</v>
      </c>
      <c r="T76" s="111">
        <v>1153</v>
      </c>
      <c r="U76" s="111">
        <v>4062</v>
      </c>
      <c r="V76" s="111">
        <v>1216</v>
      </c>
      <c r="W76" s="111">
        <v>4279</v>
      </c>
      <c r="X76" s="1">
        <v>94.8</v>
      </c>
      <c r="Y76" s="1">
        <v>94.92</v>
      </c>
      <c r="Z76" s="111">
        <v>7767</v>
      </c>
      <c r="AA76" s="111">
        <v>9072</v>
      </c>
      <c r="AB76" s="111">
        <v>8743</v>
      </c>
      <c r="AC76" s="111">
        <v>10247</v>
      </c>
      <c r="AD76" s="1">
        <v>88.83</v>
      </c>
      <c r="AE76" s="1">
        <v>88.53</v>
      </c>
      <c r="AF76" s="111">
        <v>1659</v>
      </c>
      <c r="AG76" s="111">
        <v>4487</v>
      </c>
      <c r="AH76" s="111">
        <v>1814</v>
      </c>
      <c r="AI76" s="111">
        <v>4919</v>
      </c>
      <c r="AJ76" s="1">
        <v>91.45</v>
      </c>
      <c r="AK76" s="1">
        <v>91.22</v>
      </c>
      <c r="AL76" s="111">
        <v>51454</v>
      </c>
      <c r="AM76" s="111">
        <v>136259</v>
      </c>
      <c r="AN76" s="111">
        <v>79257</v>
      </c>
      <c r="AO76" s="111">
        <v>220441</v>
      </c>
      <c r="AP76" s="1">
        <v>64.92</v>
      </c>
      <c r="AQ76" s="1">
        <v>61.81</v>
      </c>
      <c r="AR76" s="111">
        <v>127242</v>
      </c>
      <c r="AS76" s="111">
        <v>399527</v>
      </c>
      <c r="AT76" s="111">
        <v>163748</v>
      </c>
      <c r="AU76" s="111">
        <v>517357</v>
      </c>
      <c r="AV76" s="1">
        <v>77.709999999999994</v>
      </c>
      <c r="AW76" s="1">
        <v>77.22</v>
      </c>
      <c r="AX76" s="1">
        <v>0</v>
      </c>
      <c r="AY76" s="1">
        <v>0</v>
      </c>
      <c r="BD76" s="1">
        <v>85.15</v>
      </c>
      <c r="BE76" s="1">
        <v>91.18</v>
      </c>
      <c r="BH76" s="111">
        <v>51454</v>
      </c>
      <c r="BK76" s="111">
        <v>-79257</v>
      </c>
      <c r="BR76" s="111">
        <v>-40876</v>
      </c>
      <c r="BS76" s="1" t="e">
        <v>#REF!</v>
      </c>
    </row>
    <row r="77" spans="1:71" ht="12.5" x14ac:dyDescent="0.25">
      <c r="A77" s="1" t="s">
        <v>7</v>
      </c>
      <c r="B77" s="111">
        <v>44021</v>
      </c>
      <c r="C77" s="111">
        <v>162660</v>
      </c>
      <c r="D77" s="111">
        <v>74209</v>
      </c>
      <c r="E77" s="111">
        <v>275206</v>
      </c>
      <c r="F77" s="1">
        <v>59.32</v>
      </c>
      <c r="G77" s="1">
        <v>59.1</v>
      </c>
      <c r="H77" s="1"/>
      <c r="I77" s="111">
        <v>0</v>
      </c>
      <c r="J77" s="1"/>
      <c r="K77" s="111">
        <v>0</v>
      </c>
      <c r="L77" s="1" t="e">
        <v>#DIV/0!</v>
      </c>
      <c r="M77" s="1" t="e">
        <v>#DIV/0!</v>
      </c>
      <c r="N77" s="111">
        <v>44021</v>
      </c>
      <c r="O77" s="111">
        <v>162660</v>
      </c>
      <c r="P77" s="111">
        <v>74209</v>
      </c>
      <c r="Q77" s="111">
        <v>275206</v>
      </c>
      <c r="R77" s="1">
        <v>59.32</v>
      </c>
      <c r="S77" s="1">
        <v>59.1</v>
      </c>
      <c r="T77" s="111">
        <v>4322</v>
      </c>
      <c r="U77" s="111">
        <v>8384</v>
      </c>
      <c r="V77" s="111">
        <v>4561</v>
      </c>
      <c r="W77" s="111">
        <v>8840</v>
      </c>
      <c r="X77" s="1">
        <v>94.77</v>
      </c>
      <c r="Y77" s="1">
        <v>94.84</v>
      </c>
      <c r="Z77" s="111">
        <v>582</v>
      </c>
      <c r="AA77" s="111">
        <v>9654</v>
      </c>
      <c r="AB77" s="111">
        <v>668</v>
      </c>
      <c r="AC77" s="111">
        <v>10915</v>
      </c>
      <c r="AD77" s="1">
        <v>87.21</v>
      </c>
      <c r="AE77" s="1">
        <v>88.45</v>
      </c>
      <c r="AF77" s="111">
        <v>573</v>
      </c>
      <c r="AG77" s="111">
        <v>5059</v>
      </c>
      <c r="AH77" s="111">
        <v>632</v>
      </c>
      <c r="AI77" s="111">
        <v>5550</v>
      </c>
      <c r="AJ77" s="1">
        <v>90.66</v>
      </c>
      <c r="AK77" s="1">
        <v>91.16</v>
      </c>
      <c r="AL77" s="111">
        <v>49498</v>
      </c>
      <c r="AM77" s="111">
        <v>185757</v>
      </c>
      <c r="AN77" s="111">
        <v>80069</v>
      </c>
      <c r="AO77" s="111">
        <v>300510</v>
      </c>
      <c r="AP77" s="1">
        <v>61.82</v>
      </c>
      <c r="AQ77" s="1">
        <v>61.81</v>
      </c>
      <c r="AR77" s="111">
        <v>124767</v>
      </c>
      <c r="AS77" s="111">
        <v>524293</v>
      </c>
      <c r="AT77" s="111">
        <v>165466</v>
      </c>
      <c r="AU77" s="111">
        <v>682823</v>
      </c>
      <c r="AV77" s="1">
        <v>75.400000000000006</v>
      </c>
      <c r="AW77" s="1">
        <v>76.78</v>
      </c>
      <c r="AX77" s="1">
        <v>0</v>
      </c>
      <c r="AY77" s="1">
        <v>0</v>
      </c>
      <c r="BD77" s="1">
        <v>92.68</v>
      </c>
      <c r="BE77" s="1">
        <v>91.58</v>
      </c>
      <c r="BH77" s="111">
        <v>49498</v>
      </c>
      <c r="BK77" s="111">
        <v>-80069</v>
      </c>
      <c r="BR77" s="111">
        <v>-44021</v>
      </c>
      <c r="BS77" s="1" t="e">
        <v>#REF!</v>
      </c>
    </row>
    <row r="78" spans="1:71" ht="12.5" x14ac:dyDescent="0.25">
      <c r="A78" s="1" t="s">
        <v>8</v>
      </c>
      <c r="B78" s="111">
        <v>67510</v>
      </c>
      <c r="C78" s="111">
        <v>230170</v>
      </c>
      <c r="D78" s="111">
        <v>114808</v>
      </c>
      <c r="E78" s="111">
        <v>390014</v>
      </c>
      <c r="F78" s="1">
        <v>58.8</v>
      </c>
      <c r="G78" s="1">
        <v>59.02</v>
      </c>
      <c r="H78" s="1"/>
      <c r="I78" s="111">
        <v>0</v>
      </c>
      <c r="J78" s="1"/>
      <c r="K78" s="111">
        <v>0</v>
      </c>
      <c r="L78" s="1" t="e">
        <v>#DIV/0!</v>
      </c>
      <c r="M78" s="1" t="e">
        <v>#DIV/0!</v>
      </c>
      <c r="N78" s="111">
        <v>67510</v>
      </c>
      <c r="O78" s="111">
        <v>230170</v>
      </c>
      <c r="P78" s="111">
        <v>114808</v>
      </c>
      <c r="Q78" s="111">
        <v>390014</v>
      </c>
      <c r="R78" s="1">
        <v>58.8</v>
      </c>
      <c r="S78" s="1">
        <v>59.02</v>
      </c>
      <c r="T78" s="111">
        <v>1875</v>
      </c>
      <c r="U78" s="111">
        <v>10259</v>
      </c>
      <c r="V78" s="111">
        <v>1978</v>
      </c>
      <c r="W78" s="111">
        <v>10818</v>
      </c>
      <c r="X78" s="1">
        <v>94.8</v>
      </c>
      <c r="Y78" s="1">
        <v>94.84</v>
      </c>
      <c r="Z78" s="111">
        <v>5005</v>
      </c>
      <c r="AA78" s="111">
        <v>14659</v>
      </c>
      <c r="AB78" s="111">
        <v>5661</v>
      </c>
      <c r="AC78" s="111">
        <v>16575</v>
      </c>
      <c r="AD78" s="1">
        <v>88.42</v>
      </c>
      <c r="AE78" s="1">
        <v>88.44</v>
      </c>
      <c r="AF78" s="111">
        <v>2780</v>
      </c>
      <c r="AG78" s="111">
        <v>7839</v>
      </c>
      <c r="AH78" s="111">
        <v>3051</v>
      </c>
      <c r="AI78" s="111">
        <v>8601</v>
      </c>
      <c r="AJ78" s="1">
        <v>91.12</v>
      </c>
      <c r="AK78" s="1">
        <v>91.14</v>
      </c>
      <c r="AL78" s="111">
        <v>77170</v>
      </c>
      <c r="AM78" s="111">
        <v>262927</v>
      </c>
      <c r="AN78" s="111">
        <v>125498</v>
      </c>
      <c r="AO78" s="111">
        <v>426008</v>
      </c>
      <c r="AP78" s="1">
        <v>61.49</v>
      </c>
      <c r="AQ78" s="1">
        <v>61.72</v>
      </c>
      <c r="AR78" s="111">
        <v>175050</v>
      </c>
      <c r="AS78" s="111">
        <v>699343</v>
      </c>
      <c r="AT78" s="111">
        <v>236707</v>
      </c>
      <c r="AU78" s="111">
        <v>919530</v>
      </c>
      <c r="AV78" s="1">
        <v>73.95</v>
      </c>
      <c r="AW78" s="1">
        <v>76.05</v>
      </c>
      <c r="AX78" s="1">
        <v>0</v>
      </c>
      <c r="AY78" s="1">
        <v>0</v>
      </c>
      <c r="BD78" s="1">
        <v>91.48</v>
      </c>
      <c r="BE78" s="1">
        <v>91.55</v>
      </c>
      <c r="BH78" s="111">
        <v>77170</v>
      </c>
      <c r="BK78" s="111">
        <v>-125498</v>
      </c>
      <c r="BR78" s="111">
        <v>-67510</v>
      </c>
      <c r="BS78" s="1" t="e">
        <v>#REF!</v>
      </c>
    </row>
    <row r="79" spans="1:71" ht="12.5" x14ac:dyDescent="0.25">
      <c r="A79" s="1" t="s">
        <v>9</v>
      </c>
      <c r="B79" s="111">
        <v>15568</v>
      </c>
      <c r="C79" s="111">
        <v>245737</v>
      </c>
      <c r="D79" s="111">
        <v>22032</v>
      </c>
      <c r="E79" s="111">
        <v>412047</v>
      </c>
      <c r="F79" s="1">
        <v>70.66</v>
      </c>
      <c r="G79" s="1">
        <v>59.64</v>
      </c>
      <c r="H79" s="111"/>
      <c r="I79" s="111">
        <v>0</v>
      </c>
      <c r="J79" s="111"/>
      <c r="K79" s="111">
        <v>0</v>
      </c>
      <c r="L79" s="1" t="e">
        <v>#DIV/0!</v>
      </c>
      <c r="M79" s="1" t="e">
        <v>#DIV/0!</v>
      </c>
      <c r="N79" s="111">
        <v>15568</v>
      </c>
      <c r="O79" s="111">
        <v>245737</v>
      </c>
      <c r="P79" s="111">
        <v>22032</v>
      </c>
      <c r="Q79" s="111">
        <v>412047</v>
      </c>
      <c r="R79" s="1">
        <v>70.66</v>
      </c>
      <c r="S79" s="1">
        <v>59.64</v>
      </c>
      <c r="T79" s="1">
        <v>0</v>
      </c>
      <c r="U79" s="111">
        <v>10259</v>
      </c>
      <c r="V79" s="1">
        <v>0</v>
      </c>
      <c r="W79" s="111">
        <v>10818</v>
      </c>
      <c r="X79" s="1">
        <v>0</v>
      </c>
      <c r="Y79" s="111">
        <v>94.84</v>
      </c>
      <c r="Z79" s="111">
        <v>12445</v>
      </c>
      <c r="AA79" s="111">
        <v>27104</v>
      </c>
      <c r="AB79" s="111">
        <v>14311</v>
      </c>
      <c r="AC79" s="111">
        <v>30886</v>
      </c>
      <c r="AD79" s="1">
        <v>86.96</v>
      </c>
      <c r="AE79" s="1">
        <v>87.75</v>
      </c>
      <c r="AF79" s="111">
        <v>23580</v>
      </c>
      <c r="AG79" s="111">
        <v>31419</v>
      </c>
      <c r="AH79" s="111">
        <v>25880</v>
      </c>
      <c r="AI79" s="111">
        <v>34480</v>
      </c>
      <c r="AJ79" s="1">
        <v>91.12</v>
      </c>
      <c r="AK79" s="1">
        <v>91.12</v>
      </c>
      <c r="AL79" s="111">
        <v>51593</v>
      </c>
      <c r="AM79" s="111">
        <v>314520</v>
      </c>
      <c r="AN79" s="111">
        <v>62223</v>
      </c>
      <c r="AO79" s="111">
        <v>488231</v>
      </c>
      <c r="AP79" s="1">
        <v>82.92</v>
      </c>
      <c r="AQ79" s="1">
        <v>64.42</v>
      </c>
      <c r="AR79" s="111">
        <v>102523</v>
      </c>
      <c r="AS79" s="111">
        <v>801866</v>
      </c>
      <c r="AT79" s="111">
        <v>135999</v>
      </c>
      <c r="AU79" s="111">
        <v>1055529</v>
      </c>
      <c r="AV79" s="1">
        <v>75.39</v>
      </c>
      <c r="AW79" s="1">
        <v>75.97</v>
      </c>
      <c r="AX79" s="1">
        <v>0</v>
      </c>
      <c r="AY79" s="1">
        <v>0</v>
      </c>
      <c r="BD79" s="1">
        <v>35.409999999999997</v>
      </c>
      <c r="BE79" s="1">
        <v>84.4</v>
      </c>
      <c r="BH79" s="111">
        <v>51593</v>
      </c>
      <c r="BK79" s="111">
        <v>-62223</v>
      </c>
    </row>
    <row r="80" spans="1:71" ht="12.5" x14ac:dyDescent="0.25">
      <c r="A80" s="1" t="s">
        <v>10</v>
      </c>
      <c r="B80" s="111">
        <v>40928</v>
      </c>
      <c r="C80" s="111">
        <v>286665</v>
      </c>
      <c r="D80" s="111">
        <v>65241</v>
      </c>
      <c r="E80" s="111">
        <v>477288</v>
      </c>
      <c r="F80" s="1">
        <v>62.73</v>
      </c>
      <c r="G80" s="1">
        <v>60.06</v>
      </c>
      <c r="H80" s="111"/>
      <c r="I80" s="111">
        <v>0</v>
      </c>
      <c r="J80" s="111"/>
      <c r="K80" s="111">
        <v>0</v>
      </c>
      <c r="L80" s="1">
        <v>0</v>
      </c>
      <c r="M80" s="1" t="e">
        <v>#DIV/0!</v>
      </c>
      <c r="N80" s="111">
        <v>40928</v>
      </c>
      <c r="O80" s="111">
        <v>286665</v>
      </c>
      <c r="P80" s="111">
        <v>65241</v>
      </c>
      <c r="Q80" s="111">
        <v>477288</v>
      </c>
      <c r="R80" s="1">
        <v>62.73</v>
      </c>
      <c r="S80" s="1">
        <v>60.06</v>
      </c>
      <c r="T80" s="1">
        <v>0</v>
      </c>
      <c r="U80" s="111">
        <v>10259</v>
      </c>
      <c r="V80" s="1">
        <v>0</v>
      </c>
      <c r="W80" s="111">
        <v>10818</v>
      </c>
      <c r="X80" s="1">
        <v>0</v>
      </c>
      <c r="Y80" s="111">
        <v>94.84</v>
      </c>
      <c r="Z80" s="111">
        <v>18252</v>
      </c>
      <c r="AA80" s="111">
        <v>45356</v>
      </c>
      <c r="AB80" s="111">
        <v>20989</v>
      </c>
      <c r="AC80" s="111">
        <v>51875</v>
      </c>
      <c r="AD80" s="1">
        <v>86.96</v>
      </c>
      <c r="AE80" s="1">
        <v>87.43</v>
      </c>
      <c r="AF80" s="111">
        <v>25480</v>
      </c>
      <c r="AG80" s="111">
        <v>56899</v>
      </c>
      <c r="AH80" s="111">
        <v>27964</v>
      </c>
      <c r="AI80" s="111">
        <v>62444</v>
      </c>
      <c r="AJ80" s="1">
        <v>91.12</v>
      </c>
      <c r="AK80" s="1">
        <v>91.12</v>
      </c>
      <c r="AL80" s="111">
        <v>84659</v>
      </c>
      <c r="AM80" s="111">
        <v>399179</v>
      </c>
      <c r="AN80" s="111">
        <v>114194</v>
      </c>
      <c r="AO80" s="111">
        <v>602425</v>
      </c>
      <c r="AP80" s="1">
        <v>74.14</v>
      </c>
      <c r="AQ80" s="1">
        <v>66.260000000000005</v>
      </c>
      <c r="AR80" s="111">
        <v>116589</v>
      </c>
      <c r="AS80" s="111">
        <v>918455</v>
      </c>
      <c r="AT80" s="111">
        <v>150614</v>
      </c>
      <c r="AU80" s="111">
        <v>1206143</v>
      </c>
      <c r="AV80" s="1">
        <v>77.41</v>
      </c>
      <c r="AW80" s="1">
        <v>76.150000000000006</v>
      </c>
      <c r="AX80" s="1">
        <v>0</v>
      </c>
      <c r="AY80" s="1">
        <v>0</v>
      </c>
      <c r="BD80" s="1">
        <v>57.13</v>
      </c>
      <c r="BE80" s="1">
        <v>79.23</v>
      </c>
      <c r="BH80" s="111">
        <v>84659</v>
      </c>
      <c r="BK80" s="111">
        <v>-114194</v>
      </c>
    </row>
    <row r="81" spans="1:63" ht="12.5" x14ac:dyDescent="0.25">
      <c r="A81" s="1" t="s">
        <v>11</v>
      </c>
      <c r="B81" s="111">
        <v>40145</v>
      </c>
      <c r="C81" s="111">
        <v>326811</v>
      </c>
      <c r="D81" s="111">
        <v>64881</v>
      </c>
      <c r="E81" s="111">
        <v>542169</v>
      </c>
      <c r="F81" s="1">
        <v>61.88</v>
      </c>
      <c r="G81" s="1">
        <v>60.28</v>
      </c>
      <c r="H81" s="111"/>
      <c r="I81" s="111">
        <v>0</v>
      </c>
      <c r="J81" s="111"/>
      <c r="K81" s="111">
        <v>0</v>
      </c>
      <c r="L81" s="1">
        <v>0</v>
      </c>
      <c r="M81" s="1" t="e">
        <v>#DIV/0!</v>
      </c>
      <c r="N81" s="111">
        <v>40145</v>
      </c>
      <c r="O81" s="111">
        <v>326811</v>
      </c>
      <c r="P81" s="111">
        <v>64881</v>
      </c>
      <c r="Q81" s="111">
        <v>542169</v>
      </c>
      <c r="R81" s="1">
        <v>61.88</v>
      </c>
      <c r="S81" s="1">
        <v>60.28</v>
      </c>
      <c r="T81" s="1">
        <v>0</v>
      </c>
      <c r="U81" s="111">
        <v>10259</v>
      </c>
      <c r="V81" s="1">
        <v>0</v>
      </c>
      <c r="W81" s="111">
        <v>10818</v>
      </c>
      <c r="X81" s="1">
        <v>0</v>
      </c>
      <c r="Y81" s="111">
        <v>94.84</v>
      </c>
      <c r="Z81" s="111">
        <v>18550</v>
      </c>
      <c r="AA81" s="111">
        <v>63906</v>
      </c>
      <c r="AB81" s="111">
        <v>21331</v>
      </c>
      <c r="AC81" s="111">
        <v>73207</v>
      </c>
      <c r="AD81" s="1">
        <v>86.96</v>
      </c>
      <c r="AE81" s="1">
        <v>87.3</v>
      </c>
      <c r="AF81" s="111">
        <v>20728</v>
      </c>
      <c r="AG81" s="111">
        <v>77627</v>
      </c>
      <c r="AH81" s="111">
        <v>22749</v>
      </c>
      <c r="AI81" s="111">
        <v>85193</v>
      </c>
      <c r="AJ81" s="1">
        <v>91.12</v>
      </c>
      <c r="AK81" s="1">
        <v>91.12</v>
      </c>
      <c r="AL81" s="111">
        <v>79423</v>
      </c>
      <c r="AM81" s="111">
        <v>478602</v>
      </c>
      <c r="AN81" s="111">
        <v>108961</v>
      </c>
      <c r="AO81" s="111">
        <v>711386</v>
      </c>
      <c r="AP81" s="1">
        <v>72.89</v>
      </c>
      <c r="AQ81" s="1">
        <v>67.28</v>
      </c>
      <c r="AR81" s="111">
        <v>101085</v>
      </c>
      <c r="AS81" s="111">
        <v>1019540</v>
      </c>
      <c r="AT81" s="111">
        <v>133646</v>
      </c>
      <c r="AU81" s="111">
        <v>1339789</v>
      </c>
      <c r="AV81" s="1">
        <v>75.64</v>
      </c>
      <c r="AW81" s="1">
        <v>76.099999999999994</v>
      </c>
      <c r="AX81" s="1">
        <v>0</v>
      </c>
      <c r="AY81" s="1">
        <v>0</v>
      </c>
      <c r="BD81" s="1">
        <v>59.54</v>
      </c>
      <c r="BE81" s="1">
        <v>76.209999999999994</v>
      </c>
      <c r="BH81" s="111">
        <v>79423</v>
      </c>
      <c r="BK81" s="111">
        <v>-108961</v>
      </c>
    </row>
    <row r="82" spans="1:63" ht="12.5" x14ac:dyDescent="0.25">
      <c r="A82" s="1" t="s">
        <v>12</v>
      </c>
      <c r="B82" s="111">
        <v>38738</v>
      </c>
      <c r="C82" s="111">
        <v>365549</v>
      </c>
      <c r="D82" s="111">
        <v>62510</v>
      </c>
      <c r="E82" s="111">
        <v>604679</v>
      </c>
      <c r="F82" s="1">
        <v>61.97</v>
      </c>
      <c r="G82" s="1">
        <v>60.45</v>
      </c>
      <c r="H82" s="111"/>
      <c r="I82" s="111">
        <v>0</v>
      </c>
      <c r="J82" s="111"/>
      <c r="K82" s="111">
        <v>0</v>
      </c>
      <c r="L82" s="1">
        <v>0</v>
      </c>
      <c r="M82" s="1" t="e">
        <v>#DIV/0!</v>
      </c>
      <c r="N82" s="111">
        <v>38738</v>
      </c>
      <c r="O82" s="111">
        <v>365549</v>
      </c>
      <c r="P82" s="111">
        <v>62510</v>
      </c>
      <c r="Q82" s="111">
        <v>604679</v>
      </c>
      <c r="R82" s="1">
        <v>61.97</v>
      </c>
      <c r="S82" s="1">
        <v>60.45</v>
      </c>
      <c r="T82" s="1">
        <v>0</v>
      </c>
      <c r="U82" s="111">
        <v>10259</v>
      </c>
      <c r="V82" s="1">
        <v>0</v>
      </c>
      <c r="W82" s="111">
        <v>10818</v>
      </c>
      <c r="X82" s="1">
        <v>0</v>
      </c>
      <c r="Y82" s="111">
        <v>94.84</v>
      </c>
      <c r="Z82" s="111">
        <v>12254</v>
      </c>
      <c r="AA82" s="111">
        <v>76159</v>
      </c>
      <c r="AB82" s="111">
        <v>14091</v>
      </c>
      <c r="AC82" s="111">
        <v>87298</v>
      </c>
      <c r="AD82" s="1">
        <v>86.96</v>
      </c>
      <c r="AE82" s="1">
        <v>87.24</v>
      </c>
      <c r="AF82" s="111">
        <v>20731</v>
      </c>
      <c r="AG82" s="111">
        <v>98358</v>
      </c>
      <c r="AH82" s="111">
        <v>22753</v>
      </c>
      <c r="AI82" s="111">
        <v>107946</v>
      </c>
      <c r="AJ82" s="1">
        <v>91.12</v>
      </c>
      <c r="AK82" s="1">
        <v>91.12</v>
      </c>
      <c r="AL82" s="111">
        <v>71723</v>
      </c>
      <c r="AM82" s="111">
        <v>550325</v>
      </c>
      <c r="AN82" s="111">
        <v>99354</v>
      </c>
      <c r="AO82" s="111">
        <v>810740</v>
      </c>
      <c r="AP82" s="1">
        <v>72.19</v>
      </c>
      <c r="AQ82" s="1">
        <v>67.88</v>
      </c>
      <c r="AR82" s="111">
        <v>130181</v>
      </c>
      <c r="AS82" s="111">
        <v>1149721</v>
      </c>
      <c r="AT82" s="111">
        <v>162904</v>
      </c>
      <c r="AU82" s="111">
        <v>1502693</v>
      </c>
      <c r="AV82" s="1">
        <v>79.91</v>
      </c>
      <c r="AW82" s="1">
        <v>76.510000000000005</v>
      </c>
      <c r="AX82" s="1">
        <v>0</v>
      </c>
      <c r="AY82" s="1">
        <v>0</v>
      </c>
      <c r="BD82" s="1">
        <v>62.92</v>
      </c>
      <c r="BE82" s="1">
        <v>74.58</v>
      </c>
      <c r="BH82" s="111">
        <v>71723</v>
      </c>
      <c r="BK82" s="111">
        <v>-99354</v>
      </c>
    </row>
    <row r="83" spans="1:63" ht="12.5" x14ac:dyDescent="0.25">
      <c r="A83" s="1" t="s">
        <v>13</v>
      </c>
      <c r="B83" s="111">
        <v>39492</v>
      </c>
      <c r="C83" s="111">
        <v>405041</v>
      </c>
      <c r="D83" s="111">
        <v>62347</v>
      </c>
      <c r="E83" s="111">
        <v>667026</v>
      </c>
      <c r="F83" s="1">
        <v>63.34</v>
      </c>
      <c r="G83" s="1">
        <v>60.72</v>
      </c>
      <c r="H83" s="111"/>
      <c r="I83" s="111">
        <v>0</v>
      </c>
      <c r="J83" s="111"/>
      <c r="K83" s="111">
        <v>0</v>
      </c>
      <c r="L83" s="1">
        <v>0</v>
      </c>
      <c r="M83" s="1" t="e">
        <v>#DIV/0!</v>
      </c>
      <c r="N83" s="111">
        <v>39492</v>
      </c>
      <c r="O83" s="111">
        <v>405041</v>
      </c>
      <c r="P83" s="111">
        <v>62347</v>
      </c>
      <c r="Q83" s="111">
        <v>667026</v>
      </c>
      <c r="R83" s="1">
        <v>63.34</v>
      </c>
      <c r="S83" s="1">
        <v>60.72</v>
      </c>
      <c r="T83" s="1">
        <v>0</v>
      </c>
      <c r="U83" s="111">
        <v>10259</v>
      </c>
      <c r="V83" s="1">
        <v>0</v>
      </c>
      <c r="W83" s="111">
        <v>10818</v>
      </c>
      <c r="X83" s="1">
        <v>0</v>
      </c>
      <c r="Y83" s="111">
        <v>94.84</v>
      </c>
      <c r="Z83" s="111">
        <v>22080</v>
      </c>
      <c r="AA83" s="111">
        <v>98239</v>
      </c>
      <c r="AB83" s="111">
        <v>25391</v>
      </c>
      <c r="AC83" s="111">
        <v>112689</v>
      </c>
      <c r="AD83" s="1">
        <v>86.96</v>
      </c>
      <c r="AE83" s="1">
        <v>87.18</v>
      </c>
      <c r="AF83" s="111">
        <v>27160</v>
      </c>
      <c r="AG83" s="111">
        <v>125518</v>
      </c>
      <c r="AH83" s="111">
        <v>29808</v>
      </c>
      <c r="AI83" s="111">
        <v>137754</v>
      </c>
      <c r="AJ83" s="1">
        <v>91.12</v>
      </c>
      <c r="AK83" s="1">
        <v>91.12</v>
      </c>
      <c r="AL83" s="111">
        <v>88732</v>
      </c>
      <c r="AM83" s="111">
        <v>639057</v>
      </c>
      <c r="AN83" s="111">
        <v>117546</v>
      </c>
      <c r="AO83" s="111">
        <v>928286</v>
      </c>
      <c r="AP83" s="1">
        <v>75.489999999999995</v>
      </c>
      <c r="AQ83" s="1">
        <v>68.84</v>
      </c>
      <c r="AR83" s="111">
        <v>167248</v>
      </c>
      <c r="AS83" s="111">
        <v>1316969</v>
      </c>
      <c r="AT83" s="111">
        <v>209330</v>
      </c>
      <c r="AU83" s="111">
        <v>1712023</v>
      </c>
      <c r="AV83" s="1">
        <v>79.900000000000006</v>
      </c>
      <c r="AW83" s="1">
        <v>76.92</v>
      </c>
      <c r="AX83" s="1">
        <v>0</v>
      </c>
      <c r="AY83" s="1">
        <v>0</v>
      </c>
      <c r="BD83" s="1">
        <v>53.04</v>
      </c>
      <c r="BE83" s="1">
        <v>71.86</v>
      </c>
      <c r="BH83" s="111">
        <v>88732</v>
      </c>
      <c r="BK83" s="111">
        <v>-117546</v>
      </c>
    </row>
    <row r="84" spans="1:63" ht="12.5" x14ac:dyDescent="0.25">
      <c r="A84" s="1" t="s">
        <v>14</v>
      </c>
      <c r="B84" s="111">
        <v>16953</v>
      </c>
      <c r="C84" s="111">
        <v>421994</v>
      </c>
      <c r="D84" s="111">
        <v>24379</v>
      </c>
      <c r="E84" s="111">
        <v>691404</v>
      </c>
      <c r="F84" s="1">
        <v>69.540000000000006</v>
      </c>
      <c r="G84" s="1">
        <v>61.03</v>
      </c>
      <c r="H84" s="111"/>
      <c r="I84" s="111">
        <v>0</v>
      </c>
      <c r="J84" s="111"/>
      <c r="K84" s="111">
        <v>0</v>
      </c>
      <c r="L84" s="1">
        <v>0</v>
      </c>
      <c r="M84" s="1" t="e">
        <v>#DIV/0!</v>
      </c>
      <c r="N84" s="111">
        <v>16953</v>
      </c>
      <c r="O84" s="111">
        <v>421994</v>
      </c>
      <c r="P84" s="111">
        <v>24379</v>
      </c>
      <c r="Q84" s="111">
        <v>691404</v>
      </c>
      <c r="R84" s="1">
        <v>69.540000000000006</v>
      </c>
      <c r="S84" s="1">
        <v>61.03</v>
      </c>
      <c r="T84" s="1">
        <v>0</v>
      </c>
      <c r="U84" s="111">
        <v>10259</v>
      </c>
      <c r="V84" s="1">
        <v>0</v>
      </c>
      <c r="W84" s="111">
        <v>10818</v>
      </c>
      <c r="X84" s="1">
        <v>0</v>
      </c>
      <c r="Y84" s="111">
        <v>94.84</v>
      </c>
      <c r="Z84" s="111">
        <v>16569</v>
      </c>
      <c r="AA84" s="111">
        <v>114809</v>
      </c>
      <c r="AB84" s="111">
        <v>19054</v>
      </c>
      <c r="AC84" s="111">
        <v>131743</v>
      </c>
      <c r="AD84" s="1">
        <v>86.96</v>
      </c>
      <c r="AE84" s="1">
        <v>87.15</v>
      </c>
      <c r="AF84" s="111">
        <v>23167</v>
      </c>
      <c r="AG84" s="111">
        <v>148685</v>
      </c>
      <c r="AH84" s="111">
        <v>25427</v>
      </c>
      <c r="AI84" s="111">
        <v>163181</v>
      </c>
      <c r="AJ84" s="1">
        <v>91.12</v>
      </c>
      <c r="AK84" s="1">
        <v>91.12</v>
      </c>
      <c r="AL84" s="111">
        <v>56690</v>
      </c>
      <c r="AM84" s="111">
        <v>695747</v>
      </c>
      <c r="AN84" s="111">
        <v>68859</v>
      </c>
      <c r="AO84" s="111">
        <v>997145</v>
      </c>
      <c r="AP84" s="1">
        <v>82.33</v>
      </c>
      <c r="AQ84" s="1">
        <v>69.77</v>
      </c>
      <c r="AR84" s="111">
        <v>147033</v>
      </c>
      <c r="AS84" s="111">
        <v>1464003</v>
      </c>
      <c r="AT84" s="111">
        <v>184414</v>
      </c>
      <c r="AU84" s="111">
        <v>1896438</v>
      </c>
      <c r="AV84" s="1">
        <v>79.73</v>
      </c>
      <c r="AW84" s="1">
        <v>77.2</v>
      </c>
      <c r="AX84" s="1">
        <v>0</v>
      </c>
      <c r="AY84" s="1">
        <v>0</v>
      </c>
      <c r="BD84" s="1">
        <v>35.4</v>
      </c>
      <c r="BE84" s="1">
        <v>69.34</v>
      </c>
      <c r="BH84" s="111">
        <v>56690</v>
      </c>
      <c r="BK84" s="111">
        <v>-68859</v>
      </c>
    </row>
    <row r="85" spans="1:63" ht="12.5" x14ac:dyDescent="0.25">
      <c r="A85" s="1" t="s">
        <v>15</v>
      </c>
      <c r="B85" s="111">
        <v>52062</v>
      </c>
      <c r="C85" s="111">
        <v>474056</v>
      </c>
      <c r="D85" s="111">
        <v>85233</v>
      </c>
      <c r="E85" s="111">
        <v>776638</v>
      </c>
      <c r="F85" s="1">
        <v>61.08</v>
      </c>
      <c r="G85" s="1">
        <v>61.04</v>
      </c>
      <c r="H85" s="111"/>
      <c r="I85" s="111">
        <v>0</v>
      </c>
      <c r="J85" s="111"/>
      <c r="K85" s="111">
        <v>0</v>
      </c>
      <c r="L85" s="1">
        <v>0</v>
      </c>
      <c r="M85" s="1" t="e">
        <v>#DIV/0!</v>
      </c>
      <c r="N85" s="111">
        <v>52062</v>
      </c>
      <c r="O85" s="111">
        <v>474056</v>
      </c>
      <c r="P85" s="111">
        <v>85233</v>
      </c>
      <c r="Q85" s="111">
        <v>776638</v>
      </c>
      <c r="R85" s="1">
        <v>61.08</v>
      </c>
      <c r="S85" s="1">
        <v>61.04</v>
      </c>
      <c r="T85" s="1">
        <v>0</v>
      </c>
      <c r="U85" s="111">
        <v>10259</v>
      </c>
      <c r="V85" s="1">
        <v>0</v>
      </c>
      <c r="W85" s="111">
        <v>10818</v>
      </c>
      <c r="X85" s="1">
        <v>0</v>
      </c>
      <c r="Y85" s="111">
        <v>94.84</v>
      </c>
      <c r="Z85" s="111">
        <v>23578</v>
      </c>
      <c r="AA85" s="111">
        <v>138387</v>
      </c>
      <c r="AB85" s="111">
        <v>27114</v>
      </c>
      <c r="AC85" s="111">
        <v>158857</v>
      </c>
      <c r="AD85" s="1">
        <v>86.96</v>
      </c>
      <c r="AE85" s="1">
        <v>87.11</v>
      </c>
      <c r="AF85" s="111">
        <v>21475</v>
      </c>
      <c r="AG85" s="111">
        <v>170160</v>
      </c>
      <c r="AH85" s="111">
        <v>23569</v>
      </c>
      <c r="AI85" s="111">
        <v>186749</v>
      </c>
      <c r="AJ85" s="1">
        <v>91.12</v>
      </c>
      <c r="AK85" s="1">
        <v>91.12</v>
      </c>
      <c r="AL85" s="111">
        <v>97115</v>
      </c>
      <c r="AM85" s="111">
        <v>792862</v>
      </c>
      <c r="AN85" s="111">
        <v>135916</v>
      </c>
      <c r="AO85" s="111">
        <v>1133062</v>
      </c>
      <c r="AP85" s="1">
        <v>71.45</v>
      </c>
      <c r="AQ85" s="1">
        <v>69.98</v>
      </c>
      <c r="AR85" s="111">
        <v>154607</v>
      </c>
      <c r="AS85" s="111">
        <v>1618610</v>
      </c>
      <c r="AT85" s="111">
        <v>200609</v>
      </c>
      <c r="AU85" s="111">
        <v>2097046</v>
      </c>
      <c r="AV85" s="1">
        <v>77.069999999999993</v>
      </c>
      <c r="AW85" s="1">
        <v>77.19</v>
      </c>
      <c r="AX85" s="1">
        <v>0</v>
      </c>
      <c r="AY85" s="1">
        <v>0</v>
      </c>
      <c r="BD85" s="1">
        <v>62.71</v>
      </c>
      <c r="BE85" s="1">
        <v>68.540000000000006</v>
      </c>
      <c r="BH85" s="111">
        <v>97115</v>
      </c>
      <c r="BK85" s="111">
        <v>-135916</v>
      </c>
    </row>
    <row r="86" spans="1:63" ht="12.5" x14ac:dyDescent="0.25">
      <c r="A86" s="1"/>
      <c r="B86" s="111"/>
      <c r="C86" s="111"/>
      <c r="D86" s="111"/>
      <c r="E86" s="111"/>
      <c r="F86" s="1"/>
      <c r="G86" s="1"/>
      <c r="H86" s="111"/>
      <c r="I86" s="111"/>
      <c r="J86" s="111"/>
      <c r="K86" s="111"/>
      <c r="L86" s="1"/>
      <c r="M86" s="1"/>
      <c r="N86" s="111"/>
      <c r="O86" s="111"/>
      <c r="P86" s="111"/>
      <c r="Q86" s="111"/>
      <c r="R86" s="1"/>
      <c r="S86" s="1"/>
      <c r="U86" s="1"/>
      <c r="V86" s="1"/>
      <c r="Y86" s="111"/>
      <c r="AB86" s="111"/>
    </row>
    <row r="87" spans="1:63" ht="12.5" x14ac:dyDescent="0.25">
      <c r="A87" s="1"/>
      <c r="B87" s="111"/>
      <c r="C87" s="111"/>
      <c r="D87" s="111"/>
      <c r="E87" s="111"/>
      <c r="F87" s="1"/>
      <c r="G87" s="1"/>
      <c r="H87" s="111"/>
      <c r="I87" s="111"/>
      <c r="J87" s="111"/>
      <c r="K87" s="111"/>
      <c r="L87" s="1"/>
      <c r="M87" s="1"/>
      <c r="N87" s="111"/>
      <c r="O87" s="111"/>
      <c r="P87" s="111"/>
      <c r="Q87" s="111"/>
      <c r="R87" s="1"/>
      <c r="S87" s="1"/>
      <c r="U87" s="1"/>
      <c r="V87" s="1"/>
      <c r="Y87" s="111"/>
      <c r="AB87" s="111"/>
    </row>
    <row r="88" spans="1:63" ht="12.5" x14ac:dyDescent="0.25">
      <c r="A88" s="1" t="s">
        <v>171</v>
      </c>
      <c r="H88" s="1" t="s">
        <v>172</v>
      </c>
      <c r="N88" s="1" t="s">
        <v>131</v>
      </c>
      <c r="U88" s="1" t="s">
        <v>101</v>
      </c>
    </row>
    <row r="89" spans="1:63" ht="12.5" x14ac:dyDescent="0.25">
      <c r="A89" s="1" t="s">
        <v>102</v>
      </c>
      <c r="B89" s="1" t="s">
        <v>2</v>
      </c>
      <c r="D89" s="1" t="s">
        <v>3</v>
      </c>
      <c r="F89" s="1" t="s">
        <v>103</v>
      </c>
      <c r="H89" s="1" t="s">
        <v>2</v>
      </c>
      <c r="J89" s="1" t="s">
        <v>3</v>
      </c>
      <c r="L89" s="1" t="s">
        <v>103</v>
      </c>
      <c r="N89" s="1" t="s">
        <v>2</v>
      </c>
      <c r="P89" s="1" t="s">
        <v>3</v>
      </c>
      <c r="R89" s="1" t="s">
        <v>103</v>
      </c>
      <c r="T89" s="1"/>
      <c r="X89" s="1" t="s">
        <v>104</v>
      </c>
      <c r="Z89" s="1"/>
      <c r="AA89" s="1" t="s">
        <v>105</v>
      </c>
      <c r="AF89" s="1"/>
      <c r="AL89" s="1"/>
    </row>
    <row r="90" spans="1:63" ht="12.5" x14ac:dyDescent="0.25">
      <c r="A90" s="1"/>
      <c r="B90" s="1" t="s">
        <v>106</v>
      </c>
      <c r="C90" s="1" t="s">
        <v>107</v>
      </c>
      <c r="D90" s="1" t="s">
        <v>106</v>
      </c>
      <c r="E90" s="1" t="s">
        <v>107</v>
      </c>
      <c r="F90" s="1" t="s">
        <v>106</v>
      </c>
      <c r="G90" s="1" t="s">
        <v>107</v>
      </c>
      <c r="H90" s="1" t="s">
        <v>106</v>
      </c>
      <c r="I90" s="1" t="s">
        <v>107</v>
      </c>
      <c r="J90" s="1" t="s">
        <v>106</v>
      </c>
      <c r="K90" s="1" t="s">
        <v>107</v>
      </c>
      <c r="L90" s="1" t="s">
        <v>106</v>
      </c>
      <c r="M90" s="1" t="s">
        <v>107</v>
      </c>
      <c r="N90" s="1" t="s">
        <v>106</v>
      </c>
      <c r="O90" s="1" t="s">
        <v>107</v>
      </c>
      <c r="P90" s="1" t="s">
        <v>106</v>
      </c>
      <c r="Q90" s="1" t="s">
        <v>107</v>
      </c>
      <c r="R90" s="1" t="s">
        <v>106</v>
      </c>
      <c r="S90" s="1" t="s">
        <v>107</v>
      </c>
      <c r="T90" s="1"/>
      <c r="U90" s="1" t="s">
        <v>106</v>
      </c>
      <c r="V90" s="1" t="s">
        <v>107</v>
      </c>
      <c r="X90" s="1"/>
      <c r="Z90" s="1"/>
      <c r="AB90" s="1"/>
      <c r="AD90" s="1"/>
      <c r="AF90" s="1"/>
      <c r="AH90" s="1"/>
      <c r="AJ90" s="1"/>
      <c r="AL90" s="1"/>
      <c r="AN90" s="1"/>
      <c r="AP90" s="1"/>
      <c r="AS90" s="1"/>
      <c r="AU90" s="1"/>
      <c r="AW90" s="1"/>
      <c r="AY90" s="1"/>
      <c r="BE90" s="1"/>
      <c r="BH90" s="1"/>
    </row>
    <row r="91" spans="1:63" ht="12.5" x14ac:dyDescent="0.25">
      <c r="A91" s="1" t="s">
        <v>4</v>
      </c>
      <c r="B91" s="111">
        <v>42911</v>
      </c>
      <c r="C91" s="111">
        <v>42911</v>
      </c>
      <c r="D91" s="111">
        <v>74038</v>
      </c>
      <c r="E91" s="111">
        <v>74038</v>
      </c>
      <c r="F91" s="1">
        <v>57.96</v>
      </c>
      <c r="G91" s="1">
        <v>57.96</v>
      </c>
      <c r="H91" s="111">
        <v>15733</v>
      </c>
      <c r="I91" s="111">
        <v>15733</v>
      </c>
      <c r="J91" s="111">
        <v>18387</v>
      </c>
      <c r="K91" s="111">
        <v>18387</v>
      </c>
      <c r="L91" s="1">
        <v>85.56</v>
      </c>
      <c r="M91" s="1">
        <v>85.56</v>
      </c>
      <c r="N91" s="111">
        <v>58644</v>
      </c>
      <c r="O91" s="111">
        <v>58644</v>
      </c>
      <c r="P91" s="111">
        <v>92425</v>
      </c>
      <c r="Q91" s="111">
        <v>92425</v>
      </c>
      <c r="R91" s="1">
        <v>63.45</v>
      </c>
      <c r="S91" s="1">
        <v>63.45</v>
      </c>
      <c r="T91" s="1"/>
      <c r="U91" s="1">
        <v>80.11</v>
      </c>
      <c r="V91" s="1">
        <v>80.11</v>
      </c>
      <c r="W91" s="1"/>
      <c r="X91" s="1"/>
      <c r="Y91" s="111">
        <v>-58644</v>
      </c>
      <c r="Z91" s="1"/>
      <c r="AA91" s="1"/>
      <c r="AB91" s="111">
        <v>-92425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  <c r="AW91" s="1"/>
      <c r="AX91" s="1"/>
      <c r="AY91" s="1"/>
      <c r="AZ91" s="1"/>
      <c r="BB91" s="1"/>
      <c r="BC91" s="1"/>
      <c r="BE91" s="1"/>
      <c r="BF91" s="1"/>
    </row>
    <row r="92" spans="1:63" ht="12.5" x14ac:dyDescent="0.25">
      <c r="A92" s="1" t="s">
        <v>5</v>
      </c>
      <c r="B92" s="111">
        <v>43596</v>
      </c>
      <c r="C92" s="111">
        <v>86507</v>
      </c>
      <c r="D92" s="111">
        <v>75270</v>
      </c>
      <c r="E92" s="111">
        <v>149308</v>
      </c>
      <c r="F92" s="1">
        <v>57.92</v>
      </c>
      <c r="G92" s="1">
        <v>57.94</v>
      </c>
      <c r="H92" s="111">
        <v>11120</v>
      </c>
      <c r="I92" s="111">
        <v>26852</v>
      </c>
      <c r="J92" s="111">
        <v>12949</v>
      </c>
      <c r="K92" s="111">
        <v>31336</v>
      </c>
      <c r="L92" s="1">
        <v>85.87</v>
      </c>
      <c r="M92" s="1">
        <v>85.69</v>
      </c>
      <c r="N92" s="111">
        <v>54716</v>
      </c>
      <c r="O92" s="111">
        <v>113360</v>
      </c>
      <c r="P92" s="111">
        <v>88219</v>
      </c>
      <c r="Q92" s="111">
        <v>180644</v>
      </c>
      <c r="R92" s="1">
        <v>62.02</v>
      </c>
      <c r="S92" s="1">
        <v>62.75</v>
      </c>
      <c r="T92" s="111"/>
      <c r="U92" s="111">
        <v>85.32</v>
      </c>
      <c r="V92" s="111">
        <v>82.65</v>
      </c>
      <c r="W92" s="111"/>
      <c r="X92" s="1"/>
      <c r="Y92" s="111">
        <v>-54716</v>
      </c>
      <c r="Z92" s="111"/>
      <c r="AA92" s="111"/>
      <c r="AB92" s="111">
        <v>-88219</v>
      </c>
      <c r="AC92" s="111"/>
      <c r="AD92" s="1"/>
      <c r="AE92" s="1"/>
      <c r="AF92" s="111"/>
      <c r="AG92" s="111"/>
      <c r="AH92" s="111"/>
      <c r="AI92" s="111"/>
      <c r="AJ92" s="1"/>
      <c r="AK92" s="1"/>
      <c r="AL92" s="111"/>
      <c r="AM92" s="111"/>
      <c r="AN92" s="111"/>
      <c r="AO92" s="111"/>
      <c r="AP92" s="1"/>
      <c r="AQ92" s="1"/>
      <c r="AR92" s="113"/>
      <c r="AS92" s="1"/>
      <c r="AT92" s="1"/>
      <c r="AU92" s="1"/>
      <c r="AV92" s="1"/>
      <c r="AW92" s="1"/>
      <c r="AX92" s="1"/>
      <c r="AY92" s="1"/>
      <c r="AZ92" s="1"/>
      <c r="BC92" s="1"/>
      <c r="BE92" s="1"/>
      <c r="BF92" s="1"/>
      <c r="BH92" s="1"/>
      <c r="BI92" s="1"/>
    </row>
    <row r="93" spans="1:63" ht="12.5" x14ac:dyDescent="0.25">
      <c r="A93" s="1" t="s">
        <v>6</v>
      </c>
      <c r="B93" s="111">
        <v>33799</v>
      </c>
      <c r="C93" s="111">
        <v>120306</v>
      </c>
      <c r="D93" s="111">
        <v>57776</v>
      </c>
      <c r="E93" s="111">
        <v>207084</v>
      </c>
      <c r="F93" s="1">
        <v>58.5</v>
      </c>
      <c r="G93" s="1">
        <v>58.1</v>
      </c>
      <c r="H93" s="111">
        <v>13847</v>
      </c>
      <c r="I93" s="111">
        <v>40699</v>
      </c>
      <c r="J93" s="111">
        <v>16195</v>
      </c>
      <c r="K93" s="111">
        <v>47531</v>
      </c>
      <c r="L93" s="1">
        <v>85.5</v>
      </c>
      <c r="M93" s="1">
        <v>85.63</v>
      </c>
      <c r="N93" s="111">
        <v>47646</v>
      </c>
      <c r="O93" s="111">
        <v>161006</v>
      </c>
      <c r="P93" s="111">
        <v>73971</v>
      </c>
      <c r="Q93" s="111">
        <v>254615</v>
      </c>
      <c r="R93" s="1">
        <v>64.41</v>
      </c>
      <c r="S93" s="1">
        <v>63.23</v>
      </c>
      <c r="T93" s="111"/>
      <c r="U93" s="111">
        <v>78.11</v>
      </c>
      <c r="V93" s="111">
        <v>81.33</v>
      </c>
      <c r="W93" s="111"/>
      <c r="X93" s="1"/>
      <c r="Y93" s="111">
        <v>-47646</v>
      </c>
      <c r="Z93" s="111"/>
      <c r="AA93" s="111"/>
      <c r="AB93" s="111">
        <v>-73971</v>
      </c>
      <c r="AC93" s="111"/>
      <c r="AD93" s="1"/>
      <c r="AE93" s="1"/>
      <c r="AF93" s="111"/>
      <c r="AG93" s="111"/>
      <c r="AH93" s="111"/>
      <c r="AI93" s="111"/>
      <c r="AJ93" s="1"/>
      <c r="AK93" s="1"/>
      <c r="AL93" s="111"/>
      <c r="AM93" s="111"/>
      <c r="AN93" s="111"/>
      <c r="AO93" s="111"/>
      <c r="AP93" s="1"/>
      <c r="AQ93" s="1"/>
      <c r="AR93" s="114"/>
      <c r="AS93" s="1"/>
      <c r="AT93" s="1"/>
      <c r="AU93" s="1"/>
      <c r="AV93" s="1"/>
      <c r="AW93" s="1"/>
      <c r="AX93" s="1"/>
      <c r="AY93" s="1"/>
      <c r="AZ93" s="1"/>
      <c r="BC93" s="1"/>
      <c r="BE93" s="1"/>
      <c r="BF93" s="1"/>
      <c r="BH93" s="1"/>
      <c r="BI93" s="1"/>
    </row>
    <row r="94" spans="1:63" ht="12.5" x14ac:dyDescent="0.25">
      <c r="A94" s="1" t="s">
        <v>7</v>
      </c>
      <c r="B94" s="111">
        <v>45764</v>
      </c>
      <c r="C94" s="111">
        <v>166070</v>
      </c>
      <c r="D94" s="111">
        <v>78229</v>
      </c>
      <c r="E94" s="111">
        <v>285313</v>
      </c>
      <c r="F94" s="1">
        <v>58.5</v>
      </c>
      <c r="G94" s="1">
        <v>58.21</v>
      </c>
      <c r="H94" s="111">
        <v>16971</v>
      </c>
      <c r="I94" s="111">
        <v>57670</v>
      </c>
      <c r="J94" s="111">
        <v>19849</v>
      </c>
      <c r="K94" s="111">
        <v>67380</v>
      </c>
      <c r="L94" s="1">
        <v>85.5</v>
      </c>
      <c r="M94" s="1">
        <v>85.59</v>
      </c>
      <c r="N94" s="111">
        <v>62735</v>
      </c>
      <c r="O94" s="111">
        <v>223741</v>
      </c>
      <c r="P94" s="111">
        <v>98078</v>
      </c>
      <c r="Q94" s="111">
        <v>352693</v>
      </c>
      <c r="R94" s="1">
        <v>63.96</v>
      </c>
      <c r="S94" s="1">
        <v>63.44</v>
      </c>
      <c r="T94" s="111"/>
      <c r="U94" s="111">
        <v>79.760000000000005</v>
      </c>
      <c r="V94" s="111">
        <v>80.900000000000006</v>
      </c>
      <c r="W94" s="111"/>
      <c r="X94" s="1"/>
      <c r="Y94" s="111">
        <v>-62735</v>
      </c>
      <c r="Z94" s="111"/>
      <c r="AA94" s="111"/>
      <c r="AB94" s="111">
        <v>-98078</v>
      </c>
      <c r="AC94" s="111"/>
      <c r="AD94" s="1"/>
      <c r="AE94" s="1"/>
      <c r="AF94" s="111"/>
      <c r="AG94" s="111"/>
      <c r="AH94" s="111"/>
      <c r="AI94" s="111"/>
      <c r="AJ94" s="1"/>
      <c r="AK94" s="1"/>
      <c r="AL94" s="111"/>
      <c r="AM94" s="111"/>
      <c r="AN94" s="111"/>
      <c r="AO94" s="111"/>
      <c r="AP94" s="1"/>
      <c r="AQ94" s="1"/>
      <c r="AR94" s="113"/>
      <c r="AS94" s="1"/>
      <c r="AT94" s="1"/>
      <c r="AU94" s="1"/>
      <c r="AV94" s="1"/>
      <c r="AW94" s="1"/>
      <c r="AX94" s="1"/>
      <c r="AY94" s="1"/>
      <c r="AZ94" s="1"/>
      <c r="BC94" s="1"/>
      <c r="BE94" s="1"/>
      <c r="BF94" s="1"/>
      <c r="BH94" s="1"/>
      <c r="BI94" s="1"/>
    </row>
    <row r="95" spans="1:63" ht="12.5" x14ac:dyDescent="0.25">
      <c r="A95" s="1" t="s">
        <v>8</v>
      </c>
      <c r="B95" s="111">
        <v>58032</v>
      </c>
      <c r="C95" s="111">
        <v>224102</v>
      </c>
      <c r="D95" s="111">
        <v>99201</v>
      </c>
      <c r="E95" s="111">
        <v>384514</v>
      </c>
      <c r="F95" s="1">
        <v>58.5</v>
      </c>
      <c r="G95" s="1">
        <v>58.28</v>
      </c>
      <c r="H95" s="111">
        <v>26014</v>
      </c>
      <c r="I95" s="111">
        <v>83684</v>
      </c>
      <c r="J95" s="111">
        <v>30426</v>
      </c>
      <c r="K95" s="111">
        <v>97806</v>
      </c>
      <c r="L95" s="1">
        <v>85.5</v>
      </c>
      <c r="M95" s="1">
        <v>85.56</v>
      </c>
      <c r="N95" s="111">
        <v>84046</v>
      </c>
      <c r="O95" s="111">
        <v>307787</v>
      </c>
      <c r="P95" s="111">
        <v>129627</v>
      </c>
      <c r="Q95" s="111">
        <v>482320</v>
      </c>
      <c r="R95" s="1">
        <v>64.84</v>
      </c>
      <c r="S95" s="1">
        <v>63.81</v>
      </c>
      <c r="T95" s="111"/>
      <c r="U95" s="111">
        <v>76.53</v>
      </c>
      <c r="V95" s="111">
        <v>79.72</v>
      </c>
      <c r="W95" s="111"/>
      <c r="X95" s="1"/>
      <c r="Y95" s="111">
        <v>-84046</v>
      </c>
      <c r="Z95" s="111"/>
      <c r="AA95" s="111"/>
      <c r="AB95" s="111">
        <v>-129627</v>
      </c>
      <c r="AC95" s="111"/>
      <c r="AD95" s="1"/>
      <c r="AE95" s="1"/>
      <c r="AF95" s="111"/>
      <c r="AG95" s="111"/>
      <c r="AH95" s="111"/>
      <c r="AI95" s="111"/>
      <c r="AJ95" s="1"/>
      <c r="AK95" s="1"/>
      <c r="AL95" s="111"/>
      <c r="AM95" s="111"/>
      <c r="AN95" s="111"/>
      <c r="AO95" s="111"/>
      <c r="AP95" s="1"/>
      <c r="AQ95" s="1"/>
      <c r="AR95" s="113"/>
      <c r="AS95" s="1"/>
      <c r="AT95" s="1"/>
      <c r="AU95" s="1"/>
      <c r="AV95" s="1"/>
      <c r="AW95" s="1"/>
      <c r="AX95" s="1"/>
      <c r="AY95" s="1"/>
      <c r="AZ95" s="1"/>
      <c r="BC95" s="1"/>
      <c r="BE95" s="1"/>
      <c r="BF95" s="1"/>
      <c r="BH95" s="1"/>
      <c r="BI95" s="1"/>
    </row>
    <row r="96" spans="1:63" ht="12.5" x14ac:dyDescent="0.25">
      <c r="A96" s="1" t="s">
        <v>9</v>
      </c>
      <c r="B96" s="111">
        <v>48704</v>
      </c>
      <c r="C96" s="111">
        <v>272806</v>
      </c>
      <c r="D96" s="111">
        <v>83254</v>
      </c>
      <c r="E96" s="111">
        <v>467768</v>
      </c>
      <c r="F96" s="1">
        <v>58.5</v>
      </c>
      <c r="G96" s="1">
        <v>58.32</v>
      </c>
      <c r="H96" s="111">
        <v>24308</v>
      </c>
      <c r="I96" s="111">
        <v>107992</v>
      </c>
      <c r="J96" s="111">
        <v>28431</v>
      </c>
      <c r="K96" s="111">
        <v>126237</v>
      </c>
      <c r="L96" s="1">
        <v>85.5</v>
      </c>
      <c r="M96" s="1">
        <v>85.55</v>
      </c>
      <c r="N96" s="111">
        <v>73012</v>
      </c>
      <c r="O96" s="111">
        <v>380799</v>
      </c>
      <c r="P96" s="111">
        <v>111685</v>
      </c>
      <c r="Q96" s="111">
        <v>594005</v>
      </c>
      <c r="R96" s="1">
        <v>65.37</v>
      </c>
      <c r="S96" s="1">
        <v>64.11</v>
      </c>
      <c r="T96" s="111"/>
      <c r="U96" s="111">
        <v>74.540000000000006</v>
      </c>
      <c r="V96" s="111">
        <v>78.75</v>
      </c>
      <c r="W96" s="111"/>
      <c r="X96" s="1"/>
      <c r="Y96" s="111">
        <v>-73012</v>
      </c>
      <c r="Z96" s="111"/>
      <c r="AA96" s="111"/>
      <c r="AB96" s="111">
        <v>-111685</v>
      </c>
      <c r="AC96" s="111"/>
      <c r="AD96" s="1"/>
      <c r="AE96" s="1"/>
      <c r="AF96" s="111"/>
      <c r="AG96" s="111"/>
      <c r="AH96" s="111"/>
      <c r="AI96" s="111"/>
      <c r="AJ96" s="1"/>
      <c r="AK96" s="1"/>
      <c r="AL96" s="111"/>
      <c r="AM96" s="111"/>
      <c r="AN96" s="111"/>
      <c r="AO96" s="111"/>
      <c r="AP96" s="1"/>
      <c r="AQ96" s="1"/>
      <c r="AR96" s="113"/>
      <c r="AS96" s="1"/>
      <c r="AT96" s="1"/>
      <c r="AU96" s="1"/>
      <c r="AV96" s="1"/>
      <c r="AW96" s="1"/>
      <c r="AX96" s="1"/>
      <c r="AY96" s="1"/>
      <c r="AZ96" s="1"/>
      <c r="BC96" s="1"/>
      <c r="BE96" s="1"/>
      <c r="BF96" s="1"/>
      <c r="BH96" s="1"/>
      <c r="BI96" s="1"/>
    </row>
    <row r="97" spans="1:61" ht="12.5" x14ac:dyDescent="0.25">
      <c r="A97" s="1" t="s">
        <v>10</v>
      </c>
      <c r="B97" s="111">
        <v>58533</v>
      </c>
      <c r="C97" s="111">
        <v>331339</v>
      </c>
      <c r="D97" s="111">
        <v>100056</v>
      </c>
      <c r="E97" s="111">
        <v>567824</v>
      </c>
      <c r="F97" s="1">
        <v>58.5</v>
      </c>
      <c r="G97" s="1">
        <v>58.35</v>
      </c>
      <c r="H97" s="111">
        <v>26875</v>
      </c>
      <c r="I97" s="111">
        <v>134867</v>
      </c>
      <c r="J97" s="111">
        <v>31432</v>
      </c>
      <c r="K97" s="111">
        <v>157669</v>
      </c>
      <c r="L97" s="1">
        <v>85.5</v>
      </c>
      <c r="M97" s="1">
        <v>85.54</v>
      </c>
      <c r="N97" s="111">
        <v>85408</v>
      </c>
      <c r="O97" s="111">
        <v>466207</v>
      </c>
      <c r="P97" s="111">
        <v>131488</v>
      </c>
      <c r="Q97" s="111">
        <v>725493</v>
      </c>
      <c r="R97" s="1">
        <v>64.95</v>
      </c>
      <c r="S97" s="1">
        <v>64.260000000000005</v>
      </c>
      <c r="T97" s="111"/>
      <c r="U97" s="111">
        <v>76.099999999999994</v>
      </c>
      <c r="V97" s="111">
        <v>78.27</v>
      </c>
      <c r="W97" s="111"/>
      <c r="X97" s="1"/>
      <c r="Y97" s="111">
        <v>-85408</v>
      </c>
      <c r="Z97" s="111"/>
      <c r="AA97" s="111"/>
      <c r="AB97" s="111">
        <v>-131488</v>
      </c>
      <c r="AC97" s="111"/>
      <c r="AD97" s="1"/>
      <c r="AE97" s="1"/>
      <c r="AF97" s="111"/>
      <c r="AG97" s="111"/>
      <c r="AH97" s="111"/>
      <c r="AI97" s="111"/>
      <c r="AJ97" s="1"/>
      <c r="AK97" s="1"/>
      <c r="AL97" s="111"/>
      <c r="AM97" s="111"/>
      <c r="AN97" s="111"/>
      <c r="AO97" s="111"/>
      <c r="AP97" s="1"/>
      <c r="AQ97" s="1"/>
      <c r="AR97" s="113"/>
      <c r="AS97" s="1"/>
      <c r="AT97" s="1"/>
      <c r="AU97" s="1"/>
      <c r="AV97" s="1"/>
      <c r="AW97" s="1"/>
      <c r="AX97" s="1"/>
      <c r="AY97" s="1"/>
      <c r="AZ97" s="1"/>
      <c r="BC97" s="1"/>
      <c r="BE97" s="1"/>
      <c r="BF97" s="1"/>
      <c r="BH97" s="1"/>
      <c r="BI97" s="1"/>
    </row>
    <row r="98" spans="1:61" ht="12.5" x14ac:dyDescent="0.25">
      <c r="A98" s="1" t="s">
        <v>11</v>
      </c>
      <c r="B98" s="111">
        <v>57548</v>
      </c>
      <c r="C98" s="111">
        <v>388887</v>
      </c>
      <c r="D98" s="111">
        <v>98373</v>
      </c>
      <c r="E98" s="111">
        <v>666197</v>
      </c>
      <c r="F98" s="1">
        <v>58.5</v>
      </c>
      <c r="G98" s="1">
        <v>58.37</v>
      </c>
      <c r="H98" s="111">
        <v>25859</v>
      </c>
      <c r="I98" s="111">
        <v>160726</v>
      </c>
      <c r="J98" s="111">
        <v>30245</v>
      </c>
      <c r="K98" s="111">
        <v>187914</v>
      </c>
      <c r="L98" s="1">
        <v>85.5</v>
      </c>
      <c r="M98" s="1">
        <v>85.53</v>
      </c>
      <c r="N98" s="111">
        <v>83407</v>
      </c>
      <c r="O98" s="111">
        <v>549614</v>
      </c>
      <c r="P98" s="111">
        <v>128618</v>
      </c>
      <c r="Q98" s="111">
        <v>854111</v>
      </c>
      <c r="R98" s="1">
        <v>64.849999999999994</v>
      </c>
      <c r="S98" s="1">
        <v>64.349999999999994</v>
      </c>
      <c r="T98" s="111"/>
      <c r="U98" s="111">
        <v>76.48</v>
      </c>
      <c r="V98" s="111">
        <v>78</v>
      </c>
      <c r="W98" s="111"/>
      <c r="X98" s="1"/>
      <c r="Y98" s="111">
        <v>-83407</v>
      </c>
      <c r="Z98" s="111"/>
      <c r="AA98" s="111"/>
      <c r="AB98" s="111">
        <v>-128618</v>
      </c>
      <c r="AC98" s="111"/>
      <c r="AD98" s="1"/>
      <c r="AE98" s="1"/>
      <c r="AF98" s="111"/>
      <c r="AG98" s="111"/>
      <c r="AH98" s="111"/>
      <c r="AI98" s="111"/>
      <c r="AJ98" s="1"/>
      <c r="AK98" s="1"/>
      <c r="AL98" s="111"/>
      <c r="AM98" s="111"/>
      <c r="AN98" s="111"/>
      <c r="AO98" s="111"/>
      <c r="AP98" s="1"/>
      <c r="AQ98" s="1"/>
      <c r="AR98" s="113"/>
      <c r="AS98" s="1"/>
      <c r="AT98" s="1"/>
      <c r="AU98" s="1"/>
      <c r="AV98" s="1"/>
      <c r="AW98" s="1"/>
      <c r="AX98" s="1"/>
      <c r="AY98" s="1"/>
      <c r="AZ98" s="1"/>
      <c r="BC98" s="1"/>
      <c r="BE98" s="1"/>
      <c r="BF98" s="1"/>
      <c r="BH98" s="1"/>
      <c r="BI98" s="1"/>
    </row>
    <row r="99" spans="1:61" ht="12.5" x14ac:dyDescent="0.25">
      <c r="A99" s="1" t="s">
        <v>12</v>
      </c>
      <c r="B99" s="111">
        <v>59548</v>
      </c>
      <c r="C99" s="111">
        <v>448435</v>
      </c>
      <c r="D99" s="111">
        <v>101791</v>
      </c>
      <c r="E99" s="111">
        <v>767988</v>
      </c>
      <c r="F99" s="1">
        <v>58.5</v>
      </c>
      <c r="G99" s="1">
        <v>58.39</v>
      </c>
      <c r="H99" s="111">
        <v>25865</v>
      </c>
      <c r="I99" s="111">
        <v>186591</v>
      </c>
      <c r="J99" s="111">
        <v>30251</v>
      </c>
      <c r="K99" s="111">
        <v>218165</v>
      </c>
      <c r="L99" s="1">
        <v>85.5</v>
      </c>
      <c r="M99" s="1">
        <v>85.53</v>
      </c>
      <c r="N99" s="111">
        <v>85413</v>
      </c>
      <c r="O99" s="111">
        <v>635027</v>
      </c>
      <c r="P99" s="111">
        <v>132042</v>
      </c>
      <c r="Q99" s="111">
        <v>986153</v>
      </c>
      <c r="R99" s="1">
        <v>64.69</v>
      </c>
      <c r="S99" s="1">
        <v>64.39</v>
      </c>
      <c r="T99" s="111"/>
      <c r="U99" s="111">
        <v>77.09</v>
      </c>
      <c r="V99" s="111">
        <v>77.88</v>
      </c>
      <c r="W99" s="111"/>
      <c r="X99" s="1"/>
      <c r="Y99" s="111">
        <v>-85413</v>
      </c>
      <c r="Z99" s="111"/>
      <c r="AA99" s="111"/>
      <c r="AB99" s="111">
        <v>-132042</v>
      </c>
      <c r="AC99" s="111"/>
      <c r="AD99" s="1"/>
      <c r="AE99" s="1"/>
      <c r="AF99" s="111"/>
      <c r="AG99" s="111"/>
      <c r="AH99" s="111"/>
      <c r="AI99" s="111"/>
      <c r="AJ99" s="1"/>
      <c r="AK99" s="1"/>
      <c r="AL99" s="111"/>
      <c r="AM99" s="111"/>
      <c r="AN99" s="111"/>
      <c r="AO99" s="111"/>
      <c r="AP99" s="1"/>
      <c r="AQ99" s="1"/>
      <c r="AR99" s="113"/>
      <c r="AS99" s="1"/>
      <c r="AT99" s="1"/>
      <c r="AU99" s="1"/>
      <c r="AV99" s="1"/>
      <c r="AW99" s="1"/>
      <c r="AX99" s="1"/>
      <c r="AY99" s="1"/>
      <c r="AZ99" s="1"/>
      <c r="BC99" s="1"/>
      <c r="BE99" s="1"/>
      <c r="BF99" s="1"/>
      <c r="BH99" s="1"/>
      <c r="BI99" s="1"/>
    </row>
    <row r="100" spans="1:61" ht="12.5" x14ac:dyDescent="0.25">
      <c r="A100" s="1" t="s">
        <v>13</v>
      </c>
      <c r="B100" s="111">
        <v>62926</v>
      </c>
      <c r="C100" s="111">
        <v>511361</v>
      </c>
      <c r="D100" s="111">
        <v>107565</v>
      </c>
      <c r="E100" s="111">
        <v>875553</v>
      </c>
      <c r="F100" s="1">
        <v>58.5</v>
      </c>
      <c r="G100" s="1">
        <v>58.4</v>
      </c>
      <c r="H100" s="111">
        <v>25743</v>
      </c>
      <c r="I100" s="111">
        <v>212334</v>
      </c>
      <c r="J100" s="111">
        <v>30109</v>
      </c>
      <c r="K100" s="111">
        <v>248274</v>
      </c>
      <c r="L100" s="1">
        <v>85.5</v>
      </c>
      <c r="M100" s="1">
        <v>85.52</v>
      </c>
      <c r="N100" s="111">
        <v>88669</v>
      </c>
      <c r="O100" s="111">
        <v>723696</v>
      </c>
      <c r="P100" s="111">
        <v>137674</v>
      </c>
      <c r="Q100" s="111">
        <v>1123827</v>
      </c>
      <c r="R100" s="1">
        <v>64.41</v>
      </c>
      <c r="S100" s="1">
        <v>64.400000000000006</v>
      </c>
      <c r="T100" s="111"/>
      <c r="U100" s="111">
        <v>78.13</v>
      </c>
      <c r="V100" s="111">
        <v>77.91</v>
      </c>
      <c r="W100" s="111"/>
      <c r="X100" s="1"/>
      <c r="Y100" s="111">
        <v>-88669</v>
      </c>
      <c r="Z100" s="111"/>
      <c r="AA100" s="111"/>
      <c r="AB100" s="111">
        <v>-137674</v>
      </c>
      <c r="AC100" s="111"/>
      <c r="AD100" s="1"/>
      <c r="AE100" s="1"/>
      <c r="AF100" s="111"/>
      <c r="AG100" s="111"/>
      <c r="AH100" s="111"/>
      <c r="AI100" s="111"/>
      <c r="AJ100" s="1"/>
      <c r="AK100" s="1"/>
      <c r="AL100" s="111"/>
      <c r="AM100" s="111"/>
      <c r="AN100" s="111"/>
      <c r="AO100" s="111"/>
      <c r="AP100" s="1"/>
      <c r="AQ100" s="1"/>
      <c r="AR100" s="113"/>
      <c r="AS100" s="1"/>
      <c r="AT100" s="1"/>
      <c r="AU100" s="1"/>
      <c r="AV100" s="1"/>
      <c r="AW100" s="1"/>
      <c r="AX100" s="1"/>
      <c r="AY100" s="1"/>
      <c r="AZ100" s="1"/>
      <c r="BC100" s="1"/>
      <c r="BE100" s="1"/>
      <c r="BF100" s="1"/>
      <c r="BH100" s="1"/>
      <c r="BI100" s="1"/>
    </row>
    <row r="101" spans="1:61" ht="12.5" x14ac:dyDescent="0.25">
      <c r="A101" s="1" t="s">
        <v>14</v>
      </c>
      <c r="B101" s="111">
        <v>53826</v>
      </c>
      <c r="C101" s="111">
        <v>565187</v>
      </c>
      <c r="D101" s="111">
        <v>92010</v>
      </c>
      <c r="E101" s="111">
        <v>967563</v>
      </c>
      <c r="F101" s="1">
        <v>58.5</v>
      </c>
      <c r="G101" s="1">
        <v>58.41</v>
      </c>
      <c r="H101" s="111">
        <v>28408</v>
      </c>
      <c r="I101" s="111">
        <v>240742</v>
      </c>
      <c r="J101" s="111">
        <v>33226</v>
      </c>
      <c r="K101" s="111">
        <v>281500</v>
      </c>
      <c r="L101" s="1">
        <v>85.5</v>
      </c>
      <c r="M101" s="1">
        <v>85.52</v>
      </c>
      <c r="N101" s="111">
        <v>82234</v>
      </c>
      <c r="O101" s="111">
        <v>805930</v>
      </c>
      <c r="P101" s="111">
        <v>125236</v>
      </c>
      <c r="Q101" s="111">
        <v>1249063</v>
      </c>
      <c r="R101" s="1">
        <v>65.66</v>
      </c>
      <c r="S101" s="1">
        <v>64.52</v>
      </c>
      <c r="U101" s="1">
        <v>73.47</v>
      </c>
      <c r="V101" s="1">
        <v>77.459999999999994</v>
      </c>
      <c r="Y101" s="111">
        <v>-82234</v>
      </c>
      <c r="AB101" s="111">
        <v>-125236</v>
      </c>
      <c r="AS101" s="1"/>
    </row>
    <row r="102" spans="1:61" ht="12.5" x14ac:dyDescent="0.25">
      <c r="A102" s="1" t="s">
        <v>15</v>
      </c>
      <c r="B102" s="111">
        <v>53145</v>
      </c>
      <c r="C102" s="111">
        <v>618332</v>
      </c>
      <c r="D102" s="111">
        <v>90846</v>
      </c>
      <c r="E102" s="111">
        <v>1058409</v>
      </c>
      <c r="F102" s="1">
        <v>58.5</v>
      </c>
      <c r="G102" s="1">
        <v>58.42</v>
      </c>
      <c r="H102" s="111">
        <v>27928</v>
      </c>
      <c r="I102" s="111">
        <v>268670</v>
      </c>
      <c r="J102" s="111">
        <v>32664</v>
      </c>
      <c r="K102" s="111">
        <v>314164</v>
      </c>
      <c r="L102" s="1">
        <v>85.5</v>
      </c>
      <c r="M102" s="1">
        <v>85.52</v>
      </c>
      <c r="N102" s="111">
        <v>81073</v>
      </c>
      <c r="O102" s="111">
        <v>887003</v>
      </c>
      <c r="P102" s="111">
        <v>123510</v>
      </c>
      <c r="Q102" s="111">
        <v>1372573</v>
      </c>
      <c r="R102" s="1">
        <v>65.64</v>
      </c>
      <c r="S102" s="1">
        <v>64.62</v>
      </c>
      <c r="U102" s="1">
        <v>73.55</v>
      </c>
      <c r="V102" s="1">
        <v>77.11</v>
      </c>
      <c r="Y102" s="111">
        <v>-81073</v>
      </c>
      <c r="AB102" s="111">
        <v>-123510</v>
      </c>
      <c r="AS102" s="1"/>
    </row>
    <row r="103" spans="1:61" ht="12.5" x14ac:dyDescent="0.25">
      <c r="I103" s="1"/>
      <c r="J103" s="1"/>
      <c r="P103" s="1"/>
      <c r="AS103" s="1"/>
    </row>
    <row r="104" spans="1:61" ht="12.5" x14ac:dyDescent="0.25">
      <c r="A104" s="1" t="s">
        <v>132</v>
      </c>
      <c r="H104" s="1" t="s">
        <v>159</v>
      </c>
      <c r="J104" s="1"/>
      <c r="K104" s="1"/>
      <c r="L104" s="1"/>
      <c r="N104" s="1" t="s">
        <v>160</v>
      </c>
      <c r="P104" s="1"/>
      <c r="Q104" s="1"/>
      <c r="R104" s="1"/>
      <c r="T104" s="1" t="s">
        <v>133</v>
      </c>
      <c r="Z104" s="1" t="s">
        <v>134</v>
      </c>
      <c r="AF104" s="1" t="s">
        <v>135</v>
      </c>
      <c r="AL104" s="1" t="s">
        <v>173</v>
      </c>
    </row>
    <row r="105" spans="1:61" ht="12.5" x14ac:dyDescent="0.25">
      <c r="A105" s="1" t="s">
        <v>102</v>
      </c>
      <c r="B105" s="1" t="s">
        <v>2</v>
      </c>
      <c r="D105" s="1" t="s">
        <v>3</v>
      </c>
      <c r="F105" s="1" t="s">
        <v>103</v>
      </c>
      <c r="H105" s="1" t="s">
        <v>2</v>
      </c>
      <c r="I105" s="1"/>
      <c r="J105" s="111" t="s">
        <v>3</v>
      </c>
      <c r="K105" s="111"/>
      <c r="L105" s="1" t="s">
        <v>103</v>
      </c>
      <c r="M105" s="1"/>
      <c r="N105" s="1" t="s">
        <v>2</v>
      </c>
      <c r="P105" s="111" t="s">
        <v>3</v>
      </c>
      <c r="Q105" s="111"/>
      <c r="R105" s="1" t="s">
        <v>103</v>
      </c>
      <c r="S105" s="1"/>
      <c r="T105" s="1" t="s">
        <v>2</v>
      </c>
      <c r="V105" s="1" t="s">
        <v>3</v>
      </c>
      <c r="X105" s="1" t="s">
        <v>103</v>
      </c>
      <c r="Z105" s="1" t="s">
        <v>2</v>
      </c>
      <c r="AB105" s="1" t="s">
        <v>3</v>
      </c>
      <c r="AD105" s="1" t="s">
        <v>103</v>
      </c>
      <c r="AF105" s="1" t="s">
        <v>2</v>
      </c>
      <c r="AH105" s="1" t="s">
        <v>3</v>
      </c>
      <c r="AJ105" s="1" t="s">
        <v>103</v>
      </c>
      <c r="AL105" s="1" t="s">
        <v>2</v>
      </c>
      <c r="AN105" s="1" t="s">
        <v>3</v>
      </c>
      <c r="AP105" s="1" t="s">
        <v>103</v>
      </c>
      <c r="AS105" s="1" t="s">
        <v>101</v>
      </c>
      <c r="AU105" s="1" t="s">
        <v>163</v>
      </c>
      <c r="AW105" s="1" t="s">
        <v>164</v>
      </c>
      <c r="AY105" s="1" t="s">
        <v>165</v>
      </c>
      <c r="BE105" s="1" t="s">
        <v>136</v>
      </c>
      <c r="BH105" s="1" t="s">
        <v>137</v>
      </c>
    </row>
    <row r="106" spans="1:61" ht="12.5" x14ac:dyDescent="0.25">
      <c r="B106" s="1" t="s">
        <v>106</v>
      </c>
      <c r="C106" s="1" t="s">
        <v>107</v>
      </c>
      <c r="D106" s="1" t="s">
        <v>106</v>
      </c>
      <c r="E106" s="1" t="s">
        <v>107</v>
      </c>
      <c r="F106" s="1" t="s">
        <v>106</v>
      </c>
      <c r="G106" s="1" t="s">
        <v>107</v>
      </c>
      <c r="H106" s="1" t="s">
        <v>106</v>
      </c>
      <c r="I106" s="1" t="s">
        <v>107</v>
      </c>
      <c r="J106" s="111" t="s">
        <v>106</v>
      </c>
      <c r="K106" s="111" t="s">
        <v>107</v>
      </c>
      <c r="L106" s="1" t="s">
        <v>106</v>
      </c>
      <c r="M106" s="1" t="s">
        <v>107</v>
      </c>
      <c r="N106" s="1" t="s">
        <v>106</v>
      </c>
      <c r="O106" s="1" t="s">
        <v>107</v>
      </c>
      <c r="P106" s="111" t="s">
        <v>106</v>
      </c>
      <c r="Q106" s="111" t="s">
        <v>107</v>
      </c>
      <c r="R106" s="1" t="s">
        <v>106</v>
      </c>
      <c r="S106" s="1" t="s">
        <v>107</v>
      </c>
      <c r="T106" s="1" t="s">
        <v>106</v>
      </c>
      <c r="U106" s="1" t="s">
        <v>107</v>
      </c>
      <c r="V106" s="1" t="s">
        <v>106</v>
      </c>
      <c r="W106" s="1" t="s">
        <v>107</v>
      </c>
      <c r="X106" s="1" t="s">
        <v>106</v>
      </c>
      <c r="Y106" s="1" t="s">
        <v>107</v>
      </c>
      <c r="Z106" s="1" t="s">
        <v>106</v>
      </c>
      <c r="AA106" s="1" t="s">
        <v>107</v>
      </c>
      <c r="AB106" s="1" t="s">
        <v>106</v>
      </c>
      <c r="AC106" s="1" t="s">
        <v>107</v>
      </c>
      <c r="AD106" s="1" t="s">
        <v>106</v>
      </c>
      <c r="AE106" s="1" t="s">
        <v>107</v>
      </c>
      <c r="AF106" s="1" t="s">
        <v>106</v>
      </c>
      <c r="AG106" s="1" t="s">
        <v>107</v>
      </c>
      <c r="AH106" s="1" t="s">
        <v>106</v>
      </c>
      <c r="AI106" s="1" t="s">
        <v>107</v>
      </c>
      <c r="AJ106" s="1" t="s">
        <v>106</v>
      </c>
      <c r="AK106" s="1" t="s">
        <v>107</v>
      </c>
      <c r="AL106" s="1" t="s">
        <v>106</v>
      </c>
      <c r="AM106" s="1" t="s">
        <v>107</v>
      </c>
      <c r="AN106" s="1" t="s">
        <v>106</v>
      </c>
      <c r="AO106" s="1" t="s">
        <v>107</v>
      </c>
      <c r="AP106" s="1" t="s">
        <v>106</v>
      </c>
      <c r="AQ106" s="1" t="s">
        <v>107</v>
      </c>
      <c r="AS106" s="1" t="s">
        <v>106</v>
      </c>
      <c r="AT106" s="1" t="s">
        <v>107</v>
      </c>
      <c r="AU106" s="1" t="s">
        <v>106</v>
      </c>
      <c r="AV106" s="1" t="s">
        <v>107</v>
      </c>
      <c r="AW106" s="1" t="s">
        <v>106</v>
      </c>
      <c r="AX106" s="1" t="s">
        <v>107</v>
      </c>
      <c r="AY106" s="1" t="s">
        <v>106</v>
      </c>
      <c r="AZ106" s="1" t="s">
        <v>107</v>
      </c>
      <c r="BB106" s="1" t="s">
        <v>106</v>
      </c>
      <c r="BC106" s="1" t="s">
        <v>107</v>
      </c>
      <c r="BE106" s="1" t="s">
        <v>106</v>
      </c>
      <c r="BF106" s="1" t="s">
        <v>107</v>
      </c>
    </row>
    <row r="107" spans="1:61" ht="12.5" x14ac:dyDescent="0.25">
      <c r="A107" s="1" t="s">
        <v>4</v>
      </c>
      <c r="B107" s="111">
        <v>568727</v>
      </c>
      <c r="C107" s="111">
        <v>568727</v>
      </c>
      <c r="D107" s="111">
        <v>817151</v>
      </c>
      <c r="E107" s="111">
        <v>817151</v>
      </c>
      <c r="F107" s="1">
        <v>69.599999999999994</v>
      </c>
      <c r="G107" s="1">
        <v>69.599999999999994</v>
      </c>
      <c r="H107" s="111">
        <v>225169</v>
      </c>
      <c r="I107" s="111">
        <v>225169</v>
      </c>
      <c r="J107" s="111">
        <v>254058</v>
      </c>
      <c r="K107" s="111">
        <v>254058</v>
      </c>
      <c r="L107" s="1">
        <v>88.63</v>
      </c>
      <c r="M107" s="1">
        <v>88.63</v>
      </c>
      <c r="N107" s="111">
        <v>343557</v>
      </c>
      <c r="O107" s="111">
        <v>343557</v>
      </c>
      <c r="P107" s="111">
        <v>563093</v>
      </c>
      <c r="Q107" s="111">
        <v>563093</v>
      </c>
      <c r="R107" s="1">
        <v>61.01</v>
      </c>
      <c r="S107" s="1">
        <v>61.01</v>
      </c>
      <c r="T107" s="111">
        <v>303548</v>
      </c>
      <c r="U107" s="111">
        <v>303548</v>
      </c>
      <c r="V107" s="111">
        <v>515218</v>
      </c>
      <c r="W107" s="111">
        <v>515218</v>
      </c>
      <c r="X107" s="1">
        <v>58.92</v>
      </c>
      <c r="Y107" s="1">
        <v>58.92</v>
      </c>
      <c r="Z107" s="111">
        <v>265179</v>
      </c>
      <c r="AA107" s="111">
        <v>265179</v>
      </c>
      <c r="AB107" s="111">
        <v>301933</v>
      </c>
      <c r="AC107" s="111">
        <v>301933</v>
      </c>
      <c r="AD107" s="1">
        <v>87.83</v>
      </c>
      <c r="AE107" s="1">
        <v>87.83</v>
      </c>
      <c r="AF107" s="111">
        <v>332643</v>
      </c>
      <c r="AG107" s="111">
        <v>332643</v>
      </c>
      <c r="AH107" s="111">
        <v>548090</v>
      </c>
      <c r="AI107" s="111">
        <v>548090</v>
      </c>
      <c r="AJ107" s="1">
        <v>60.69</v>
      </c>
      <c r="AK107" s="1">
        <v>60.69</v>
      </c>
      <c r="AL107" s="111">
        <v>343557</v>
      </c>
      <c r="AM107" s="111">
        <v>343557</v>
      </c>
      <c r="AN107" s="111">
        <v>563093</v>
      </c>
      <c r="AO107" s="111">
        <v>563093</v>
      </c>
      <c r="AP107" s="1">
        <v>61.01</v>
      </c>
      <c r="AQ107" s="1">
        <v>61.01</v>
      </c>
      <c r="AR107" s="113">
        <v>45682</v>
      </c>
      <c r="AS107" s="1">
        <v>68.91</v>
      </c>
      <c r="AT107" s="1">
        <v>68.91</v>
      </c>
      <c r="AU107" s="1">
        <v>31.09</v>
      </c>
      <c r="AV107" s="1">
        <v>31.09</v>
      </c>
      <c r="AW107" s="1">
        <v>36.950000000000003</v>
      </c>
      <c r="AX107" s="1">
        <v>36.950000000000003</v>
      </c>
      <c r="AY107" s="1">
        <v>63.05</v>
      </c>
      <c r="AZ107" s="1">
        <v>63.05</v>
      </c>
      <c r="BB107" s="1">
        <v>70</v>
      </c>
      <c r="BC107" s="1">
        <v>70</v>
      </c>
      <c r="BE107" s="1" t="s">
        <v>65</v>
      </c>
      <c r="BF107" s="1" t="s">
        <v>65</v>
      </c>
      <c r="BH107" s="1">
        <v>0</v>
      </c>
      <c r="BI107" s="1">
        <v>0</v>
      </c>
    </row>
    <row r="108" spans="1:61" ht="12.5" x14ac:dyDescent="0.25">
      <c r="A108" s="1" t="s">
        <v>5</v>
      </c>
      <c r="B108" s="111">
        <v>533949</v>
      </c>
      <c r="C108" s="111">
        <v>1102675</v>
      </c>
      <c r="D108" s="111">
        <v>764254</v>
      </c>
      <c r="E108" s="111">
        <v>1581405</v>
      </c>
      <c r="F108" s="1">
        <v>69.87</v>
      </c>
      <c r="G108" s="1">
        <v>69.73</v>
      </c>
      <c r="H108" s="111">
        <v>214849</v>
      </c>
      <c r="I108" s="111">
        <v>440018</v>
      </c>
      <c r="J108" s="111">
        <v>242823</v>
      </c>
      <c r="K108" s="111">
        <v>496880</v>
      </c>
      <c r="L108" s="1">
        <v>88.48</v>
      </c>
      <c r="M108" s="1">
        <v>88.56</v>
      </c>
      <c r="N108" s="111">
        <v>319100</v>
      </c>
      <c r="O108" s="111">
        <v>662657</v>
      </c>
      <c r="P108" s="111">
        <v>521432</v>
      </c>
      <c r="Q108" s="111">
        <v>1084525</v>
      </c>
      <c r="R108" s="1">
        <v>61.2</v>
      </c>
      <c r="S108" s="1">
        <v>61.1</v>
      </c>
      <c r="T108" s="111">
        <v>267471</v>
      </c>
      <c r="U108" s="111">
        <v>571019</v>
      </c>
      <c r="V108" s="111">
        <v>460549</v>
      </c>
      <c r="W108" s="111">
        <v>975767</v>
      </c>
      <c r="X108" s="1">
        <v>58.08</v>
      </c>
      <c r="Y108" s="1">
        <v>58.52</v>
      </c>
      <c r="Z108" s="111">
        <v>266478</v>
      </c>
      <c r="AA108" s="111">
        <v>531656</v>
      </c>
      <c r="AB108" s="111">
        <v>303706</v>
      </c>
      <c r="AC108" s="111">
        <v>605639</v>
      </c>
      <c r="AD108" s="1">
        <v>87.74</v>
      </c>
      <c r="AE108" s="1">
        <v>87.78</v>
      </c>
      <c r="AF108" s="111">
        <v>300401</v>
      </c>
      <c r="AG108" s="111">
        <v>633044</v>
      </c>
      <c r="AH108" s="111">
        <v>496189</v>
      </c>
      <c r="AI108" s="111">
        <v>1044279</v>
      </c>
      <c r="AJ108" s="1">
        <v>60.54</v>
      </c>
      <c r="AK108" s="1">
        <v>60.62</v>
      </c>
      <c r="AL108" s="111">
        <v>319100</v>
      </c>
      <c r="AM108" s="111">
        <v>662657</v>
      </c>
      <c r="AN108" s="111">
        <v>521432</v>
      </c>
      <c r="AO108" s="111">
        <v>1084525</v>
      </c>
      <c r="AP108" s="1">
        <v>61.2</v>
      </c>
      <c r="AQ108" s="1">
        <v>61.1</v>
      </c>
      <c r="AR108" s="113">
        <v>45713</v>
      </c>
      <c r="AS108" s="1">
        <v>68.23</v>
      </c>
      <c r="AT108" s="1">
        <v>68.58</v>
      </c>
      <c r="AU108" s="1">
        <v>31.77</v>
      </c>
      <c r="AV108" s="1">
        <v>31.42</v>
      </c>
      <c r="AW108" s="1">
        <v>39.74</v>
      </c>
      <c r="AX108" s="1">
        <v>38.299999999999997</v>
      </c>
      <c r="AY108" s="1">
        <v>60.26</v>
      </c>
      <c r="AZ108" s="1">
        <v>61.7</v>
      </c>
      <c r="BC108" s="1">
        <v>70</v>
      </c>
      <c r="BE108" s="1" t="e">
        <v>#VALUE!</v>
      </c>
      <c r="BF108" s="1">
        <v>0</v>
      </c>
      <c r="BH108" s="1">
        <v>0</v>
      </c>
      <c r="BI108" s="1">
        <v>0</v>
      </c>
    </row>
    <row r="109" spans="1:61" ht="12.5" x14ac:dyDescent="0.25">
      <c r="A109" s="1" t="s">
        <v>6</v>
      </c>
      <c r="B109" s="111">
        <v>454549</v>
      </c>
      <c r="C109" s="111">
        <v>1557224</v>
      </c>
      <c r="D109" s="111">
        <v>638839</v>
      </c>
      <c r="E109" s="111">
        <v>2220244</v>
      </c>
      <c r="F109" s="1">
        <v>71.150000000000006</v>
      </c>
      <c r="G109" s="1">
        <v>70.14</v>
      </c>
      <c r="H109" s="111">
        <v>214928</v>
      </c>
      <c r="I109" s="111">
        <v>654947</v>
      </c>
      <c r="J109" s="111">
        <v>242276</v>
      </c>
      <c r="K109" s="111">
        <v>739156</v>
      </c>
      <c r="L109" s="1">
        <v>88.71</v>
      </c>
      <c r="M109" s="1">
        <v>88.61</v>
      </c>
      <c r="N109" s="111">
        <v>239620</v>
      </c>
      <c r="O109" s="111">
        <v>902277</v>
      </c>
      <c r="P109" s="111">
        <v>396563</v>
      </c>
      <c r="Q109" s="111">
        <v>1481088</v>
      </c>
      <c r="R109" s="1">
        <v>60.42</v>
      </c>
      <c r="S109" s="1">
        <v>60.92</v>
      </c>
      <c r="T109" s="111">
        <v>217543</v>
      </c>
      <c r="U109" s="111">
        <v>788561</v>
      </c>
      <c r="V109" s="111">
        <v>369624</v>
      </c>
      <c r="W109" s="111">
        <v>1345390</v>
      </c>
      <c r="X109" s="1">
        <v>58.86</v>
      </c>
      <c r="Y109" s="1">
        <v>58.61</v>
      </c>
      <c r="Z109" s="111">
        <v>237006</v>
      </c>
      <c r="AA109" s="111">
        <v>768663</v>
      </c>
      <c r="AB109" s="111">
        <v>269215</v>
      </c>
      <c r="AC109" s="111">
        <v>874854</v>
      </c>
      <c r="AD109" s="1">
        <v>88.04</v>
      </c>
      <c r="AE109" s="1">
        <v>87.86</v>
      </c>
      <c r="AF109" s="111">
        <v>230025</v>
      </c>
      <c r="AG109" s="111">
        <v>863069</v>
      </c>
      <c r="AH109" s="111">
        <v>383368</v>
      </c>
      <c r="AI109" s="111">
        <v>1427647</v>
      </c>
      <c r="AJ109" s="1">
        <v>60</v>
      </c>
      <c r="AK109" s="1">
        <v>60.45</v>
      </c>
      <c r="AL109" s="111">
        <v>239620</v>
      </c>
      <c r="AM109" s="111">
        <v>902277</v>
      </c>
      <c r="AN109" s="111">
        <v>396563</v>
      </c>
      <c r="AO109" s="111">
        <v>1481088</v>
      </c>
      <c r="AP109" s="1">
        <v>60.42</v>
      </c>
      <c r="AQ109" s="1">
        <v>60.92</v>
      </c>
      <c r="AR109" s="113">
        <v>45741</v>
      </c>
      <c r="AS109" s="1">
        <v>62.08</v>
      </c>
      <c r="AT109" s="1">
        <v>66.709999999999994</v>
      </c>
      <c r="AU109" s="1">
        <v>37.92</v>
      </c>
      <c r="AV109" s="1">
        <v>33.29</v>
      </c>
      <c r="AW109" s="1">
        <v>42.14</v>
      </c>
      <c r="AX109" s="1">
        <v>39.4</v>
      </c>
      <c r="AY109" s="1">
        <v>57.86</v>
      </c>
      <c r="AZ109" s="1">
        <v>60.6</v>
      </c>
      <c r="BC109" s="1">
        <v>70</v>
      </c>
      <c r="BE109" s="1" t="e">
        <v>#VALUE!</v>
      </c>
      <c r="BF109" s="1">
        <v>0</v>
      </c>
      <c r="BH109" s="1">
        <v>0</v>
      </c>
      <c r="BI109" s="1">
        <v>0</v>
      </c>
    </row>
    <row r="110" spans="1:61" ht="12.5" x14ac:dyDescent="0.25">
      <c r="A110" s="1" t="s">
        <v>7</v>
      </c>
      <c r="B110" s="111">
        <v>446407</v>
      </c>
      <c r="C110" s="111">
        <v>2003631</v>
      </c>
      <c r="D110" s="111">
        <v>640699</v>
      </c>
      <c r="E110" s="111">
        <v>2860943</v>
      </c>
      <c r="F110" s="1">
        <v>69.680000000000007</v>
      </c>
      <c r="G110" s="1">
        <v>70.03</v>
      </c>
      <c r="H110" s="111">
        <v>178220</v>
      </c>
      <c r="I110" s="111">
        <v>833167</v>
      </c>
      <c r="J110" s="111">
        <v>202010</v>
      </c>
      <c r="K110" s="111">
        <v>941166</v>
      </c>
      <c r="L110" s="1">
        <v>88.22</v>
      </c>
      <c r="M110" s="1">
        <v>88.52</v>
      </c>
      <c r="N110" s="111">
        <v>268187</v>
      </c>
      <c r="O110" s="111">
        <v>1170464</v>
      </c>
      <c r="P110" s="111">
        <v>438688</v>
      </c>
      <c r="Q110" s="111">
        <v>1919776</v>
      </c>
      <c r="R110" s="1">
        <v>61.13</v>
      </c>
      <c r="S110" s="1">
        <v>60.97</v>
      </c>
      <c r="T110" s="111">
        <v>235431</v>
      </c>
      <c r="U110" s="111">
        <v>1023993</v>
      </c>
      <c r="V110" s="111">
        <v>400346</v>
      </c>
      <c r="W110" s="111">
        <v>1745736</v>
      </c>
      <c r="X110" s="1">
        <v>58.81</v>
      </c>
      <c r="Y110" s="1">
        <v>58.66</v>
      </c>
      <c r="Z110" s="111">
        <v>210976</v>
      </c>
      <c r="AA110" s="111">
        <v>979639</v>
      </c>
      <c r="AB110" s="111">
        <v>240353</v>
      </c>
      <c r="AC110" s="111">
        <v>1115207</v>
      </c>
      <c r="AD110" s="1">
        <v>87.78</v>
      </c>
      <c r="AE110" s="1">
        <v>87.84</v>
      </c>
      <c r="AF110" s="111">
        <v>259279</v>
      </c>
      <c r="AG110" s="111">
        <v>1122348</v>
      </c>
      <c r="AH110" s="111">
        <v>426867</v>
      </c>
      <c r="AI110" s="111">
        <v>1854514</v>
      </c>
      <c r="AJ110" s="1">
        <v>60.74</v>
      </c>
      <c r="AK110" s="1">
        <v>60.52</v>
      </c>
      <c r="AL110" s="111">
        <v>268187</v>
      </c>
      <c r="AM110" s="111">
        <v>1170464</v>
      </c>
      <c r="AN110" s="111">
        <v>438688</v>
      </c>
      <c r="AO110" s="111">
        <v>1919776</v>
      </c>
      <c r="AP110" s="1">
        <v>61.13</v>
      </c>
      <c r="AQ110" s="1">
        <v>60.97</v>
      </c>
      <c r="AR110" s="113">
        <v>45772</v>
      </c>
      <c r="AS110" s="1">
        <v>68.47</v>
      </c>
      <c r="AT110" s="1">
        <v>67.099999999999994</v>
      </c>
      <c r="AU110" s="1">
        <v>31.53</v>
      </c>
      <c r="AV110" s="1">
        <v>32.9</v>
      </c>
      <c r="AW110" s="1">
        <v>37.51</v>
      </c>
      <c r="AX110" s="1">
        <v>38.979999999999997</v>
      </c>
      <c r="AY110" s="1">
        <v>62.49</v>
      </c>
      <c r="AZ110" s="1">
        <v>61.02</v>
      </c>
      <c r="BC110" s="1">
        <v>70</v>
      </c>
      <c r="BE110" s="1" t="e">
        <v>#VALUE!</v>
      </c>
      <c r="BF110" s="1">
        <v>0</v>
      </c>
      <c r="BH110" s="1">
        <v>0</v>
      </c>
      <c r="BI110" s="1">
        <v>0</v>
      </c>
    </row>
    <row r="111" spans="1:61" ht="12.5" x14ac:dyDescent="0.25">
      <c r="A111" s="1" t="s">
        <v>8</v>
      </c>
      <c r="B111" s="111">
        <v>642154</v>
      </c>
      <c r="C111" s="111">
        <v>2645785</v>
      </c>
      <c r="D111" s="111">
        <v>916780</v>
      </c>
      <c r="E111" s="111">
        <v>3777723</v>
      </c>
      <c r="F111" s="1">
        <v>70.040000000000006</v>
      </c>
      <c r="G111" s="1">
        <v>70.040000000000006</v>
      </c>
      <c r="H111" s="111">
        <v>271604</v>
      </c>
      <c r="I111" s="111">
        <v>1104771</v>
      </c>
      <c r="J111" s="111">
        <v>310408</v>
      </c>
      <c r="K111" s="111">
        <v>1251574</v>
      </c>
      <c r="L111" s="1">
        <v>87.5</v>
      </c>
      <c r="M111" s="1">
        <v>88.27</v>
      </c>
      <c r="N111" s="111">
        <v>370550</v>
      </c>
      <c r="O111" s="111">
        <v>1541014</v>
      </c>
      <c r="P111" s="111">
        <v>606372</v>
      </c>
      <c r="Q111" s="111">
        <v>2526148</v>
      </c>
      <c r="R111" s="1">
        <v>61.11</v>
      </c>
      <c r="S111" s="1">
        <v>61</v>
      </c>
      <c r="T111" s="111">
        <v>339048</v>
      </c>
      <c r="U111" s="111">
        <v>1363041</v>
      </c>
      <c r="V111" s="111">
        <v>568732</v>
      </c>
      <c r="W111" s="111">
        <v>2314468</v>
      </c>
      <c r="X111" s="1">
        <v>59.61</v>
      </c>
      <c r="Y111" s="1">
        <v>58.89</v>
      </c>
      <c r="Z111" s="111">
        <v>303106</v>
      </c>
      <c r="AA111" s="111">
        <v>1282744</v>
      </c>
      <c r="AB111" s="111">
        <v>348048</v>
      </c>
      <c r="AC111" s="111">
        <v>1463255</v>
      </c>
      <c r="AD111" s="1">
        <v>87.09</v>
      </c>
      <c r="AE111" s="1">
        <v>87.66</v>
      </c>
      <c r="AF111" s="111">
        <v>362796</v>
      </c>
      <c r="AG111" s="111">
        <v>1485144</v>
      </c>
      <c r="AH111" s="111">
        <v>595652</v>
      </c>
      <c r="AI111" s="111">
        <v>2450166</v>
      </c>
      <c r="AJ111" s="1">
        <v>60.91</v>
      </c>
      <c r="AK111" s="1">
        <v>60.61</v>
      </c>
      <c r="AL111" s="111">
        <v>370550</v>
      </c>
      <c r="AM111" s="111">
        <v>1541014</v>
      </c>
      <c r="AN111" s="111">
        <v>606372</v>
      </c>
      <c r="AO111" s="111">
        <v>2526148</v>
      </c>
      <c r="AP111" s="1">
        <v>61.11</v>
      </c>
      <c r="AQ111" s="1">
        <v>61</v>
      </c>
      <c r="AR111" s="114">
        <v>45802</v>
      </c>
      <c r="AS111" s="1">
        <v>66.14</v>
      </c>
      <c r="AT111" s="1">
        <v>66.87</v>
      </c>
      <c r="AU111" s="1">
        <v>33.86</v>
      </c>
      <c r="AV111" s="1">
        <v>33.130000000000003</v>
      </c>
      <c r="AW111" s="1">
        <v>37.96</v>
      </c>
      <c r="AX111" s="1">
        <v>38.729999999999997</v>
      </c>
      <c r="AY111" s="1">
        <v>62.04</v>
      </c>
      <c r="AZ111" s="1">
        <v>61.27</v>
      </c>
      <c r="BC111" s="1">
        <v>70</v>
      </c>
      <c r="BE111" s="1" t="e">
        <v>#VALUE!</v>
      </c>
      <c r="BF111" s="1">
        <v>0</v>
      </c>
      <c r="BH111" s="1">
        <v>0</v>
      </c>
      <c r="BI111" s="1">
        <v>0</v>
      </c>
    </row>
    <row r="112" spans="1:61" ht="12.5" x14ac:dyDescent="0.25">
      <c r="A112" s="1" t="s">
        <v>9</v>
      </c>
      <c r="B112" s="111">
        <v>652315</v>
      </c>
      <c r="C112" s="111">
        <v>3298100</v>
      </c>
      <c r="D112" s="111">
        <v>963106</v>
      </c>
      <c r="E112" s="111">
        <v>4740829</v>
      </c>
      <c r="F112" s="1">
        <v>67.73</v>
      </c>
      <c r="G112" s="1">
        <v>69.569999999999993</v>
      </c>
      <c r="H112" s="111">
        <v>250044</v>
      </c>
      <c r="I112" s="111">
        <v>1354814</v>
      </c>
      <c r="J112" s="111">
        <v>281935</v>
      </c>
      <c r="K112" s="111">
        <v>1533509</v>
      </c>
      <c r="L112" s="1">
        <v>88.69</v>
      </c>
      <c r="M112" s="1">
        <v>88.35</v>
      </c>
      <c r="N112" s="111">
        <v>402271</v>
      </c>
      <c r="O112" s="111">
        <v>1943285</v>
      </c>
      <c r="P112" s="111">
        <v>681171</v>
      </c>
      <c r="Q112" s="111">
        <v>3207319</v>
      </c>
      <c r="R112" s="1">
        <v>59.06</v>
      </c>
      <c r="S112" s="1">
        <v>60.59</v>
      </c>
      <c r="T112" s="111">
        <v>353298</v>
      </c>
      <c r="U112" s="111">
        <v>1716339</v>
      </c>
      <c r="V112" s="111">
        <v>603608</v>
      </c>
      <c r="W112" s="111">
        <v>2918077</v>
      </c>
      <c r="X112" s="1">
        <v>58.53</v>
      </c>
      <c r="Y112" s="1">
        <v>58.82</v>
      </c>
      <c r="Z112" s="111">
        <v>299017</v>
      </c>
      <c r="AA112" s="111">
        <v>1581761</v>
      </c>
      <c r="AB112" s="111">
        <v>359497</v>
      </c>
      <c r="AC112" s="111">
        <v>1822752</v>
      </c>
      <c r="AD112" s="1">
        <v>83.18</v>
      </c>
      <c r="AE112" s="1">
        <v>86.78</v>
      </c>
      <c r="AF112" s="111">
        <v>381271</v>
      </c>
      <c r="AG112" s="111">
        <v>1866415</v>
      </c>
      <c r="AH112" s="111">
        <v>651171</v>
      </c>
      <c r="AI112" s="111">
        <v>3101337</v>
      </c>
      <c r="AJ112" s="1">
        <v>58.55</v>
      </c>
      <c r="AK112" s="1">
        <v>60.18</v>
      </c>
      <c r="AL112" s="111">
        <v>402271</v>
      </c>
      <c r="AM112" s="111">
        <v>1943285</v>
      </c>
      <c r="AN112" s="111">
        <v>681171</v>
      </c>
      <c r="AO112" s="111">
        <v>3207319</v>
      </c>
      <c r="AP112" s="1">
        <v>59.06</v>
      </c>
      <c r="AQ112" s="1">
        <v>60.59</v>
      </c>
      <c r="AR112" s="113">
        <v>45833</v>
      </c>
      <c r="AS112" s="1">
        <v>70.73</v>
      </c>
      <c r="AT112" s="1">
        <v>67.650000000000006</v>
      </c>
      <c r="AU112" s="1">
        <v>29.27</v>
      </c>
      <c r="AV112" s="1">
        <v>32.35</v>
      </c>
      <c r="AW112" s="1">
        <v>37.33</v>
      </c>
      <c r="AX112" s="1">
        <v>38.450000000000003</v>
      </c>
      <c r="AY112" s="1">
        <v>62.67</v>
      </c>
      <c r="AZ112" s="1">
        <v>61.55</v>
      </c>
      <c r="BC112" s="1">
        <v>70</v>
      </c>
      <c r="BE112" s="1" t="e">
        <v>#VALUE!</v>
      </c>
      <c r="BF112" s="1">
        <v>0</v>
      </c>
      <c r="BH112" s="1">
        <v>0</v>
      </c>
      <c r="BI112" s="1">
        <v>0</v>
      </c>
    </row>
    <row r="113" spans="1:61" ht="12.5" x14ac:dyDescent="0.25">
      <c r="A113" s="1" t="s">
        <v>10</v>
      </c>
      <c r="B113" s="111">
        <v>688483</v>
      </c>
      <c r="C113" s="111">
        <v>3986583</v>
      </c>
      <c r="D113" s="111">
        <v>1017502</v>
      </c>
      <c r="E113" s="111">
        <v>5758330</v>
      </c>
      <c r="F113" s="1">
        <v>67.66</v>
      </c>
      <c r="G113" s="1">
        <v>69.23</v>
      </c>
      <c r="H113" s="111">
        <v>260124</v>
      </c>
      <c r="I113" s="111">
        <v>1614939</v>
      </c>
      <c r="J113" s="111">
        <v>293149</v>
      </c>
      <c r="K113" s="111">
        <v>1826658</v>
      </c>
      <c r="L113" s="1">
        <v>88.73</v>
      </c>
      <c r="M113" s="1">
        <v>88.41</v>
      </c>
      <c r="N113" s="111">
        <v>428359</v>
      </c>
      <c r="O113" s="111">
        <v>2371644</v>
      </c>
      <c r="P113" s="111">
        <v>724353</v>
      </c>
      <c r="Q113" s="111">
        <v>3931672</v>
      </c>
      <c r="R113" s="1">
        <v>59.14</v>
      </c>
      <c r="S113" s="1">
        <v>60.32</v>
      </c>
      <c r="T113" s="111">
        <v>402801</v>
      </c>
      <c r="U113" s="111">
        <v>2119140</v>
      </c>
      <c r="V113" s="111">
        <v>688297</v>
      </c>
      <c r="W113" s="111">
        <v>3606374</v>
      </c>
      <c r="X113" s="1">
        <v>58.52</v>
      </c>
      <c r="Y113" s="1">
        <v>58.76</v>
      </c>
      <c r="Z113" s="111">
        <v>285683</v>
      </c>
      <c r="AA113" s="111">
        <v>1867443</v>
      </c>
      <c r="AB113" s="111">
        <v>329205</v>
      </c>
      <c r="AC113" s="111">
        <v>2151957</v>
      </c>
      <c r="AD113" s="1">
        <v>86.78</v>
      </c>
      <c r="AE113" s="1">
        <v>86.78</v>
      </c>
      <c r="AF113" s="111">
        <v>404559</v>
      </c>
      <c r="AG113" s="111">
        <v>2270974</v>
      </c>
      <c r="AH113" s="111">
        <v>690353</v>
      </c>
      <c r="AI113" s="111">
        <v>3791690</v>
      </c>
      <c r="AJ113" s="1">
        <v>58.6</v>
      </c>
      <c r="AK113" s="1">
        <v>59.89</v>
      </c>
      <c r="AL113" s="111">
        <v>428359</v>
      </c>
      <c r="AM113" s="111">
        <v>2371644</v>
      </c>
      <c r="AN113" s="111">
        <v>724353</v>
      </c>
      <c r="AO113" s="111">
        <v>3931672</v>
      </c>
      <c r="AP113" s="1">
        <v>59.14</v>
      </c>
      <c r="AQ113" s="1">
        <v>60.32</v>
      </c>
      <c r="AR113" s="113">
        <v>45863</v>
      </c>
      <c r="AS113" s="1">
        <v>71.19</v>
      </c>
      <c r="AT113" s="1">
        <v>68.28</v>
      </c>
      <c r="AU113" s="1">
        <v>28.81</v>
      </c>
      <c r="AV113" s="1">
        <v>31.72</v>
      </c>
      <c r="AW113" s="1">
        <v>32.35</v>
      </c>
      <c r="AX113" s="1">
        <v>37.369999999999997</v>
      </c>
      <c r="AY113" s="1">
        <v>67.650000000000006</v>
      </c>
      <c r="AZ113" s="1">
        <v>62.63</v>
      </c>
      <c r="BC113" s="1">
        <v>70</v>
      </c>
      <c r="BE113" s="1" t="e">
        <v>#VALUE!</v>
      </c>
      <c r="BF113" s="1">
        <v>0</v>
      </c>
      <c r="BH113" s="1">
        <v>0</v>
      </c>
      <c r="BI113" s="1">
        <v>0</v>
      </c>
    </row>
    <row r="114" spans="1:61" ht="12.5" x14ac:dyDescent="0.25">
      <c r="A114" s="1" t="s">
        <v>11</v>
      </c>
      <c r="B114" s="111">
        <v>653832</v>
      </c>
      <c r="C114" s="111">
        <v>4640415</v>
      </c>
      <c r="D114" s="111">
        <v>960015</v>
      </c>
      <c r="E114" s="111">
        <v>6718345</v>
      </c>
      <c r="F114" s="1">
        <v>68.11</v>
      </c>
      <c r="G114" s="1">
        <v>69.069999999999993</v>
      </c>
      <c r="H114" s="111">
        <v>264302</v>
      </c>
      <c r="I114" s="111">
        <v>1879241</v>
      </c>
      <c r="J114" s="111">
        <v>298046</v>
      </c>
      <c r="K114" s="111">
        <v>2124704</v>
      </c>
      <c r="L114" s="1">
        <v>88.68</v>
      </c>
      <c r="M114" s="1">
        <v>88.45</v>
      </c>
      <c r="N114" s="111">
        <v>389529</v>
      </c>
      <c r="O114" s="111">
        <v>2761174</v>
      </c>
      <c r="P114" s="111">
        <v>661969</v>
      </c>
      <c r="Q114" s="111">
        <v>4593642</v>
      </c>
      <c r="R114" s="1">
        <v>58.84</v>
      </c>
      <c r="S114" s="1">
        <v>60.11</v>
      </c>
      <c r="T114" s="111">
        <v>375717</v>
      </c>
      <c r="U114" s="111">
        <v>2494857</v>
      </c>
      <c r="V114" s="111">
        <v>642605</v>
      </c>
      <c r="W114" s="111">
        <v>4248978</v>
      </c>
      <c r="X114" s="1">
        <v>58.47</v>
      </c>
      <c r="Y114" s="1">
        <v>58.72</v>
      </c>
      <c r="Z114" s="111">
        <v>278115</v>
      </c>
      <c r="AA114" s="111">
        <v>2145558</v>
      </c>
      <c r="AB114" s="111">
        <v>317411</v>
      </c>
      <c r="AC114" s="111">
        <v>2469367</v>
      </c>
      <c r="AD114" s="1">
        <v>87.62</v>
      </c>
      <c r="AE114" s="1">
        <v>86.89</v>
      </c>
      <c r="AF114" s="111">
        <v>376929</v>
      </c>
      <c r="AG114" s="111">
        <v>2647904</v>
      </c>
      <c r="AH114" s="111">
        <v>643969</v>
      </c>
      <c r="AI114" s="111">
        <v>4435660</v>
      </c>
      <c r="AJ114" s="1">
        <v>58.53</v>
      </c>
      <c r="AK114" s="1">
        <v>59.7</v>
      </c>
      <c r="AL114" s="111">
        <v>389529</v>
      </c>
      <c r="AM114" s="111">
        <v>2761174</v>
      </c>
      <c r="AN114" s="111">
        <v>661969</v>
      </c>
      <c r="AO114" s="111">
        <v>4593642</v>
      </c>
      <c r="AP114" s="1">
        <v>58.84</v>
      </c>
      <c r="AQ114" s="1">
        <v>60.11</v>
      </c>
      <c r="AR114" s="113">
        <v>45894</v>
      </c>
      <c r="AS114" s="1">
        <v>68.95</v>
      </c>
      <c r="AT114" s="1">
        <v>68.37</v>
      </c>
      <c r="AU114" s="1">
        <v>31.05</v>
      </c>
      <c r="AV114" s="1">
        <v>31.63</v>
      </c>
      <c r="AW114" s="1">
        <v>33.06</v>
      </c>
      <c r="AX114" s="1">
        <v>36.76</v>
      </c>
      <c r="AY114" s="1">
        <v>66.94</v>
      </c>
      <c r="AZ114" s="1">
        <v>63.24</v>
      </c>
      <c r="BC114" s="1">
        <v>70</v>
      </c>
      <c r="BE114" s="1" t="e">
        <v>#VALUE!</v>
      </c>
      <c r="BF114" s="1">
        <v>0</v>
      </c>
      <c r="BH114" s="1">
        <v>0</v>
      </c>
      <c r="BI114" s="1">
        <v>0</v>
      </c>
    </row>
    <row r="115" spans="1:61" ht="12.5" x14ac:dyDescent="0.25">
      <c r="A115" s="1" t="s">
        <v>12</v>
      </c>
      <c r="B115" s="111">
        <v>685859</v>
      </c>
      <c r="C115" s="111">
        <v>5326273</v>
      </c>
      <c r="D115" s="111">
        <v>997477</v>
      </c>
      <c r="E115" s="111">
        <v>7715823</v>
      </c>
      <c r="F115" s="1">
        <v>68.760000000000005</v>
      </c>
      <c r="G115" s="1">
        <v>69.03</v>
      </c>
      <c r="H115" s="111">
        <v>285254</v>
      </c>
      <c r="I115" s="111">
        <v>2164495</v>
      </c>
      <c r="J115" s="111">
        <v>318951</v>
      </c>
      <c r="K115" s="111">
        <v>2443655</v>
      </c>
      <c r="L115" s="1">
        <v>89.44</v>
      </c>
      <c r="M115" s="1">
        <v>88.58</v>
      </c>
      <c r="N115" s="111">
        <v>400605</v>
      </c>
      <c r="O115" s="111">
        <v>3161778</v>
      </c>
      <c r="P115" s="111">
        <v>678526</v>
      </c>
      <c r="Q115" s="111">
        <v>5272168</v>
      </c>
      <c r="R115" s="1">
        <v>59.04</v>
      </c>
      <c r="S115" s="1">
        <v>59.97</v>
      </c>
      <c r="T115" s="111">
        <v>383664</v>
      </c>
      <c r="U115" s="111">
        <v>2878521</v>
      </c>
      <c r="V115" s="111">
        <v>656332</v>
      </c>
      <c r="W115" s="111">
        <v>4905310</v>
      </c>
      <c r="X115" s="1">
        <v>58.46</v>
      </c>
      <c r="Y115" s="1">
        <v>58.68</v>
      </c>
      <c r="Z115" s="111">
        <v>302194</v>
      </c>
      <c r="AA115" s="111">
        <v>2447752</v>
      </c>
      <c r="AB115" s="111">
        <v>341145</v>
      </c>
      <c r="AC115" s="111">
        <v>2810512</v>
      </c>
      <c r="AD115" s="1">
        <v>88.58</v>
      </c>
      <c r="AE115" s="1">
        <v>87.09</v>
      </c>
      <c r="AF115" s="111">
        <v>389405</v>
      </c>
      <c r="AG115" s="111">
        <v>3037308</v>
      </c>
      <c r="AH115" s="111">
        <v>662526</v>
      </c>
      <c r="AI115" s="111">
        <v>5098186</v>
      </c>
      <c r="AJ115" s="1">
        <v>58.78</v>
      </c>
      <c r="AK115" s="1">
        <v>59.58</v>
      </c>
      <c r="AL115" s="111">
        <v>400605</v>
      </c>
      <c r="AM115" s="111">
        <v>3161778</v>
      </c>
      <c r="AN115" s="111">
        <v>678526</v>
      </c>
      <c r="AO115" s="111">
        <v>5272168</v>
      </c>
      <c r="AP115" s="1">
        <v>59.04</v>
      </c>
      <c r="AQ115" s="1">
        <v>59.97</v>
      </c>
      <c r="AR115" s="113">
        <v>45925</v>
      </c>
      <c r="AS115" s="1">
        <v>68.02</v>
      </c>
      <c r="AT115" s="1">
        <v>68.33</v>
      </c>
      <c r="AU115" s="1">
        <v>31.98</v>
      </c>
      <c r="AV115" s="1">
        <v>31.67</v>
      </c>
      <c r="AW115" s="1">
        <v>34.200000000000003</v>
      </c>
      <c r="AX115" s="1">
        <v>36.43</v>
      </c>
      <c r="AY115" s="1">
        <v>65.8</v>
      </c>
      <c r="AZ115" s="1">
        <v>63.57</v>
      </c>
      <c r="BC115" s="1">
        <v>70</v>
      </c>
      <c r="BE115" s="1" t="e">
        <v>#VALUE!</v>
      </c>
      <c r="BF115" s="1">
        <v>0</v>
      </c>
      <c r="BH115" s="1">
        <v>0</v>
      </c>
      <c r="BI115" s="1">
        <v>0</v>
      </c>
    </row>
    <row r="116" spans="1:61" ht="12.5" x14ac:dyDescent="0.25">
      <c r="A116" s="1" t="s">
        <v>13</v>
      </c>
      <c r="B116" s="111">
        <v>751291</v>
      </c>
      <c r="C116" s="111">
        <v>6077565</v>
      </c>
      <c r="D116" s="111">
        <v>1085611</v>
      </c>
      <c r="E116" s="111">
        <v>8801434</v>
      </c>
      <c r="F116" s="1">
        <v>69.2</v>
      </c>
      <c r="G116" s="1">
        <v>69.05</v>
      </c>
      <c r="H116" s="111">
        <v>322498</v>
      </c>
      <c r="I116" s="111">
        <v>2486993</v>
      </c>
      <c r="J116" s="111">
        <v>361159</v>
      </c>
      <c r="K116" s="111">
        <v>2804813</v>
      </c>
      <c r="L116" s="1">
        <v>89.3</v>
      </c>
      <c r="M116" s="1">
        <v>88.67</v>
      </c>
      <c r="N116" s="111">
        <v>428793</v>
      </c>
      <c r="O116" s="111">
        <v>3590571</v>
      </c>
      <c r="P116" s="111">
        <v>724453</v>
      </c>
      <c r="Q116" s="111">
        <v>5996621</v>
      </c>
      <c r="R116" s="1">
        <v>59.19</v>
      </c>
      <c r="S116" s="1">
        <v>59.88</v>
      </c>
      <c r="T116" s="111">
        <v>399383</v>
      </c>
      <c r="U116" s="111">
        <v>3277903</v>
      </c>
      <c r="V116" s="111">
        <v>681920</v>
      </c>
      <c r="W116" s="111">
        <v>5587230</v>
      </c>
      <c r="X116" s="1">
        <v>58.57</v>
      </c>
      <c r="Y116" s="1">
        <v>58.67</v>
      </c>
      <c r="Z116" s="111">
        <v>351909</v>
      </c>
      <c r="AA116" s="111">
        <v>2799661</v>
      </c>
      <c r="AB116" s="111">
        <v>403692</v>
      </c>
      <c r="AC116" s="111">
        <v>3214204</v>
      </c>
      <c r="AD116" s="1">
        <v>87.17</v>
      </c>
      <c r="AE116" s="1">
        <v>87.1</v>
      </c>
      <c r="AF116" s="111">
        <v>414793</v>
      </c>
      <c r="AG116" s="111">
        <v>3452101</v>
      </c>
      <c r="AH116" s="111">
        <v>704453</v>
      </c>
      <c r="AI116" s="111">
        <v>5802639</v>
      </c>
      <c r="AJ116" s="1">
        <v>58.88</v>
      </c>
      <c r="AK116" s="1">
        <v>59.49</v>
      </c>
      <c r="AL116" s="111">
        <v>428793</v>
      </c>
      <c r="AM116" s="111">
        <v>3590571</v>
      </c>
      <c r="AN116" s="111">
        <v>724453</v>
      </c>
      <c r="AO116" s="111">
        <v>5996621</v>
      </c>
      <c r="AP116" s="1">
        <v>59.19</v>
      </c>
      <c r="AQ116" s="1">
        <v>59.88</v>
      </c>
      <c r="AR116" s="113">
        <v>45955</v>
      </c>
      <c r="AS116" s="1">
        <v>66.73</v>
      </c>
      <c r="AT116" s="1">
        <v>68.13</v>
      </c>
      <c r="AU116" s="1">
        <v>33.270000000000003</v>
      </c>
      <c r="AV116" s="1">
        <v>31.87</v>
      </c>
      <c r="AW116" s="1">
        <v>37.19</v>
      </c>
      <c r="AX116" s="1">
        <v>36.520000000000003</v>
      </c>
      <c r="AY116" s="1">
        <v>62.81</v>
      </c>
      <c r="AZ116" s="1">
        <v>63.48</v>
      </c>
      <c r="BC116" s="1">
        <v>70</v>
      </c>
      <c r="BE116" s="1" t="e">
        <v>#VALUE!</v>
      </c>
      <c r="BF116" s="1">
        <v>0</v>
      </c>
      <c r="BH116" s="1">
        <v>0</v>
      </c>
      <c r="BI116" s="1">
        <v>0</v>
      </c>
    </row>
    <row r="117" spans="1:61" ht="12.5" x14ac:dyDescent="0.25">
      <c r="A117" s="1" t="s">
        <v>14</v>
      </c>
      <c r="B117" s="111">
        <v>696073</v>
      </c>
      <c r="C117" s="111">
        <v>6773638</v>
      </c>
      <c r="D117" s="111">
        <v>1004439</v>
      </c>
      <c r="E117" s="111">
        <v>9805873</v>
      </c>
      <c r="F117" s="1">
        <v>69.3</v>
      </c>
      <c r="G117" s="1">
        <v>69.08</v>
      </c>
      <c r="H117" s="111">
        <v>301281</v>
      </c>
      <c r="I117" s="111">
        <v>2788275</v>
      </c>
      <c r="J117" s="111">
        <v>337420</v>
      </c>
      <c r="K117" s="111">
        <v>3142234</v>
      </c>
      <c r="L117" s="1">
        <v>89.29</v>
      </c>
      <c r="M117" s="1">
        <v>88.74</v>
      </c>
      <c r="N117" s="111">
        <v>394792</v>
      </c>
      <c r="O117" s="111">
        <v>3985363</v>
      </c>
      <c r="P117" s="111">
        <v>667019</v>
      </c>
      <c r="Q117" s="111">
        <v>6663640</v>
      </c>
      <c r="R117" s="1">
        <v>59.19</v>
      </c>
      <c r="S117" s="1">
        <v>59.81</v>
      </c>
      <c r="T117" s="111">
        <v>347955</v>
      </c>
      <c r="U117" s="111">
        <v>3625858</v>
      </c>
      <c r="V117" s="111">
        <v>594277</v>
      </c>
      <c r="W117" s="111">
        <v>6181507</v>
      </c>
      <c r="X117" s="1">
        <v>58.55</v>
      </c>
      <c r="Y117" s="1">
        <v>58.66</v>
      </c>
      <c r="Z117" s="111">
        <v>348119</v>
      </c>
      <c r="AA117" s="111">
        <v>3147780</v>
      </c>
      <c r="AB117" s="111">
        <v>410162</v>
      </c>
      <c r="AC117" s="111">
        <v>3624366</v>
      </c>
      <c r="AD117" s="1">
        <v>84.87</v>
      </c>
      <c r="AE117" s="1">
        <v>86.85</v>
      </c>
      <c r="AF117" s="111">
        <v>380792</v>
      </c>
      <c r="AG117" s="111">
        <v>3832894</v>
      </c>
      <c r="AH117" s="111">
        <v>647019</v>
      </c>
      <c r="AI117" s="111">
        <v>6449658</v>
      </c>
      <c r="AJ117" s="1">
        <v>58.85</v>
      </c>
      <c r="AK117" s="1">
        <v>59.43</v>
      </c>
      <c r="AL117" s="111">
        <v>394792</v>
      </c>
      <c r="AM117" s="111">
        <v>3985363</v>
      </c>
      <c r="AN117" s="111">
        <v>667019</v>
      </c>
      <c r="AO117" s="111">
        <v>6663640</v>
      </c>
      <c r="AP117" s="1">
        <v>59.19</v>
      </c>
      <c r="AQ117" s="1">
        <v>59.81</v>
      </c>
      <c r="AR117" s="113">
        <v>45986</v>
      </c>
      <c r="AS117" s="1">
        <v>66.41</v>
      </c>
      <c r="AT117" s="1">
        <v>67.959999999999994</v>
      </c>
      <c r="AU117" s="1">
        <v>33.590000000000003</v>
      </c>
      <c r="AV117" s="1">
        <v>32.04</v>
      </c>
      <c r="AW117" s="1">
        <v>40.83</v>
      </c>
      <c r="AX117" s="1">
        <v>36.96</v>
      </c>
      <c r="AY117" s="1">
        <v>59.17</v>
      </c>
      <c r="AZ117" s="1">
        <v>63.04</v>
      </c>
      <c r="BC117" s="1">
        <v>70</v>
      </c>
      <c r="BE117" s="1" t="e">
        <v>#VALUE!</v>
      </c>
      <c r="BF117" s="1" t="s">
        <v>65</v>
      </c>
      <c r="BH117" s="1">
        <v>0</v>
      </c>
      <c r="BI117" s="1">
        <v>0</v>
      </c>
    </row>
    <row r="118" spans="1:61" ht="12.5" x14ac:dyDescent="0.25">
      <c r="A118" s="1" t="s">
        <v>15</v>
      </c>
      <c r="B118" s="111">
        <v>703333</v>
      </c>
      <c r="C118" s="111">
        <v>7476971</v>
      </c>
      <c r="D118" s="111">
        <v>1012753</v>
      </c>
      <c r="E118" s="111">
        <v>10818627</v>
      </c>
      <c r="F118" s="1">
        <v>69.45</v>
      </c>
      <c r="G118" s="1">
        <v>69.11</v>
      </c>
      <c r="H118" s="111">
        <v>309546</v>
      </c>
      <c r="I118" s="111">
        <v>3097820</v>
      </c>
      <c r="J118" s="111">
        <v>346544</v>
      </c>
      <c r="K118" s="111">
        <v>3488778</v>
      </c>
      <c r="L118" s="1">
        <v>89.32</v>
      </c>
      <c r="M118" s="1">
        <v>88.79</v>
      </c>
      <c r="N118" s="111">
        <v>393787</v>
      </c>
      <c r="O118" s="111">
        <v>4379150</v>
      </c>
      <c r="P118" s="111">
        <v>666209</v>
      </c>
      <c r="Q118" s="111">
        <v>7329849</v>
      </c>
      <c r="R118" s="1">
        <v>59.11</v>
      </c>
      <c r="S118" s="1">
        <v>59.74</v>
      </c>
      <c r="T118" s="111">
        <v>371737</v>
      </c>
      <c r="U118" s="111">
        <v>3997595</v>
      </c>
      <c r="V118" s="111">
        <v>635614</v>
      </c>
      <c r="W118" s="111">
        <v>6817122</v>
      </c>
      <c r="X118" s="1">
        <v>58.48</v>
      </c>
      <c r="Y118" s="1">
        <v>58.64</v>
      </c>
      <c r="Z118" s="111">
        <v>331595</v>
      </c>
      <c r="AA118" s="111">
        <v>3479375</v>
      </c>
      <c r="AB118" s="111">
        <v>377139</v>
      </c>
      <c r="AC118" s="111">
        <v>4001505</v>
      </c>
      <c r="AD118" s="1">
        <v>87.92</v>
      </c>
      <c r="AE118" s="1">
        <v>86.95</v>
      </c>
      <c r="AF118" s="111">
        <v>381187</v>
      </c>
      <c r="AG118" s="111">
        <v>4214080</v>
      </c>
      <c r="AH118" s="111">
        <v>648209</v>
      </c>
      <c r="AI118" s="111">
        <v>7097867</v>
      </c>
      <c r="AJ118" s="1">
        <v>58.81</v>
      </c>
      <c r="AK118" s="1">
        <v>59.37</v>
      </c>
      <c r="AL118" s="111">
        <v>393787</v>
      </c>
      <c r="AM118" s="111">
        <v>4379150</v>
      </c>
      <c r="AN118" s="111">
        <v>666209</v>
      </c>
      <c r="AO118" s="111">
        <v>7329849</v>
      </c>
      <c r="AP118" s="1">
        <v>59.11</v>
      </c>
      <c r="AQ118" s="1">
        <v>59.74</v>
      </c>
      <c r="AR118" s="113">
        <v>46016</v>
      </c>
      <c r="AS118" s="1">
        <v>65.78</v>
      </c>
      <c r="AT118" s="1">
        <v>67.75</v>
      </c>
      <c r="AU118" s="1">
        <v>34.22</v>
      </c>
      <c r="AV118" s="1">
        <v>32.25</v>
      </c>
      <c r="AW118" s="1">
        <v>37.24</v>
      </c>
      <c r="AX118" s="1">
        <v>36.99</v>
      </c>
      <c r="AY118" s="1">
        <v>62.76</v>
      </c>
      <c r="AZ118" s="1">
        <v>63.01</v>
      </c>
      <c r="BC118" s="1">
        <v>70</v>
      </c>
      <c r="BE118" s="1" t="e">
        <v>#VALUE!</v>
      </c>
      <c r="BF118" s="1">
        <v>0</v>
      </c>
      <c r="BH118" s="1">
        <v>0</v>
      </c>
      <c r="BI118" s="1">
        <v>0</v>
      </c>
    </row>
    <row r="119" spans="1:61" ht="12.5" x14ac:dyDescent="0.25">
      <c r="AS119" s="1" t="s">
        <v>138</v>
      </c>
    </row>
    <row r="120" spans="1:61" ht="12.5" x14ac:dyDescent="0.25">
      <c r="I120" s="1" t="s">
        <v>139</v>
      </c>
      <c r="P120" s="1" t="s">
        <v>140</v>
      </c>
      <c r="AS120" s="1" t="s">
        <v>141</v>
      </c>
    </row>
    <row r="121" spans="1:61" ht="12.5" x14ac:dyDescent="0.25">
      <c r="I121" s="1" t="s">
        <v>102</v>
      </c>
      <c r="J121" s="1" t="s">
        <v>3</v>
      </c>
      <c r="P121" s="1" t="s">
        <v>3</v>
      </c>
      <c r="AS121" s="1" t="s">
        <v>142</v>
      </c>
    </row>
    <row r="122" spans="1:61" ht="12.5" x14ac:dyDescent="0.25">
      <c r="J122" s="1" t="s">
        <v>106</v>
      </c>
      <c r="K122" s="1" t="s">
        <v>107</v>
      </c>
      <c r="L122" s="1" t="s">
        <v>143</v>
      </c>
      <c r="P122" s="1" t="s">
        <v>106</v>
      </c>
      <c r="Q122" s="1" t="s">
        <v>107</v>
      </c>
      <c r="R122" s="1" t="s">
        <v>143</v>
      </c>
    </row>
    <row r="123" spans="1:61" ht="12.5" x14ac:dyDescent="0.25">
      <c r="I123" s="1" t="s">
        <v>4</v>
      </c>
      <c r="J123" s="111">
        <v>235671</v>
      </c>
      <c r="K123" s="111">
        <v>235671</v>
      </c>
      <c r="L123" s="1">
        <v>0</v>
      </c>
      <c r="M123" s="1">
        <v>0</v>
      </c>
      <c r="P123" s="111">
        <v>489056</v>
      </c>
      <c r="Q123" s="111">
        <v>489056</v>
      </c>
      <c r="R123" s="1">
        <v>0</v>
      </c>
      <c r="S123" s="1">
        <v>0</v>
      </c>
    </row>
    <row r="124" spans="1:61" ht="12.5" x14ac:dyDescent="0.25">
      <c r="I124" s="1" t="s">
        <v>5</v>
      </c>
      <c r="J124" s="111">
        <v>229874</v>
      </c>
      <c r="K124" s="111">
        <v>465544</v>
      </c>
      <c r="L124" s="1">
        <v>0</v>
      </c>
      <c r="M124" s="1">
        <v>0</v>
      </c>
      <c r="P124" s="111">
        <v>446162</v>
      </c>
      <c r="Q124" s="111">
        <v>935217</v>
      </c>
      <c r="R124" s="1">
        <v>0</v>
      </c>
      <c r="S124" s="1">
        <v>0</v>
      </c>
    </row>
    <row r="125" spans="1:61" ht="12.5" x14ac:dyDescent="0.25">
      <c r="I125" s="1" t="s">
        <v>6</v>
      </c>
      <c r="J125" s="111">
        <v>226081</v>
      </c>
      <c r="K125" s="111">
        <v>691625</v>
      </c>
      <c r="L125" s="1">
        <v>0</v>
      </c>
      <c r="M125" s="1">
        <v>0</v>
      </c>
      <c r="P125" s="111">
        <v>338787</v>
      </c>
      <c r="Q125" s="111">
        <v>1274004</v>
      </c>
      <c r="R125" s="1">
        <v>0</v>
      </c>
      <c r="S125" s="1">
        <v>0</v>
      </c>
    </row>
    <row r="126" spans="1:61" ht="12.5" x14ac:dyDescent="0.25">
      <c r="I126" s="1" t="s">
        <v>7</v>
      </c>
      <c r="J126" s="111">
        <v>182161</v>
      </c>
      <c r="K126" s="111">
        <v>873787</v>
      </c>
      <c r="L126" s="1">
        <v>0</v>
      </c>
      <c r="M126" s="1">
        <v>0</v>
      </c>
      <c r="P126" s="111">
        <v>360459</v>
      </c>
      <c r="Q126" s="111">
        <v>1634464</v>
      </c>
      <c r="R126" s="1">
        <v>0</v>
      </c>
      <c r="S126" s="1">
        <v>0</v>
      </c>
    </row>
    <row r="127" spans="1:61" ht="12.5" x14ac:dyDescent="0.25">
      <c r="I127" s="1" t="s">
        <v>8</v>
      </c>
      <c r="J127" s="111">
        <v>279982</v>
      </c>
      <c r="K127" s="111">
        <v>1153768</v>
      </c>
      <c r="L127" s="1">
        <v>0</v>
      </c>
      <c r="M127" s="1">
        <v>0</v>
      </c>
      <c r="P127" s="111">
        <v>507171</v>
      </c>
      <c r="Q127" s="111">
        <v>2141635</v>
      </c>
      <c r="R127" s="1">
        <v>0</v>
      </c>
      <c r="S127" s="1">
        <v>0</v>
      </c>
    </row>
    <row r="128" spans="1:61" ht="12.5" x14ac:dyDescent="0.25">
      <c r="I128" s="1" t="s">
        <v>9</v>
      </c>
      <c r="J128" s="111">
        <v>253504</v>
      </c>
      <c r="K128" s="111">
        <v>1407272</v>
      </c>
      <c r="L128" s="1">
        <v>0</v>
      </c>
      <c r="M128" s="1">
        <v>0</v>
      </c>
      <c r="P128" s="111">
        <v>597917</v>
      </c>
      <c r="Q128" s="111">
        <v>2739552</v>
      </c>
      <c r="R128" s="1">
        <v>0</v>
      </c>
      <c r="S128" s="1">
        <v>0</v>
      </c>
    </row>
    <row r="129" spans="9:19" ht="12.5" x14ac:dyDescent="0.25">
      <c r="I129" s="1" t="s">
        <v>10</v>
      </c>
      <c r="J129" s="111">
        <v>261717</v>
      </c>
      <c r="K129" s="111">
        <v>1668989</v>
      </c>
      <c r="L129" s="1">
        <v>0</v>
      </c>
      <c r="M129" s="1">
        <v>0</v>
      </c>
      <c r="P129" s="111">
        <v>624297</v>
      </c>
      <c r="Q129" s="111">
        <v>3363848</v>
      </c>
      <c r="R129" s="1">
        <v>0</v>
      </c>
      <c r="S129" s="1">
        <v>0</v>
      </c>
    </row>
    <row r="130" spans="9:19" ht="12.5" x14ac:dyDescent="0.25">
      <c r="I130" s="1" t="s">
        <v>11</v>
      </c>
      <c r="J130" s="111">
        <v>267801</v>
      </c>
      <c r="K130" s="111">
        <v>1936790</v>
      </c>
      <c r="L130" s="1">
        <v>0</v>
      </c>
      <c r="M130" s="1">
        <v>0</v>
      </c>
      <c r="P130" s="111">
        <v>563596</v>
      </c>
      <c r="Q130" s="111">
        <v>3927445</v>
      </c>
      <c r="R130" s="1">
        <v>0</v>
      </c>
      <c r="S130" s="1">
        <v>0</v>
      </c>
    </row>
    <row r="131" spans="9:19" ht="12.5" x14ac:dyDescent="0.25">
      <c r="I131" s="1" t="s">
        <v>12</v>
      </c>
      <c r="J131" s="111">
        <v>288700</v>
      </c>
      <c r="K131" s="111">
        <v>2225490</v>
      </c>
      <c r="L131" s="1">
        <v>0</v>
      </c>
      <c r="M131" s="1">
        <v>0</v>
      </c>
      <c r="P131" s="111">
        <v>576735</v>
      </c>
      <c r="Q131" s="111">
        <v>4504180</v>
      </c>
      <c r="R131" s="1">
        <v>0</v>
      </c>
      <c r="S131" s="1">
        <v>0</v>
      </c>
    </row>
    <row r="132" spans="9:19" ht="12.5" x14ac:dyDescent="0.25">
      <c r="I132" s="1" t="s">
        <v>13</v>
      </c>
      <c r="J132" s="111">
        <v>331050</v>
      </c>
      <c r="K132" s="111">
        <v>2556539</v>
      </c>
      <c r="L132" s="1">
        <v>0</v>
      </c>
      <c r="M132" s="1">
        <v>0</v>
      </c>
      <c r="P132" s="111">
        <v>616888</v>
      </c>
      <c r="Q132" s="111">
        <v>5121068</v>
      </c>
      <c r="R132" s="1">
        <v>0</v>
      </c>
      <c r="S132" s="1">
        <v>0</v>
      </c>
    </row>
    <row r="133" spans="9:19" ht="12.5" x14ac:dyDescent="0.25">
      <c r="I133" s="1" t="s">
        <v>14</v>
      </c>
      <c r="J133" s="111">
        <v>304194</v>
      </c>
      <c r="K133" s="111">
        <v>2860734</v>
      </c>
      <c r="L133" s="1">
        <v>0</v>
      </c>
      <c r="M133" s="1">
        <v>0</v>
      </c>
      <c r="P133" s="111">
        <v>575009</v>
      </c>
      <c r="Q133" s="111">
        <v>5696077</v>
      </c>
      <c r="R133" s="1">
        <v>0</v>
      </c>
      <c r="S133" s="1">
        <v>0</v>
      </c>
    </row>
    <row r="134" spans="9:19" ht="12.5" x14ac:dyDescent="0.25">
      <c r="I134" s="1" t="s">
        <v>15</v>
      </c>
      <c r="J134" s="111">
        <v>313880</v>
      </c>
      <c r="K134" s="111">
        <v>3174614</v>
      </c>
      <c r="L134" s="1">
        <v>0</v>
      </c>
      <c r="M134" s="1">
        <v>0</v>
      </c>
      <c r="P134" s="111">
        <v>575363</v>
      </c>
      <c r="Q134" s="111">
        <v>6271440</v>
      </c>
      <c r="R134" s="1">
        <v>0</v>
      </c>
      <c r="S13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72"/>
  <sheetViews>
    <sheetView showGridLines="0"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47.08984375" customWidth="1"/>
    <col min="6" max="13" width="12.6328125" hidden="1"/>
    <col min="15" max="15" width="6.453125" customWidth="1"/>
    <col min="16" max="16" width="13.36328125" customWidth="1"/>
    <col min="17" max="17" width="10.453125" customWidth="1"/>
    <col min="18" max="18" width="10.90625" customWidth="1"/>
    <col min="19" max="19" width="17.36328125" customWidth="1"/>
    <col min="20" max="20" width="18.7265625" customWidth="1"/>
    <col min="21" max="21" width="19.7265625" customWidth="1"/>
    <col min="22" max="22" width="12.26953125" customWidth="1"/>
    <col min="23" max="23" width="12.6328125" customWidth="1"/>
    <col min="24" max="26" width="12.90625" customWidth="1"/>
    <col min="27" max="27" width="11.7265625" customWidth="1"/>
    <col min="31" max="38" width="12.7265625" customWidth="1"/>
    <col min="39" max="39" width="46.6328125" customWidth="1"/>
    <col min="40" max="40" width="12.7265625" customWidth="1"/>
  </cols>
  <sheetData>
    <row r="1" spans="1:40" ht="15.75" customHeight="1" x14ac:dyDescent="0.35">
      <c r="B1" s="115" t="s">
        <v>106</v>
      </c>
      <c r="Q1" s="116" t="s">
        <v>8</v>
      </c>
      <c r="W1" s="215" t="s">
        <v>174</v>
      </c>
      <c r="X1" s="216"/>
      <c r="Y1" s="216"/>
      <c r="Z1" s="1"/>
    </row>
    <row r="2" spans="1:40" ht="15.75" customHeight="1" x14ac:dyDescent="0.3">
      <c r="A2" s="116" t="s">
        <v>1</v>
      </c>
      <c r="B2" s="116" t="s">
        <v>4</v>
      </c>
      <c r="C2" s="116" t="s">
        <v>5</v>
      </c>
      <c r="D2" s="116" t="s">
        <v>6</v>
      </c>
      <c r="E2" s="116" t="s">
        <v>7</v>
      </c>
      <c r="F2" s="116" t="s">
        <v>8</v>
      </c>
      <c r="G2" s="116" t="s">
        <v>9</v>
      </c>
      <c r="H2" s="116" t="s">
        <v>10</v>
      </c>
      <c r="I2" s="116" t="s">
        <v>11</v>
      </c>
      <c r="J2" s="116" t="s">
        <v>12</v>
      </c>
      <c r="K2" s="116" t="s">
        <v>13</v>
      </c>
      <c r="L2" s="116" t="s">
        <v>14</v>
      </c>
      <c r="M2" s="116" t="s">
        <v>15</v>
      </c>
      <c r="N2" s="116" t="s">
        <v>175</v>
      </c>
      <c r="O2" s="1">
        <v>1</v>
      </c>
      <c r="P2" s="117" t="s">
        <v>176</v>
      </c>
      <c r="Q2" s="117" t="s">
        <v>177</v>
      </c>
      <c r="R2" s="117" t="s">
        <v>178</v>
      </c>
      <c r="S2" s="117" t="s">
        <v>179</v>
      </c>
      <c r="T2" s="118" t="s">
        <v>180</v>
      </c>
      <c r="U2" s="117" t="s">
        <v>181</v>
      </c>
      <c r="V2" s="118" t="s">
        <v>182</v>
      </c>
      <c r="W2" s="117" t="s">
        <v>130</v>
      </c>
      <c r="X2" s="117" t="s">
        <v>129</v>
      </c>
      <c r="Y2" s="117" t="s">
        <v>183</v>
      </c>
      <c r="Z2" s="119" t="s">
        <v>184</v>
      </c>
      <c r="AB2" s="120"/>
      <c r="AC2" s="120"/>
      <c r="AD2" s="120"/>
      <c r="AE2" s="1" t="s">
        <v>185</v>
      </c>
      <c r="AF2" s="120"/>
      <c r="AG2" s="120"/>
      <c r="AH2" s="120"/>
      <c r="AI2" s="120"/>
      <c r="AJ2" s="117" t="s">
        <v>183</v>
      </c>
      <c r="AK2" s="117" t="s">
        <v>177</v>
      </c>
      <c r="AL2" s="117" t="s">
        <v>186</v>
      </c>
      <c r="AM2" s="117"/>
      <c r="AN2" s="117"/>
    </row>
    <row r="3" spans="1:40" ht="15.75" customHeight="1" x14ac:dyDescent="0.3">
      <c r="A3" s="121" t="s">
        <v>145</v>
      </c>
      <c r="B3" s="122" t="e">
        <f>VLOOKUP(B$2,#REF!,54,)</f>
        <v>#REF!</v>
      </c>
      <c r="C3" s="122" t="e">
        <f>VLOOKUP(C$2,#REF!,54,)</f>
        <v>#REF!</v>
      </c>
      <c r="D3" s="122" t="e">
        <f>VLOOKUP(D$2,#REF!,54,)</f>
        <v>#REF!</v>
      </c>
      <c r="E3" s="122" t="e">
        <f>VLOOKUP(E$2,#REF!,54,)</f>
        <v>#REF!</v>
      </c>
      <c r="F3" s="122" t="e">
        <f>VLOOKUP(F$2,#REF!,54,)</f>
        <v>#REF!</v>
      </c>
      <c r="G3" s="122" t="e">
        <f>VLOOKUP(G$2,#REF!,54,)</f>
        <v>#REF!</v>
      </c>
      <c r="H3" s="122" t="e">
        <f>VLOOKUP(H$2,#REF!,54,)</f>
        <v>#REF!</v>
      </c>
      <c r="I3" s="122" t="e">
        <f>VLOOKUP(I$2,#REF!,54,)</f>
        <v>#REF!</v>
      </c>
      <c r="J3" s="122" t="e">
        <f>VLOOKUP(J$2,#REF!,54,)</f>
        <v>#REF!</v>
      </c>
      <c r="K3" s="122" t="e">
        <f>VLOOKUP(K$2,#REF!,54,)</f>
        <v>#REF!</v>
      </c>
      <c r="L3" s="122" t="e">
        <f>VLOOKUP(L$2,#REF!,54,)</f>
        <v>#REF!</v>
      </c>
      <c r="M3" s="122" t="e">
        <f>VLOOKUP(M$2,#REF!,54,)</f>
        <v>#REF!</v>
      </c>
      <c r="N3" s="123">
        <f>RKAP!$BC$17</f>
        <v>87.6</v>
      </c>
      <c r="O3" s="1">
        <v>2</v>
      </c>
      <c r="S3" s="124" t="str">
        <f t="shared" ref="S3:S29" si="0">IF(P3="","",P3/100*R3)</f>
        <v/>
      </c>
      <c r="T3" s="125"/>
      <c r="U3" s="41" t="str">
        <f>IF(P3="","",#REF!)</f>
        <v/>
      </c>
      <c r="V3" s="126" t="str">
        <f t="shared" ref="V3:V29" si="1">IF(U3="","",U3*(1-$T$31))</f>
        <v/>
      </c>
      <c r="W3" s="127" t="e">
        <f t="shared" ref="W3:X3" si="2">SUM(W4:W10)</f>
        <v>#REF!</v>
      </c>
      <c r="X3" s="127" t="e">
        <f t="shared" si="2"/>
        <v>#REF!</v>
      </c>
      <c r="Y3" s="128" t="str">
        <f t="shared" ref="Y3:Y29" si="3">IFERROR(W3/X3*100,"")</f>
        <v/>
      </c>
      <c r="Z3" s="128" t="e">
        <f t="shared" ref="Z3:Z29" si="4">IF(Y3-HLOOKUP(Q$1,$B$2:$M$30,O3,)=0,"",Y3-HLOOKUP(Q$1,$B$2:$M$30,O3,))</f>
        <v>#VALUE!</v>
      </c>
      <c r="AA3" s="1" t="s">
        <v>187</v>
      </c>
      <c r="AF3" s="1" t="s">
        <v>188</v>
      </c>
      <c r="AG3" s="1"/>
      <c r="AH3" s="1"/>
      <c r="AI3" s="1"/>
      <c r="AJ3" s="1"/>
      <c r="AK3" s="129" t="e">
        <f t="shared" ref="AK3:AL3" si="5">SUM(AK4:AK10)</f>
        <v>#REF!</v>
      </c>
      <c r="AL3" s="129" t="e">
        <f t="shared" si="5"/>
        <v>#REF!</v>
      </c>
      <c r="AM3" s="130" t="e">
        <f>A3&amp;" = "&amp;ROUNDUP((AK3/AL3*100),2)</f>
        <v>#REF!</v>
      </c>
      <c r="AN3" s="1"/>
    </row>
    <row r="4" spans="1:40" ht="15.75" customHeight="1" x14ac:dyDescent="0.3">
      <c r="A4" s="1" t="s">
        <v>189</v>
      </c>
      <c r="B4" s="128" t="e">
        <f>VLOOKUP(B$2,#REF!,6,)</f>
        <v>#REF!</v>
      </c>
      <c r="C4" s="128" t="e">
        <f>VLOOKUP(C$2,#REF!,6,)</f>
        <v>#REF!</v>
      </c>
      <c r="D4" s="128" t="e">
        <f>VLOOKUP(D$2,#REF!,6,)</f>
        <v>#REF!</v>
      </c>
      <c r="E4" s="128" t="e">
        <f>VLOOKUP(E$2,#REF!,6,)</f>
        <v>#REF!</v>
      </c>
      <c r="F4" s="128" t="e">
        <f>VLOOKUP(F$2,#REF!,6,)</f>
        <v>#REF!</v>
      </c>
      <c r="G4" s="128" t="e">
        <f>VLOOKUP(G$2,#REF!,6,)</f>
        <v>#REF!</v>
      </c>
      <c r="H4" s="128" t="e">
        <f>VLOOKUP(H$2,#REF!,6,)</f>
        <v>#REF!</v>
      </c>
      <c r="I4" s="128" t="e">
        <f>VLOOKUP(I$2,#REF!,6,)</f>
        <v>#REF!</v>
      </c>
      <c r="J4" s="128" t="e">
        <f>VLOOKUP(J$2,#REF!,6,)</f>
        <v>#REF!</v>
      </c>
      <c r="K4" s="128" t="e">
        <f>VLOOKUP(K$2,#REF!,6,)</f>
        <v>#REF!</v>
      </c>
      <c r="L4" s="128" t="e">
        <f>VLOOKUP(L$2,#REF!,6,)</f>
        <v>#REF!</v>
      </c>
      <c r="M4" s="128" t="e">
        <f>VLOOKUP(M$2,#REF!,6,)</f>
        <v>#REF!</v>
      </c>
      <c r="N4" s="128">
        <f>RKAP!$G$17</f>
        <v>85</v>
      </c>
      <c r="O4" s="1">
        <v>3</v>
      </c>
      <c r="P4" s="128" t="e">
        <f t="shared" ref="P4:P10" si="6">IF(HLOOKUP(Q$1,$B$2:$M$30,O4,)-N4&lt;=0,"",HLOOKUP(Q$1,$B$2:$M$30,O4,)-N4)</f>
        <v>#REF!</v>
      </c>
      <c r="Q4" s="131" t="e">
        <f>VLOOKUP(Q$1,#REF!,2,)</f>
        <v>#REF!</v>
      </c>
      <c r="R4" s="131" t="e">
        <f>VLOOKUP(Q$1,#REF!,4,)</f>
        <v>#REF!</v>
      </c>
      <c r="S4" s="124" t="e">
        <f t="shared" si="0"/>
        <v>#REF!</v>
      </c>
      <c r="T4" s="129"/>
      <c r="U4" s="131"/>
      <c r="V4" s="132" t="str">
        <f t="shared" si="1"/>
        <v/>
      </c>
      <c r="W4" s="131" t="e">
        <f t="shared" ref="W4:W10" si="7">IF(T4="Yes",V4,Q4)</f>
        <v>#REF!</v>
      </c>
      <c r="X4" s="131" t="e">
        <f t="shared" ref="X4:X10" si="8">R4</f>
        <v>#REF!</v>
      </c>
      <c r="Y4" s="128" t="str">
        <f t="shared" si="3"/>
        <v/>
      </c>
      <c r="Z4" s="128" t="e">
        <f t="shared" si="4"/>
        <v>#VALUE!</v>
      </c>
      <c r="AA4" s="133" t="e">
        <f>R4/SUM(R4:R10)</f>
        <v>#REF!</v>
      </c>
      <c r="AC4" s="134" t="e">
        <f>Q4/R4*AD4</f>
        <v>#REF!</v>
      </c>
      <c r="AD4" s="134" t="e">
        <f>AF4/100*X3</f>
        <v>#REF!</v>
      </c>
      <c r="AF4" s="135">
        <v>5</v>
      </c>
      <c r="AH4" s="1"/>
      <c r="AI4" s="1"/>
      <c r="AJ4" s="136" t="e">
        <f t="shared" ref="AJ4:AJ5" si="9">IF(D4&gt;N4,N4,D4)</f>
        <v>#REF!</v>
      </c>
      <c r="AK4" s="129" t="e">
        <f t="shared" ref="AK4:AK10" si="10">AJ4/100*AL4</f>
        <v>#REF!</v>
      </c>
      <c r="AL4" s="129" t="e">
        <f t="shared" ref="AL4:AL10" si="11">R4</f>
        <v>#REF!</v>
      </c>
      <c r="AM4" s="1" t="str">
        <f t="shared" ref="AM4:AM10" si="12">A4</f>
        <v>Dynamix/EzPro/PCC (Transisi)</v>
      </c>
      <c r="AN4" s="1"/>
    </row>
    <row r="5" spans="1:40" ht="15.75" customHeight="1" x14ac:dyDescent="0.25">
      <c r="A5" s="137" t="s">
        <v>190</v>
      </c>
      <c r="B5" s="128" t="e">
        <f>VLOOKUP(B$2,#REF!,77,)</f>
        <v>#REF!</v>
      </c>
      <c r="C5" s="128" t="e">
        <f>VLOOKUP(C$2,#REF!,77,)</f>
        <v>#REF!</v>
      </c>
      <c r="D5" s="128" t="e">
        <f>VLOOKUP(D$2,#REF!,77,)</f>
        <v>#REF!</v>
      </c>
      <c r="E5" s="128" t="e">
        <f>VLOOKUP(E$2,#REF!,77,)</f>
        <v>#REF!</v>
      </c>
      <c r="F5" s="128" t="e">
        <f>VLOOKUP(F$2,#REF!,77,)</f>
        <v>#REF!</v>
      </c>
      <c r="G5" s="128" t="e">
        <f>VLOOKUP(G$2,#REF!,77,)</f>
        <v>#REF!</v>
      </c>
      <c r="H5" s="128" t="e">
        <f>VLOOKUP(H$2,#REF!,77,)</f>
        <v>#REF!</v>
      </c>
      <c r="I5" s="128" t="e">
        <f>VLOOKUP(I$2,#REF!,77,)</f>
        <v>#REF!</v>
      </c>
      <c r="J5" s="128" t="e">
        <f>VLOOKUP(J$2,#REF!,77,)</f>
        <v>#REF!</v>
      </c>
      <c r="K5" s="128" t="e">
        <f>VLOOKUP(K$2,#REF!,77,)</f>
        <v>#REF!</v>
      </c>
      <c r="L5" s="128" t="e">
        <f>VLOOKUP(L$2,#REF!,77,)</f>
        <v>#REF!</v>
      </c>
      <c r="M5" s="128" t="e">
        <f>VLOOKUP(M$2,#REF!,77,)</f>
        <v>#REF!</v>
      </c>
      <c r="N5" s="128">
        <f>RKAP!$BZ$17</f>
        <v>95.5</v>
      </c>
      <c r="O5" s="1">
        <v>4</v>
      </c>
      <c r="P5" s="41" t="e">
        <f t="shared" si="6"/>
        <v>#REF!</v>
      </c>
      <c r="Q5" s="131" t="e">
        <f>VLOOKUP(Q$1,#REF!,73,)</f>
        <v>#REF!</v>
      </c>
      <c r="R5" s="131" t="e">
        <f>VLOOKUP(Q$1,#REF!,75,)</f>
        <v>#REF!</v>
      </c>
      <c r="S5" s="124" t="e">
        <f t="shared" si="0"/>
        <v>#REF!</v>
      </c>
      <c r="T5" s="129" t="s">
        <v>191</v>
      </c>
      <c r="U5" s="131" t="e">
        <f t="shared" ref="U5:U16" si="13">IF(T5="Yes",Q5,"")</f>
        <v>#REF!</v>
      </c>
      <c r="V5" s="132" t="e">
        <f t="shared" si="1"/>
        <v>#REF!</v>
      </c>
      <c r="W5" s="138" t="e">
        <f t="shared" si="7"/>
        <v>#REF!</v>
      </c>
      <c r="X5" s="131" t="e">
        <f t="shared" si="8"/>
        <v>#REF!</v>
      </c>
      <c r="Y5" s="128" t="str">
        <f t="shared" si="3"/>
        <v/>
      </c>
      <c r="Z5" s="128" t="e">
        <f t="shared" si="4"/>
        <v>#VALUE!</v>
      </c>
      <c r="AC5" s="139">
        <f t="shared" ref="AC5:AC10" si="14">IFERROR(IF(Q5/R5*100&gt;=N5,N5/100*R5,Q5),0)</f>
        <v>0</v>
      </c>
      <c r="AD5" s="139" t="e">
        <f t="shared" ref="AD5:AD10" si="15">X5</f>
        <v>#REF!</v>
      </c>
      <c r="AE5" s="140" t="e">
        <f t="shared" ref="AE5:AE10" si="16">C5</f>
        <v>#REF!</v>
      </c>
      <c r="AJ5" s="136" t="e">
        <f t="shared" si="9"/>
        <v>#REF!</v>
      </c>
      <c r="AK5" s="129" t="e">
        <f t="shared" si="10"/>
        <v>#REF!</v>
      </c>
      <c r="AL5" s="129" t="e">
        <f t="shared" si="11"/>
        <v>#REF!</v>
      </c>
      <c r="AM5" s="1" t="str">
        <f t="shared" si="12"/>
        <v>OPC (Type 1 General)/UltraPro (DLH, DJabes &amp; non-DJabes)</v>
      </c>
      <c r="AN5" s="1"/>
    </row>
    <row r="6" spans="1:40" ht="15.75" customHeight="1" x14ac:dyDescent="0.25">
      <c r="A6" s="137" t="s">
        <v>192</v>
      </c>
      <c r="B6" s="128" t="e">
        <f>VLOOKUP(B$2,#REF!,83,)</f>
        <v>#REF!</v>
      </c>
      <c r="C6" s="128" t="e">
        <f>VLOOKUP(C$2,#REF!,83,)</f>
        <v>#REF!</v>
      </c>
      <c r="D6" s="128" t="e">
        <f>VLOOKUP(D$2,#REF!,83,)</f>
        <v>#REF!</v>
      </c>
      <c r="E6" s="128" t="e">
        <f>VLOOKUP(E$2,#REF!,83,)</f>
        <v>#REF!</v>
      </c>
      <c r="F6" s="128" t="e">
        <f>VLOOKUP(F$2,#REF!,83,)</f>
        <v>#REF!</v>
      </c>
      <c r="G6" s="128" t="e">
        <f>VLOOKUP(G$2,#REF!,83,)</f>
        <v>#REF!</v>
      </c>
      <c r="H6" s="128" t="e">
        <f>VLOOKUP(H$2,#REF!,83,)</f>
        <v>#REF!</v>
      </c>
      <c r="I6" s="128" t="e">
        <f>VLOOKUP(I$2,#REF!,83,)</f>
        <v>#REF!</v>
      </c>
      <c r="J6" s="128" t="e">
        <f>VLOOKUP(J$2,#REF!,83,)</f>
        <v>#REF!</v>
      </c>
      <c r="K6" s="128" t="e">
        <f>VLOOKUP(K$2,#REF!,83,)</f>
        <v>#REF!</v>
      </c>
      <c r="L6" s="128" t="e">
        <f>VLOOKUP(L$2,#REF!,83,)</f>
        <v>#REF!</v>
      </c>
      <c r="M6" s="128" t="e">
        <f>VLOOKUP(M$2,#REF!,83,)</f>
        <v>#REF!</v>
      </c>
      <c r="N6" s="128">
        <f>RKAP!$CF$17</f>
        <v>88.4</v>
      </c>
      <c r="O6" s="1">
        <v>5</v>
      </c>
      <c r="P6" s="41" t="e">
        <f t="shared" si="6"/>
        <v>#REF!</v>
      </c>
      <c r="Q6" s="131" t="e">
        <f>VLOOKUP(Q$1,#REF!,79,)</f>
        <v>#REF!</v>
      </c>
      <c r="R6" s="131" t="e">
        <f>VLOOKUP(Q$1,#REF!,81,)</f>
        <v>#REF!</v>
      </c>
      <c r="S6" s="124" t="e">
        <f t="shared" si="0"/>
        <v>#REF!</v>
      </c>
      <c r="T6" s="129" t="s">
        <v>191</v>
      </c>
      <c r="U6" s="131" t="e">
        <f t="shared" si="13"/>
        <v>#REF!</v>
      </c>
      <c r="V6" s="132" t="e">
        <f t="shared" si="1"/>
        <v>#REF!</v>
      </c>
      <c r="W6" s="138" t="e">
        <f t="shared" si="7"/>
        <v>#REF!</v>
      </c>
      <c r="X6" s="131" t="e">
        <f t="shared" si="8"/>
        <v>#REF!</v>
      </c>
      <c r="Y6" s="128" t="str">
        <f t="shared" si="3"/>
        <v/>
      </c>
      <c r="Z6" s="128" t="e">
        <f t="shared" si="4"/>
        <v>#VALUE!</v>
      </c>
      <c r="AC6" s="139">
        <f t="shared" si="14"/>
        <v>0</v>
      </c>
      <c r="AD6" s="139" t="e">
        <f t="shared" si="15"/>
        <v>#REF!</v>
      </c>
      <c r="AE6" s="140" t="e">
        <f t="shared" si="16"/>
        <v>#REF!</v>
      </c>
      <c r="AJ6" s="141" t="e">
        <f>D6</f>
        <v>#REF!</v>
      </c>
      <c r="AK6" s="129" t="e">
        <f t="shared" si="10"/>
        <v>#REF!</v>
      </c>
      <c r="AL6" s="129" t="e">
        <f t="shared" si="11"/>
        <v>#REF!</v>
      </c>
      <c r="AM6" s="1" t="str">
        <f t="shared" si="12"/>
        <v>OPC (Type 1 General)/UltraPro - SG</v>
      </c>
      <c r="AN6" s="1"/>
    </row>
    <row r="7" spans="1:40" ht="15.75" customHeight="1" x14ac:dyDescent="0.25">
      <c r="A7" s="137" t="s">
        <v>95</v>
      </c>
      <c r="B7" s="128" t="e">
        <f>VLOOKUP(B$2,#REF!,18,)</f>
        <v>#REF!</v>
      </c>
      <c r="C7" s="128" t="e">
        <f>VLOOKUP(C$2,#REF!,18,)</f>
        <v>#REF!</v>
      </c>
      <c r="D7" s="128" t="e">
        <f>VLOOKUP(D$2,#REF!,18,)</f>
        <v>#REF!</v>
      </c>
      <c r="E7" s="128" t="e">
        <f>VLOOKUP(E$2,#REF!,18,)</f>
        <v>#REF!</v>
      </c>
      <c r="F7" s="128" t="e">
        <f>VLOOKUP(F$2,#REF!,18,)</f>
        <v>#REF!</v>
      </c>
      <c r="G7" s="128" t="e">
        <f>VLOOKUP(G$2,#REF!,18,)</f>
        <v>#REF!</v>
      </c>
      <c r="H7" s="128" t="e">
        <f>VLOOKUP(H$2,#REF!,18,)</f>
        <v>#REF!</v>
      </c>
      <c r="I7" s="128" t="e">
        <f>VLOOKUP(I$2,#REF!,18,)</f>
        <v>#REF!</v>
      </c>
      <c r="J7" s="128" t="e">
        <f>VLOOKUP(J$2,#REF!,18,)</f>
        <v>#REF!</v>
      </c>
      <c r="K7" s="128" t="e">
        <f>VLOOKUP(K$2,#REF!,18,)</f>
        <v>#REF!</v>
      </c>
      <c r="L7" s="128" t="e">
        <f>VLOOKUP(L$2,#REF!,18,)</f>
        <v>#REF!</v>
      </c>
      <c r="M7" s="128" t="e">
        <f>VLOOKUP(M$2,#REF!,18,)</f>
        <v>#REF!</v>
      </c>
      <c r="N7" s="128">
        <f>RKAP!$S$17</f>
        <v>88.2</v>
      </c>
      <c r="O7" s="1">
        <v>6</v>
      </c>
      <c r="P7" s="41" t="e">
        <f t="shared" si="6"/>
        <v>#REF!</v>
      </c>
      <c r="Q7" s="131" t="e">
        <f>VLOOKUP(Q$1,#REF!,14,)</f>
        <v>#REF!</v>
      </c>
      <c r="R7" s="131" t="e">
        <f>VLOOKUP(Q$1,#REF!,16,)</f>
        <v>#REF!</v>
      </c>
      <c r="S7" s="124" t="e">
        <f t="shared" si="0"/>
        <v>#REF!</v>
      </c>
      <c r="T7" s="129" t="s">
        <v>191</v>
      </c>
      <c r="U7" s="131" t="e">
        <f t="shared" si="13"/>
        <v>#REF!</v>
      </c>
      <c r="V7" s="132" t="e">
        <f t="shared" si="1"/>
        <v>#REF!</v>
      </c>
      <c r="W7" s="138" t="e">
        <f t="shared" si="7"/>
        <v>#REF!</v>
      </c>
      <c r="X7" s="131" t="e">
        <f t="shared" si="8"/>
        <v>#REF!</v>
      </c>
      <c r="Y7" s="128" t="str">
        <f t="shared" si="3"/>
        <v/>
      </c>
      <c r="Z7" s="128" t="e">
        <f t="shared" si="4"/>
        <v>#VALUE!</v>
      </c>
      <c r="AC7" s="139">
        <f t="shared" si="14"/>
        <v>0</v>
      </c>
      <c r="AD7" s="139" t="e">
        <f t="shared" si="15"/>
        <v>#REF!</v>
      </c>
      <c r="AE7" s="140" t="e">
        <f t="shared" si="16"/>
        <v>#REF!</v>
      </c>
      <c r="AJ7" s="136" t="e">
        <f t="shared" ref="AJ7:AJ10" si="17">IF(D7&gt;N7,N7,D7)</f>
        <v>#REF!</v>
      </c>
      <c r="AK7" s="129" t="e">
        <f t="shared" si="10"/>
        <v>#REF!</v>
      </c>
      <c r="AL7" s="129" t="e">
        <f t="shared" si="11"/>
        <v>#REF!</v>
      </c>
      <c r="AM7" s="1" t="str">
        <f t="shared" si="12"/>
        <v>RFP (Type 1 SNI)/SprintPro</v>
      </c>
      <c r="AN7" s="1"/>
    </row>
    <row r="8" spans="1:40" ht="15.75" customHeight="1" x14ac:dyDescent="0.25">
      <c r="A8" s="137" t="s">
        <v>96</v>
      </c>
      <c r="B8" s="128" t="e">
        <f>VLOOKUP(B$2,#REF!,24,)</f>
        <v>#REF!</v>
      </c>
      <c r="C8" s="128" t="e">
        <f>VLOOKUP(C$2,#REF!,24,)</f>
        <v>#REF!</v>
      </c>
      <c r="D8" s="128" t="e">
        <f>VLOOKUP(D$2,#REF!,24,)</f>
        <v>#REF!</v>
      </c>
      <c r="E8" s="128" t="e">
        <f>VLOOKUP(E$2,#REF!,24,)</f>
        <v>#REF!</v>
      </c>
      <c r="F8" s="128" t="e">
        <f>VLOOKUP(F$2,#REF!,24,)</f>
        <v>#REF!</v>
      </c>
      <c r="G8" s="128" t="e">
        <f>VLOOKUP(G$2,#REF!,24,)</f>
        <v>#REF!</v>
      </c>
      <c r="H8" s="128" t="e">
        <f>VLOOKUP(H$2,#REF!,24,)</f>
        <v>#REF!</v>
      </c>
      <c r="I8" s="128" t="e">
        <f>VLOOKUP(I$2,#REF!,24,)</f>
        <v>#REF!</v>
      </c>
      <c r="J8" s="128" t="e">
        <f>VLOOKUP(J$2,#REF!,24,)</f>
        <v>#REF!</v>
      </c>
      <c r="K8" s="128" t="e">
        <f>VLOOKUP(K$2,#REF!,24,)</f>
        <v>#REF!</v>
      </c>
      <c r="L8" s="128" t="e">
        <f>VLOOKUP(L$2,#REF!,24,)</f>
        <v>#REF!</v>
      </c>
      <c r="M8" s="128" t="e">
        <f>VLOOKUP(M$2,#REF!,24,)</f>
        <v>#REF!</v>
      </c>
      <c r="N8" s="128">
        <f>RKAP!$Y$17</f>
        <v>96.4</v>
      </c>
      <c r="O8" s="1">
        <v>7</v>
      </c>
      <c r="P8" s="41" t="e">
        <f t="shared" si="6"/>
        <v>#REF!</v>
      </c>
      <c r="Q8" s="131" t="e">
        <f>VLOOKUP(Q$1,#REF!,20,)</f>
        <v>#REF!</v>
      </c>
      <c r="R8" s="131" t="e">
        <f>VLOOKUP(Q$1,#REF!,22,)</f>
        <v>#REF!</v>
      </c>
      <c r="S8" s="124" t="e">
        <f t="shared" si="0"/>
        <v>#REF!</v>
      </c>
      <c r="T8" s="129" t="s">
        <v>191</v>
      </c>
      <c r="U8" s="131" t="e">
        <f t="shared" si="13"/>
        <v>#REF!</v>
      </c>
      <c r="V8" s="132" t="e">
        <f t="shared" si="1"/>
        <v>#REF!</v>
      </c>
      <c r="W8" s="138" t="e">
        <f t="shared" si="7"/>
        <v>#REF!</v>
      </c>
      <c r="X8" s="131" t="e">
        <f t="shared" si="8"/>
        <v>#REF!</v>
      </c>
      <c r="Y8" s="128" t="str">
        <f t="shared" si="3"/>
        <v/>
      </c>
      <c r="Z8" s="128" t="e">
        <f t="shared" si="4"/>
        <v>#VALUE!</v>
      </c>
      <c r="AC8" s="139">
        <f t="shared" si="14"/>
        <v>0</v>
      </c>
      <c r="AD8" s="139" t="e">
        <f t="shared" si="15"/>
        <v>#REF!</v>
      </c>
      <c r="AE8" s="140" t="e">
        <f t="shared" si="16"/>
        <v>#REF!</v>
      </c>
      <c r="AJ8" s="136" t="e">
        <f t="shared" si="17"/>
        <v>#REF!</v>
      </c>
      <c r="AK8" s="129" t="e">
        <f t="shared" si="10"/>
        <v>#REF!</v>
      </c>
      <c r="AL8" s="129" t="e">
        <f t="shared" si="11"/>
        <v>#REF!</v>
      </c>
      <c r="AM8" s="1" t="str">
        <f t="shared" si="12"/>
        <v>OWC/SuperTermo</v>
      </c>
      <c r="AN8" s="1"/>
    </row>
    <row r="9" spans="1:40" ht="15.75" customHeight="1" x14ac:dyDescent="0.25">
      <c r="A9" s="137" t="s">
        <v>97</v>
      </c>
      <c r="B9" s="128" t="e">
        <f>VLOOKUP(B$2,#REF!,30,)</f>
        <v>#REF!</v>
      </c>
      <c r="C9" s="128" t="e">
        <f>VLOOKUP(C$2,#REF!,30,)</f>
        <v>#REF!</v>
      </c>
      <c r="D9" s="128" t="e">
        <f>VLOOKUP(D$2,#REF!,30,)</f>
        <v>#REF!</v>
      </c>
      <c r="E9" s="128" t="e">
        <f>VLOOKUP(E$2,#REF!,30,)</f>
        <v>#REF!</v>
      </c>
      <c r="F9" s="128" t="e">
        <f>VLOOKUP(F$2,#REF!,30,)</f>
        <v>#REF!</v>
      </c>
      <c r="G9" s="128" t="e">
        <f>VLOOKUP(G$2,#REF!,30,)</f>
        <v>#REF!</v>
      </c>
      <c r="H9" s="128" t="e">
        <f>VLOOKUP(H$2,#REF!,30,)</f>
        <v>#REF!</v>
      </c>
      <c r="I9" s="128" t="e">
        <f>VLOOKUP(I$2,#REF!,30,)</f>
        <v>#REF!</v>
      </c>
      <c r="J9" s="128" t="e">
        <f>VLOOKUP(J$2,#REF!,30,)</f>
        <v>#REF!</v>
      </c>
      <c r="K9" s="128" t="e">
        <f>VLOOKUP(K$2,#REF!,30,)</f>
        <v>#REF!</v>
      </c>
      <c r="L9" s="128" t="e">
        <f>VLOOKUP(L$2,#REF!,30,)</f>
        <v>#REF!</v>
      </c>
      <c r="M9" s="128" t="e">
        <f>VLOOKUP(M$2,#REF!,30,)</f>
        <v>#REF!</v>
      </c>
      <c r="N9" s="128">
        <f>RKAP!$AE$17</f>
        <v>93.8</v>
      </c>
      <c r="O9" s="1">
        <v>8</v>
      </c>
      <c r="P9" s="41" t="e">
        <f t="shared" si="6"/>
        <v>#REF!</v>
      </c>
      <c r="Q9" s="131" t="e">
        <f>VLOOKUP(Q$1,#REF!,26,)</f>
        <v>#REF!</v>
      </c>
      <c r="R9" s="131" t="e">
        <f>VLOOKUP(Q$1,#REF!,28,)</f>
        <v>#REF!</v>
      </c>
      <c r="S9" s="124" t="e">
        <f t="shared" si="0"/>
        <v>#REF!</v>
      </c>
      <c r="T9" s="129" t="s">
        <v>191</v>
      </c>
      <c r="U9" s="131" t="e">
        <f t="shared" si="13"/>
        <v>#REF!</v>
      </c>
      <c r="V9" s="132" t="e">
        <f t="shared" si="1"/>
        <v>#REF!</v>
      </c>
      <c r="W9" s="138" t="e">
        <f t="shared" si="7"/>
        <v>#REF!</v>
      </c>
      <c r="X9" s="131" t="e">
        <f t="shared" si="8"/>
        <v>#REF!</v>
      </c>
      <c r="Y9" s="128" t="str">
        <f t="shared" si="3"/>
        <v/>
      </c>
      <c r="Z9" s="128" t="e">
        <f t="shared" si="4"/>
        <v>#VALUE!</v>
      </c>
      <c r="AC9" s="139">
        <f t="shared" si="14"/>
        <v>0</v>
      </c>
      <c r="AD9" s="139" t="e">
        <f t="shared" si="15"/>
        <v>#REF!</v>
      </c>
      <c r="AE9" s="140" t="e">
        <f t="shared" si="16"/>
        <v>#REF!</v>
      </c>
      <c r="AJ9" s="136" t="e">
        <f t="shared" si="17"/>
        <v>#REF!</v>
      </c>
      <c r="AK9" s="129" t="e">
        <f t="shared" si="10"/>
        <v>#REF!</v>
      </c>
      <c r="AL9" s="129" t="e">
        <f t="shared" si="11"/>
        <v>#REF!</v>
      </c>
      <c r="AM9" s="1" t="str">
        <f t="shared" si="12"/>
        <v>Type 5/DuPro+ HSR</v>
      </c>
      <c r="AN9" s="1"/>
    </row>
    <row r="10" spans="1:40" ht="15.75" customHeight="1" x14ac:dyDescent="0.25">
      <c r="A10" s="1" t="s">
        <v>98</v>
      </c>
      <c r="B10" s="128" t="e">
        <f>VLOOKUP(B$2,#REF!,36,)</f>
        <v>#REF!</v>
      </c>
      <c r="C10" s="128" t="e">
        <f>VLOOKUP(C$2,#REF!,36,)</f>
        <v>#REF!</v>
      </c>
      <c r="D10" s="128" t="e">
        <f>VLOOKUP(D$2,#REF!,36,)</f>
        <v>#REF!</v>
      </c>
      <c r="E10" s="128" t="e">
        <f>VLOOKUP(E$2,#REF!,36,)</f>
        <v>#REF!</v>
      </c>
      <c r="F10" s="128" t="e">
        <f>VLOOKUP(F$2,#REF!,36,)</f>
        <v>#REF!</v>
      </c>
      <c r="G10" s="128" t="e">
        <f>VLOOKUP(G$2,#REF!,36,)</f>
        <v>#REF!</v>
      </c>
      <c r="H10" s="128" t="e">
        <f>VLOOKUP(H$2,#REF!,36,)</f>
        <v>#REF!</v>
      </c>
      <c r="I10" s="128" t="e">
        <f>VLOOKUP(I$2,#REF!,36,)</f>
        <v>#REF!</v>
      </c>
      <c r="J10" s="128" t="e">
        <f>VLOOKUP(J$2,#REF!,36,)</f>
        <v>#REF!</v>
      </c>
      <c r="K10" s="128" t="e">
        <f>VLOOKUP(K$2,#REF!,36,)</f>
        <v>#REF!</v>
      </c>
      <c r="L10" s="128" t="e">
        <f>VLOOKUP(L$2,#REF!,36,)</f>
        <v>#REF!</v>
      </c>
      <c r="M10" s="128" t="e">
        <f>VLOOKUP(M$2,#REF!,36,)</f>
        <v>#REF!</v>
      </c>
      <c r="N10" s="128">
        <f>RKAP!$AK$17</f>
        <v>70</v>
      </c>
      <c r="O10" s="1">
        <v>9</v>
      </c>
      <c r="P10" s="128" t="e">
        <f t="shared" si="6"/>
        <v>#REF!</v>
      </c>
      <c r="Q10" s="131" t="e">
        <f>VLOOKUP(Q$1,#REF!,32,)</f>
        <v>#REF!</v>
      </c>
      <c r="R10" s="131" t="e">
        <f>VLOOKUP(Q$1,#REF!,34,)</f>
        <v>#REF!</v>
      </c>
      <c r="S10" s="124" t="e">
        <f t="shared" si="0"/>
        <v>#REF!</v>
      </c>
      <c r="T10" s="129" t="s">
        <v>191</v>
      </c>
      <c r="U10" s="131" t="e">
        <f t="shared" si="13"/>
        <v>#REF!</v>
      </c>
      <c r="V10" s="111" t="e">
        <f t="shared" si="1"/>
        <v>#REF!</v>
      </c>
      <c r="W10" s="138" t="e">
        <f t="shared" si="7"/>
        <v>#REF!</v>
      </c>
      <c r="X10" s="131" t="e">
        <f t="shared" si="8"/>
        <v>#REF!</v>
      </c>
      <c r="Y10" s="128" t="str">
        <f t="shared" si="3"/>
        <v/>
      </c>
      <c r="Z10" s="128" t="e">
        <f t="shared" si="4"/>
        <v>#VALUE!</v>
      </c>
      <c r="AC10" s="139">
        <f t="shared" si="14"/>
        <v>0</v>
      </c>
      <c r="AD10" s="139" t="e">
        <f t="shared" si="15"/>
        <v>#REF!</v>
      </c>
      <c r="AE10" s="140" t="e">
        <f t="shared" si="16"/>
        <v>#REF!</v>
      </c>
      <c r="AJ10" s="136" t="e">
        <f t="shared" si="17"/>
        <v>#REF!</v>
      </c>
      <c r="AK10" s="129" t="e">
        <f t="shared" si="10"/>
        <v>#REF!</v>
      </c>
      <c r="AL10" s="129" t="e">
        <f t="shared" si="11"/>
        <v>#REF!</v>
      </c>
      <c r="AM10" s="1" t="str">
        <f t="shared" si="12"/>
        <v>Power Max/PowerPro</v>
      </c>
      <c r="AN10" s="1"/>
    </row>
    <row r="11" spans="1:40" ht="15.75" customHeight="1" x14ac:dyDescent="0.3">
      <c r="A11" s="121" t="s">
        <v>146</v>
      </c>
      <c r="B11" s="122" t="e">
        <f>VLOOKUP(B$2,#REF!,30,)</f>
        <v>#REF!</v>
      </c>
      <c r="C11" s="122" t="e">
        <f>VLOOKUP(C$2,#REF!,30,)</f>
        <v>#REF!</v>
      </c>
      <c r="D11" s="122" t="e">
        <f>VLOOKUP(D$2,#REF!,30,)</f>
        <v>#REF!</v>
      </c>
      <c r="E11" s="122" t="e">
        <f>VLOOKUP(E$2,#REF!,30,)</f>
        <v>#REF!</v>
      </c>
      <c r="F11" s="122" t="e">
        <f>VLOOKUP(F$2,#REF!,30,)</f>
        <v>#REF!</v>
      </c>
      <c r="G11" s="122" t="e">
        <f>VLOOKUP(G$2,#REF!,30,)</f>
        <v>#REF!</v>
      </c>
      <c r="H11" s="122" t="e">
        <f>VLOOKUP(H$2,#REF!,30,)</f>
        <v>#REF!</v>
      </c>
      <c r="I11" s="122" t="e">
        <f>VLOOKUP(I$2,#REF!,30,)</f>
        <v>#REF!</v>
      </c>
      <c r="J11" s="122" t="e">
        <f>VLOOKUP(J$2,#REF!,30,)</f>
        <v>#REF!</v>
      </c>
      <c r="K11" s="122" t="e">
        <f>VLOOKUP(K$2,#REF!,30,)</f>
        <v>#REF!</v>
      </c>
      <c r="L11" s="122" t="e">
        <f>VLOOKUP(L$2,#REF!,30,)</f>
        <v>#REF!</v>
      </c>
      <c r="M11" s="122" t="e">
        <f>VLOOKUP(M$2,#REF!,30,)</f>
        <v>#REF!</v>
      </c>
      <c r="N11" s="123">
        <f>RKAP!$AE$34</f>
        <v>58.61</v>
      </c>
      <c r="O11" s="1">
        <v>10</v>
      </c>
      <c r="S11" s="124" t="str">
        <f t="shared" si="0"/>
        <v/>
      </c>
      <c r="T11" s="125"/>
      <c r="U11" s="41" t="str">
        <f t="shared" si="13"/>
        <v/>
      </c>
      <c r="V11" s="138" t="str">
        <f t="shared" si="1"/>
        <v/>
      </c>
      <c r="W11" s="127" t="e">
        <f t="shared" ref="W11:X11" si="18">SUM(W12:W14)</f>
        <v>#REF!</v>
      </c>
      <c r="X11" s="127" t="e">
        <f t="shared" si="18"/>
        <v>#REF!</v>
      </c>
      <c r="Y11" s="128" t="str">
        <f t="shared" si="3"/>
        <v/>
      </c>
      <c r="Z11" s="128" t="e">
        <f t="shared" si="4"/>
        <v>#VALUE!</v>
      </c>
      <c r="AK11" s="129" t="e">
        <f t="shared" ref="AK11:AL11" si="19">SUM(AK12:AK14)</f>
        <v>#REF!</v>
      </c>
      <c r="AL11" s="129" t="e">
        <f t="shared" si="19"/>
        <v>#REF!</v>
      </c>
      <c r="AM11" s="130" t="e">
        <f>A11&amp;" = "&amp;ROUNDUP((AK11/AL11*100),2)</f>
        <v>#REF!</v>
      </c>
      <c r="AN11" s="1"/>
    </row>
    <row r="12" spans="1:40" ht="15.75" customHeight="1" x14ac:dyDescent="0.25">
      <c r="A12" s="142" t="s">
        <v>193</v>
      </c>
      <c r="B12" s="128" t="e">
        <f>VLOOKUP(B$2,#REF!,6,)</f>
        <v>#REF!</v>
      </c>
      <c r="C12" s="128" t="e">
        <f>VLOOKUP(C$2,#REF!,6,)</f>
        <v>#REF!</v>
      </c>
      <c r="D12" s="128" t="e">
        <f>VLOOKUP(D$2,#REF!,6,)</f>
        <v>#REF!</v>
      </c>
      <c r="E12" s="128" t="e">
        <f>VLOOKUP(E$2,#REF!,6,)</f>
        <v>#REF!</v>
      </c>
      <c r="F12" s="128" t="e">
        <f>VLOOKUP(F$2,#REF!,6,)</f>
        <v>#REF!</v>
      </c>
      <c r="G12" s="128" t="e">
        <f>VLOOKUP(G$2,#REF!,6,)</f>
        <v>#REF!</v>
      </c>
      <c r="H12" s="128" t="e">
        <f>VLOOKUP(H$2,#REF!,6,)</f>
        <v>#REF!</v>
      </c>
      <c r="I12" s="128" t="e">
        <f>VLOOKUP(I$2,#REF!,6,)</f>
        <v>#REF!</v>
      </c>
      <c r="J12" s="128" t="e">
        <f>VLOOKUP(J$2,#REF!,6,)</f>
        <v>#REF!</v>
      </c>
      <c r="K12" s="128" t="e">
        <f>VLOOKUP(K$2,#REF!,6,)</f>
        <v>#REF!</v>
      </c>
      <c r="L12" s="128" t="e">
        <f>VLOOKUP(L$2,#REF!,6,)</f>
        <v>#REF!</v>
      </c>
      <c r="M12" s="128" t="e">
        <f>VLOOKUP(M$2,#REF!,6,)</f>
        <v>#REF!</v>
      </c>
      <c r="N12" s="128">
        <f>RKAP!$G$34</f>
        <v>58</v>
      </c>
      <c r="O12" s="1">
        <v>11</v>
      </c>
      <c r="P12" s="128" t="e">
        <f t="shared" ref="P12:P15" si="20">IF(HLOOKUP(Q$1,$B$2:$M$30,O12,)-N12&lt;=0,"",HLOOKUP(Q$1,$B$2:$M$30,O12,)-N12)</f>
        <v>#REF!</v>
      </c>
      <c r="Q12" s="131" t="e">
        <f>VLOOKUP(Q$1,#REF!,2,)</f>
        <v>#REF!</v>
      </c>
      <c r="R12" s="131" t="e">
        <f>VLOOKUP(Q$1,#REF!,4,)</f>
        <v>#REF!</v>
      </c>
      <c r="S12" s="124" t="e">
        <f t="shared" si="0"/>
        <v>#REF!</v>
      </c>
      <c r="T12" s="129" t="s">
        <v>191</v>
      </c>
      <c r="U12" s="131" t="e">
        <f t="shared" si="13"/>
        <v>#REF!</v>
      </c>
      <c r="V12" s="143" t="e">
        <f t="shared" si="1"/>
        <v>#REF!</v>
      </c>
      <c r="W12" s="138" t="e">
        <f t="shared" ref="W12:W15" si="21">IF(T12="Yes",V12,Q12)</f>
        <v>#REF!</v>
      </c>
      <c r="X12" s="131" t="e">
        <f t="shared" ref="X12:X15" si="22">R12</f>
        <v>#REF!</v>
      </c>
      <c r="Y12" s="128" t="str">
        <f t="shared" si="3"/>
        <v/>
      </c>
      <c r="Z12" s="128" t="e">
        <f t="shared" si="4"/>
        <v>#VALUE!</v>
      </c>
      <c r="AC12" s="144" t="e">
        <f>IF(Q12/R12*100&gt;=N12,N12/100*R12,Q12)</f>
        <v>#REF!</v>
      </c>
      <c r="AD12" s="144" t="e">
        <f t="shared" ref="AD12:AD15" si="23">X12</f>
        <v>#REF!</v>
      </c>
      <c r="AE12" s="145" t="e">
        <f t="shared" ref="AE12:AE15" si="24">C12</f>
        <v>#REF!</v>
      </c>
      <c r="AJ12" s="136" t="e">
        <f t="shared" ref="AJ12:AJ15" si="25">IF(D12&gt;N12,N12,D12)</f>
        <v>#REF!</v>
      </c>
      <c r="AK12" s="129" t="e">
        <f t="shared" ref="AK12:AK15" si="26">AJ12/100*AL12</f>
        <v>#REF!</v>
      </c>
      <c r="AL12" s="129" t="e">
        <f t="shared" ref="AL12:AL15" si="27">R12</f>
        <v>#REF!</v>
      </c>
      <c r="AM12" s="1" t="str">
        <f t="shared" ref="AM12:AM14" si="28">A12</f>
        <v>Dynamix/EzPro/PCC</v>
      </c>
      <c r="AN12" s="1"/>
    </row>
    <row r="13" spans="1:40" ht="15.75" customHeight="1" x14ac:dyDescent="0.25">
      <c r="A13" s="137" t="s">
        <v>95</v>
      </c>
      <c r="B13" s="128" t="e">
        <f>VLOOKUP(B$2,#REF!,12,)</f>
        <v>#REF!</v>
      </c>
      <c r="C13" s="128" t="e">
        <f>VLOOKUP(C$2,#REF!,12,)</f>
        <v>#REF!</v>
      </c>
      <c r="D13" s="128" t="e">
        <f>VLOOKUP(D$2,#REF!,12,)</f>
        <v>#REF!</v>
      </c>
      <c r="E13" s="128" t="e">
        <f>VLOOKUP(E$2,#REF!,12,)</f>
        <v>#REF!</v>
      </c>
      <c r="F13" s="128" t="e">
        <f>VLOOKUP(F$2,#REF!,12,)</f>
        <v>#REF!</v>
      </c>
      <c r="G13" s="128" t="e">
        <f>VLOOKUP(G$2,#REF!,12,)</f>
        <v>#REF!</v>
      </c>
      <c r="H13" s="128" t="e">
        <f>VLOOKUP(H$2,#REF!,12,)</f>
        <v>#REF!</v>
      </c>
      <c r="I13" s="128" t="e">
        <f>VLOOKUP(I$2,#REF!,12,)</f>
        <v>#REF!</v>
      </c>
      <c r="J13" s="128" t="e">
        <f>VLOOKUP(J$2,#REF!,12,)</f>
        <v>#REF!</v>
      </c>
      <c r="K13" s="128" t="e">
        <f>VLOOKUP(K$2,#REF!,12,)</f>
        <v>#REF!</v>
      </c>
      <c r="L13" s="128" t="e">
        <f>VLOOKUP(L$2,#REF!,12,)</f>
        <v>#REF!</v>
      </c>
      <c r="M13" s="128" t="e">
        <f>VLOOKUP(M$2,#REF!,12,)</f>
        <v>#REF!</v>
      </c>
      <c r="N13" s="128">
        <f>RKAP!$M$34</f>
        <v>91.12</v>
      </c>
      <c r="O13" s="1">
        <v>12</v>
      </c>
      <c r="P13" s="41" t="e">
        <f t="shared" si="20"/>
        <v>#REF!</v>
      </c>
      <c r="Q13" s="131" t="e">
        <f>VLOOKUP(Q$1,#REF!,8,)</f>
        <v>#REF!</v>
      </c>
      <c r="R13" s="131" t="e">
        <f>VLOOKUP(Q$1,#REF!,10,)</f>
        <v>#REF!</v>
      </c>
      <c r="S13" s="124" t="e">
        <f t="shared" si="0"/>
        <v>#REF!</v>
      </c>
      <c r="T13" s="129" t="s">
        <v>191</v>
      </c>
      <c r="U13" s="131" t="e">
        <f t="shared" si="13"/>
        <v>#REF!</v>
      </c>
      <c r="V13" s="132" t="e">
        <f t="shared" si="1"/>
        <v>#REF!</v>
      </c>
      <c r="W13" s="138" t="e">
        <f t="shared" si="21"/>
        <v>#REF!</v>
      </c>
      <c r="X13" s="131" t="e">
        <f t="shared" si="22"/>
        <v>#REF!</v>
      </c>
      <c r="Y13" s="128" t="str">
        <f t="shared" si="3"/>
        <v/>
      </c>
      <c r="Z13" s="128" t="e">
        <f t="shared" si="4"/>
        <v>#VALUE!</v>
      </c>
      <c r="AC13" s="139">
        <f t="shared" ref="AC13:AC14" si="29">IFERROR(IF(Q13/R13*100&gt;=N13,N13/100*R13,Q13),0)</f>
        <v>0</v>
      </c>
      <c r="AD13" s="139" t="e">
        <f t="shared" si="23"/>
        <v>#REF!</v>
      </c>
      <c r="AE13" s="140" t="e">
        <f t="shared" si="24"/>
        <v>#REF!</v>
      </c>
      <c r="AJ13" s="136" t="e">
        <f t="shared" si="25"/>
        <v>#REF!</v>
      </c>
      <c r="AK13" s="129" t="e">
        <f t="shared" si="26"/>
        <v>#REF!</v>
      </c>
      <c r="AL13" s="129" t="e">
        <f t="shared" si="27"/>
        <v>#REF!</v>
      </c>
      <c r="AM13" s="1" t="str">
        <f t="shared" si="28"/>
        <v>RFP (Type 1 SNI)/SprintPro</v>
      </c>
      <c r="AN13" s="1"/>
    </row>
    <row r="14" spans="1:40" ht="15.75" customHeight="1" x14ac:dyDescent="0.25">
      <c r="A14" s="1" t="s">
        <v>98</v>
      </c>
      <c r="B14" s="128" t="e">
        <f>VLOOKUP(B$2,#REF!,36,)</f>
        <v>#REF!</v>
      </c>
      <c r="C14" s="128" t="e">
        <f>VLOOKUP(C$2,#REF!,36,)</f>
        <v>#REF!</v>
      </c>
      <c r="D14" s="128" t="e">
        <f>VLOOKUP(D$2,#REF!,36,)</f>
        <v>#REF!</v>
      </c>
      <c r="E14" s="128" t="e">
        <f>VLOOKUP(E$2,#REF!,36,)</f>
        <v>#REF!</v>
      </c>
      <c r="F14" s="128" t="e">
        <f>VLOOKUP(F$2,#REF!,36,)</f>
        <v>#REF!</v>
      </c>
      <c r="G14" s="128" t="e">
        <f>VLOOKUP(G$2,#REF!,36,)</f>
        <v>#REF!</v>
      </c>
      <c r="H14" s="128" t="e">
        <f>VLOOKUP(H$2,#REF!,36,)</f>
        <v>#REF!</v>
      </c>
      <c r="I14" s="128" t="e">
        <f>VLOOKUP(I$2,#REF!,36,)</f>
        <v>#REF!</v>
      </c>
      <c r="J14" s="128" t="e">
        <f>VLOOKUP(J$2,#REF!,36,)</f>
        <v>#REF!</v>
      </c>
      <c r="K14" s="128" t="e">
        <f>VLOOKUP(K$2,#REF!,36,)</f>
        <v>#REF!</v>
      </c>
      <c r="L14" s="128" t="e">
        <f>VLOOKUP(L$2,#REF!,36,)</f>
        <v>#REF!</v>
      </c>
      <c r="M14" s="128" t="e">
        <f>VLOOKUP(M$2,#REF!,36,)</f>
        <v>#REF!</v>
      </c>
      <c r="N14" s="146">
        <f>N10</f>
        <v>70</v>
      </c>
      <c r="O14" s="1">
        <v>13</v>
      </c>
      <c r="P14" s="41" t="e">
        <f t="shared" si="20"/>
        <v>#REF!</v>
      </c>
      <c r="Q14" s="131" t="e">
        <f>VLOOKUP(Q$1,#REF!,32,)</f>
        <v>#REF!</v>
      </c>
      <c r="R14" s="131" t="e">
        <f>VLOOKUP(Q$1,#REF!,34,)</f>
        <v>#REF!</v>
      </c>
      <c r="S14" s="124" t="e">
        <f t="shared" si="0"/>
        <v>#REF!</v>
      </c>
      <c r="T14" s="129" t="s">
        <v>191</v>
      </c>
      <c r="U14" s="131" t="e">
        <f t="shared" si="13"/>
        <v>#REF!</v>
      </c>
      <c r="V14" s="111" t="e">
        <f t="shared" si="1"/>
        <v>#REF!</v>
      </c>
      <c r="W14" s="138" t="e">
        <f t="shared" si="21"/>
        <v>#REF!</v>
      </c>
      <c r="X14" s="131" t="e">
        <f t="shared" si="22"/>
        <v>#REF!</v>
      </c>
      <c r="Y14" s="128" t="str">
        <f t="shared" si="3"/>
        <v/>
      </c>
      <c r="Z14" s="128" t="e">
        <f t="shared" si="4"/>
        <v>#VALUE!</v>
      </c>
      <c r="AC14" s="139">
        <f t="shared" si="29"/>
        <v>0</v>
      </c>
      <c r="AD14" s="139" t="e">
        <f t="shared" si="23"/>
        <v>#REF!</v>
      </c>
      <c r="AE14" s="140" t="e">
        <f t="shared" si="24"/>
        <v>#REF!</v>
      </c>
      <c r="AJ14" s="136" t="e">
        <f t="shared" si="25"/>
        <v>#REF!</v>
      </c>
      <c r="AK14" s="129" t="e">
        <f t="shared" si="26"/>
        <v>#REF!</v>
      </c>
      <c r="AL14" s="129" t="e">
        <f t="shared" si="27"/>
        <v>#REF!</v>
      </c>
      <c r="AM14" s="1" t="str">
        <f t="shared" si="28"/>
        <v>Power Max/PowerPro</v>
      </c>
      <c r="AN14" s="1"/>
    </row>
    <row r="15" spans="1:40" ht="15.75" customHeight="1" x14ac:dyDescent="0.3">
      <c r="A15" s="147" t="s">
        <v>194</v>
      </c>
      <c r="B15" s="122" t="e">
        <f>VLOOKUP(B$2,#REF!,6,)</f>
        <v>#REF!</v>
      </c>
      <c r="C15" s="122" t="e">
        <f>VLOOKUP(C$2,#REF!,6,)</f>
        <v>#REF!</v>
      </c>
      <c r="D15" s="122" t="e">
        <f>VLOOKUP(D$2,#REF!,6,)</f>
        <v>#REF!</v>
      </c>
      <c r="E15" s="122" t="e">
        <f>VLOOKUP(E$2,#REF!,6,)</f>
        <v>#REF!</v>
      </c>
      <c r="F15" s="122" t="e">
        <f>VLOOKUP(F$2,#REF!,6,)</f>
        <v>#REF!</v>
      </c>
      <c r="G15" s="122" t="e">
        <f>VLOOKUP(G$2,#REF!,6,)</f>
        <v>#REF!</v>
      </c>
      <c r="H15" s="122" t="e">
        <f>VLOOKUP(H$2,#REF!,6,)</f>
        <v>#REF!</v>
      </c>
      <c r="I15" s="122" t="e">
        <f>VLOOKUP(I$2,#REF!,6,)</f>
        <v>#REF!</v>
      </c>
      <c r="J15" s="122" t="e">
        <f>VLOOKUP(J$2,#REF!,6,)</f>
        <v>#REF!</v>
      </c>
      <c r="K15" s="122" t="e">
        <f>VLOOKUP(K$2,#REF!,6,)</f>
        <v>#REF!</v>
      </c>
      <c r="L15" s="122" t="e">
        <f>VLOOKUP(L$2,#REF!,6,)</f>
        <v>#REF!</v>
      </c>
      <c r="M15" s="122" t="e">
        <f>VLOOKUP(M$2,#REF!,6,)</f>
        <v>#REF!</v>
      </c>
      <c r="N15" s="123">
        <f>RKAP!$G$51</f>
        <v>58</v>
      </c>
      <c r="O15" s="1">
        <v>14</v>
      </c>
      <c r="P15" s="128" t="e">
        <f t="shared" si="20"/>
        <v>#REF!</v>
      </c>
      <c r="Q15" s="131" t="e">
        <f>VLOOKUP(Q$1,#REF!,2,)</f>
        <v>#REF!</v>
      </c>
      <c r="R15" s="131" t="e">
        <f>VLOOKUP(Q$1,#REF!,4,)</f>
        <v>#REF!</v>
      </c>
      <c r="S15" s="124" t="e">
        <f t="shared" si="0"/>
        <v>#REF!</v>
      </c>
      <c r="T15" s="129" t="s">
        <v>191</v>
      </c>
      <c r="U15" s="131" t="e">
        <f t="shared" si="13"/>
        <v>#REF!</v>
      </c>
      <c r="V15" s="143" t="e">
        <f t="shared" si="1"/>
        <v>#REF!</v>
      </c>
      <c r="W15" s="127" t="e">
        <f t="shared" si="21"/>
        <v>#REF!</v>
      </c>
      <c r="X15" s="127" t="e">
        <f t="shared" si="22"/>
        <v>#REF!</v>
      </c>
      <c r="Y15" s="128" t="str">
        <f t="shared" si="3"/>
        <v/>
      </c>
      <c r="Z15" s="128" t="e">
        <f t="shared" si="4"/>
        <v>#VALUE!</v>
      </c>
      <c r="AC15" s="144" t="e">
        <f>IF(Q15/R15*100&gt;=N15,N15/100*R15,Q15)</f>
        <v>#REF!</v>
      </c>
      <c r="AD15" s="144" t="e">
        <f t="shared" si="23"/>
        <v>#REF!</v>
      </c>
      <c r="AE15" s="145" t="e">
        <f t="shared" si="24"/>
        <v>#REF!</v>
      </c>
      <c r="AJ15" s="136" t="e">
        <f t="shared" si="25"/>
        <v>#REF!</v>
      </c>
      <c r="AK15" s="129" t="e">
        <f t="shared" si="26"/>
        <v>#REF!</v>
      </c>
      <c r="AL15" s="129" t="e">
        <f t="shared" si="27"/>
        <v>#REF!</v>
      </c>
      <c r="AM15" s="130" t="e">
        <f t="shared" ref="AM15:AM16" si="30">A15&amp;" = "&amp;ROUNDUP((AK15/AL15*100),2)</f>
        <v>#REF!</v>
      </c>
      <c r="AN15" s="1"/>
    </row>
    <row r="16" spans="1:40" ht="15.75" customHeight="1" x14ac:dyDescent="0.3">
      <c r="A16" s="121" t="s">
        <v>148</v>
      </c>
      <c r="B16" s="122" t="e">
        <f>VLOOKUP(B$2,#REF!,30,)</f>
        <v>#REF!</v>
      </c>
      <c r="C16" s="122" t="e">
        <f>VLOOKUP(C$2,#REF!,30,)</f>
        <v>#REF!</v>
      </c>
      <c r="D16" s="122" t="e">
        <f>VLOOKUP(D$2,#REF!,30,)</f>
        <v>#REF!</v>
      </c>
      <c r="E16" s="122" t="e">
        <f>VLOOKUP(E$2,#REF!,30,)</f>
        <v>#REF!</v>
      </c>
      <c r="F16" s="122" t="e">
        <f>VLOOKUP(F$2,#REF!,30,)</f>
        <v>#REF!</v>
      </c>
      <c r="G16" s="122" t="e">
        <f>VLOOKUP(G$2,#REF!,30,)</f>
        <v>#REF!</v>
      </c>
      <c r="H16" s="122" t="e">
        <f>VLOOKUP(H$2,#REF!,30,)</f>
        <v>#REF!</v>
      </c>
      <c r="I16" s="122" t="e">
        <f>VLOOKUP(I$2,#REF!,30,)</f>
        <v>#REF!</v>
      </c>
      <c r="J16" s="122" t="e">
        <f>VLOOKUP(J$2,#REF!,30,)</f>
        <v>#REF!</v>
      </c>
      <c r="K16" s="122" t="e">
        <f>VLOOKUP(K$2,#REF!,30,)</f>
        <v>#REF!</v>
      </c>
      <c r="L16" s="122" t="e">
        <f>VLOOKUP(L$2,#REF!,30,)</f>
        <v>#REF!</v>
      </c>
      <c r="M16" s="122" t="e">
        <f>VLOOKUP(M$2,#REF!,30,)</f>
        <v>#REF!</v>
      </c>
      <c r="N16" s="123">
        <f>RKAP!$AE$68</f>
        <v>89.81</v>
      </c>
      <c r="O16" s="1">
        <v>15</v>
      </c>
      <c r="S16" s="124" t="str">
        <f t="shared" si="0"/>
        <v/>
      </c>
      <c r="T16" s="125"/>
      <c r="U16" s="41" t="str">
        <f t="shared" si="13"/>
        <v/>
      </c>
      <c r="V16" s="138" t="str">
        <f t="shared" si="1"/>
        <v/>
      </c>
      <c r="W16" s="127" t="e">
        <f t="shared" ref="W16:X16" si="31">SUM(W17:W20)</f>
        <v>#REF!</v>
      </c>
      <c r="X16" s="127" t="e">
        <f t="shared" si="31"/>
        <v>#REF!</v>
      </c>
      <c r="Y16" s="128" t="str">
        <f t="shared" si="3"/>
        <v/>
      </c>
      <c r="Z16" s="128" t="e">
        <f t="shared" si="4"/>
        <v>#VALUE!</v>
      </c>
      <c r="AK16" s="129" t="e">
        <f t="shared" ref="AK16:AL16" si="32">SUM(AK17:AK20)</f>
        <v>#REF!</v>
      </c>
      <c r="AL16" s="129" t="e">
        <f t="shared" si="32"/>
        <v>#REF!</v>
      </c>
      <c r="AM16" s="130" t="e">
        <f t="shared" si="30"/>
        <v>#REF!</v>
      </c>
      <c r="AN16" s="1"/>
    </row>
    <row r="17" spans="1:40" ht="15.75" customHeight="1" x14ac:dyDescent="0.3">
      <c r="A17" s="1" t="s">
        <v>189</v>
      </c>
      <c r="B17" s="128" t="e">
        <f>VLOOKUP(B$2,#REF!,6,)</f>
        <v>#REF!</v>
      </c>
      <c r="C17" s="128" t="e">
        <f>VLOOKUP(C$2,#REF!,6,)</f>
        <v>#REF!</v>
      </c>
      <c r="D17" s="128" t="e">
        <f>VLOOKUP(D$2,#REF!,6,)</f>
        <v>#REF!</v>
      </c>
      <c r="E17" s="128" t="e">
        <f>VLOOKUP(E$2,#REF!,6,)</f>
        <v>#REF!</v>
      </c>
      <c r="F17" s="128" t="e">
        <f>VLOOKUP(F$2,#REF!,6,)</f>
        <v>#REF!</v>
      </c>
      <c r="G17" s="128" t="e">
        <f>VLOOKUP(G$2,#REF!,6,)</f>
        <v>#REF!</v>
      </c>
      <c r="H17" s="128" t="e">
        <f>VLOOKUP(H$2,#REF!,6,)</f>
        <v>#REF!</v>
      </c>
      <c r="I17" s="128" t="e">
        <f>VLOOKUP(I$2,#REF!,6,)</f>
        <v>#REF!</v>
      </c>
      <c r="J17" s="128" t="e">
        <f>VLOOKUP(J$2,#REF!,6,)</f>
        <v>#REF!</v>
      </c>
      <c r="K17" s="128" t="e">
        <f>VLOOKUP(K$2,#REF!,6,)</f>
        <v>#REF!</v>
      </c>
      <c r="L17" s="128" t="e">
        <f>VLOOKUP(L$2,#REF!,6,)</f>
        <v>#REF!</v>
      </c>
      <c r="M17" s="128" t="e">
        <f>VLOOKUP(M$2,#REF!,6,)</f>
        <v>#REF!</v>
      </c>
      <c r="N17" s="128">
        <f>RKAP!$G$68</f>
        <v>80.36</v>
      </c>
      <c r="O17" s="1">
        <v>16</v>
      </c>
      <c r="P17" s="128" t="e">
        <f t="shared" ref="P17:P20" si="33">IF(HLOOKUP(Q$1,$B$2:$M$30,O17,)-N17&lt;=0,"",HLOOKUP(Q$1,$B$2:$M$30,O17,)-N17)</f>
        <v>#REF!</v>
      </c>
      <c r="Q17" s="131" t="e">
        <f>VLOOKUP(Q$1,#REF!,2,)</f>
        <v>#REF!</v>
      </c>
      <c r="R17" s="131" t="e">
        <f>VLOOKUP(Q$1,#REF!,4,)</f>
        <v>#REF!</v>
      </c>
      <c r="S17" s="124" t="e">
        <f t="shared" si="0"/>
        <v>#REF!</v>
      </c>
      <c r="T17" s="129"/>
      <c r="U17" s="131"/>
      <c r="V17" s="132" t="str">
        <f t="shared" si="1"/>
        <v/>
      </c>
      <c r="W17" s="131" t="e">
        <f t="shared" ref="W17:W20" si="34">IF(T17="Yes",V17,Q17)</f>
        <v>#REF!</v>
      </c>
      <c r="X17" s="131" t="e">
        <f t="shared" ref="X17:X20" si="35">R17</f>
        <v>#REF!</v>
      </c>
      <c r="Y17" s="128" t="str">
        <f t="shared" si="3"/>
        <v/>
      </c>
      <c r="Z17" s="128" t="e">
        <f t="shared" si="4"/>
        <v>#VALUE!</v>
      </c>
      <c r="AA17" s="133" t="e">
        <f>R17/SUM(R17:R20)</f>
        <v>#REF!</v>
      </c>
      <c r="AC17" s="134" t="e">
        <f>Q17/R17*AD17</f>
        <v>#REF!</v>
      </c>
      <c r="AD17" s="134" t="e">
        <f>AF17/100*X16</f>
        <v>#REF!</v>
      </c>
      <c r="AF17" s="134">
        <v>5</v>
      </c>
      <c r="AG17" s="131"/>
      <c r="AH17" s="131"/>
      <c r="AI17" s="131"/>
      <c r="AJ17" s="136" t="e">
        <f>IF(D17&gt;N17,N17,D17)</f>
        <v>#REF!</v>
      </c>
      <c r="AK17" s="129" t="e">
        <f t="shared" ref="AK17:AK20" si="36">AJ17/100*AL17</f>
        <v>#REF!</v>
      </c>
      <c r="AL17" s="129" t="e">
        <f t="shared" ref="AL17:AL20" si="37">R17</f>
        <v>#REF!</v>
      </c>
      <c r="AM17" s="1" t="str">
        <f t="shared" ref="AM17:AM20" si="38">A17</f>
        <v>Dynamix/EzPro/PCC (Transisi)</v>
      </c>
      <c r="AN17" s="1"/>
    </row>
    <row r="18" spans="1:40" ht="15.75" customHeight="1" x14ac:dyDescent="0.25">
      <c r="A18" s="137" t="s">
        <v>192</v>
      </c>
      <c r="B18" s="128" t="str">
        <f>IFERROR(VLOOKUP(B$2,#REF!,12,),"")</f>
        <v/>
      </c>
      <c r="C18" s="128" t="str">
        <f>IFERROR(VLOOKUP(C$2,#REF!,12,),"")</f>
        <v/>
      </c>
      <c r="D18" s="128" t="str">
        <f>IFERROR(VLOOKUP(D$2,#REF!,12,),"")</f>
        <v/>
      </c>
      <c r="E18" s="128" t="str">
        <f>IFERROR(VLOOKUP(E$2,#REF!,12,),"")</f>
        <v/>
      </c>
      <c r="F18" s="128" t="str">
        <f>IFERROR(VLOOKUP(F$2,#REF!,12,),"")</f>
        <v/>
      </c>
      <c r="G18" s="128" t="str">
        <f>IFERROR(VLOOKUP(G$2,#REF!,12,),"")</f>
        <v/>
      </c>
      <c r="H18" s="128" t="str">
        <f>IFERROR(VLOOKUP(H$2,#REF!,12,),"")</f>
        <v/>
      </c>
      <c r="I18" s="128" t="str">
        <f>IFERROR(VLOOKUP(I$2,#REF!,12,),"")</f>
        <v/>
      </c>
      <c r="J18" s="128" t="str">
        <f>IFERROR(VLOOKUP(J$2,#REF!,12,),"")</f>
        <v/>
      </c>
      <c r="K18" s="128" t="str">
        <f>IFERROR(VLOOKUP(K$2,#REF!,12,),"")</f>
        <v/>
      </c>
      <c r="L18" s="128" t="str">
        <f>IFERROR(VLOOKUP(L$2,#REF!,12,),"")</f>
        <v/>
      </c>
      <c r="M18" s="128" t="str">
        <f>IFERROR(VLOOKUP(M$2,#REF!,12,),"")</f>
        <v/>
      </c>
      <c r="N18" s="146">
        <f>N25</f>
        <v>90.32</v>
      </c>
      <c r="O18" s="1">
        <v>17</v>
      </c>
      <c r="P18" s="41" t="e">
        <f t="shared" si="33"/>
        <v>#VALUE!</v>
      </c>
      <c r="Q18" s="131" t="str">
        <f>IFERROR(VLOOKUP(Q$1,#REF!,8,),"")</f>
        <v/>
      </c>
      <c r="R18" s="131" t="str">
        <f>IFERROR(VLOOKUP(Q$1,#REF!,10,),"")</f>
        <v/>
      </c>
      <c r="S18" s="124" t="e">
        <f t="shared" si="0"/>
        <v>#VALUE!</v>
      </c>
      <c r="T18" s="129" t="s">
        <v>191</v>
      </c>
      <c r="U18" s="131" t="str">
        <f t="shared" ref="U18:U25" si="39">IF(T18="Yes",Q18,"")</f>
        <v/>
      </c>
      <c r="V18" s="132" t="str">
        <f t="shared" si="1"/>
        <v/>
      </c>
      <c r="W18" s="138" t="str">
        <f t="shared" si="34"/>
        <v/>
      </c>
      <c r="X18" s="131" t="str">
        <f t="shared" si="35"/>
        <v/>
      </c>
      <c r="Y18" s="128" t="str">
        <f t="shared" si="3"/>
        <v/>
      </c>
      <c r="Z18" s="128" t="e">
        <f t="shared" si="4"/>
        <v>#VALUE!</v>
      </c>
      <c r="AC18" s="139">
        <f t="shared" ref="AC18:AC20" si="40">IFERROR(IF(Q18/R18*100&gt;=N18,N18/100*R18,Q18),0)</f>
        <v>0</v>
      </c>
      <c r="AD18" s="139" t="str">
        <f t="shared" ref="AD18:AD20" si="41">X18</f>
        <v/>
      </c>
      <c r="AE18" s="140" t="str">
        <f t="shared" ref="AE18:AE20" si="42">C18</f>
        <v/>
      </c>
      <c r="AJ18" s="141" t="str">
        <f>D18</f>
        <v/>
      </c>
      <c r="AK18" s="129" t="e">
        <f t="shared" si="36"/>
        <v>#VALUE!</v>
      </c>
      <c r="AL18" s="129" t="str">
        <f t="shared" si="37"/>
        <v/>
      </c>
      <c r="AM18" s="1" t="str">
        <f t="shared" si="38"/>
        <v>OPC (Type 1 General)/UltraPro - SG</v>
      </c>
      <c r="AN18" s="1"/>
    </row>
    <row r="19" spans="1:40" ht="15.75" customHeight="1" x14ac:dyDescent="0.25">
      <c r="A19" s="137" t="s">
        <v>95</v>
      </c>
      <c r="B19" s="128" t="e">
        <f>VLOOKUP(B$2,#REF!,18,)</f>
        <v>#REF!</v>
      </c>
      <c r="C19" s="128" t="e">
        <f>VLOOKUP(C$2,#REF!,18,)</f>
        <v>#REF!</v>
      </c>
      <c r="D19" s="128" t="e">
        <f>VLOOKUP(D$2,#REF!,18,)</f>
        <v>#REF!</v>
      </c>
      <c r="E19" s="128" t="e">
        <f>VLOOKUP(E$2,#REF!,18,)</f>
        <v>#REF!</v>
      </c>
      <c r="F19" s="128" t="e">
        <f>VLOOKUP(F$2,#REF!,18,)</f>
        <v>#REF!</v>
      </c>
      <c r="G19" s="128" t="e">
        <f>VLOOKUP(G$2,#REF!,18,)</f>
        <v>#REF!</v>
      </c>
      <c r="H19" s="128" t="e">
        <f>VLOOKUP(H$2,#REF!,18,)</f>
        <v>#REF!</v>
      </c>
      <c r="I19" s="128" t="e">
        <f>VLOOKUP(I$2,#REF!,18,)</f>
        <v>#REF!</v>
      </c>
      <c r="J19" s="128" t="e">
        <f>VLOOKUP(J$2,#REF!,18,)</f>
        <v>#REF!</v>
      </c>
      <c r="K19" s="128" t="e">
        <f>VLOOKUP(K$2,#REF!,18,)</f>
        <v>#REF!</v>
      </c>
      <c r="L19" s="128" t="e">
        <f>VLOOKUP(L$2,#REF!,18,)</f>
        <v>#REF!</v>
      </c>
      <c r="M19" s="128" t="e">
        <f>VLOOKUP(M$2,#REF!,18,)</f>
        <v>#REF!</v>
      </c>
      <c r="N19" s="128">
        <f>RKAP!$S$68</f>
        <v>86.96</v>
      </c>
      <c r="O19" s="1">
        <v>18</v>
      </c>
      <c r="P19" s="41" t="e">
        <f t="shared" si="33"/>
        <v>#REF!</v>
      </c>
      <c r="Q19" s="131" t="e">
        <f>VLOOKUP(Q$1,#REF!,14,)</f>
        <v>#REF!</v>
      </c>
      <c r="R19" s="131" t="e">
        <f>VLOOKUP(Q$1,#REF!,16,)</f>
        <v>#REF!</v>
      </c>
      <c r="S19" s="124" t="e">
        <f t="shared" si="0"/>
        <v>#REF!</v>
      </c>
      <c r="T19" s="129" t="s">
        <v>191</v>
      </c>
      <c r="U19" s="131" t="e">
        <f t="shared" si="39"/>
        <v>#REF!</v>
      </c>
      <c r="V19" s="132" t="e">
        <f t="shared" si="1"/>
        <v>#REF!</v>
      </c>
      <c r="W19" s="138" t="e">
        <f t="shared" si="34"/>
        <v>#REF!</v>
      </c>
      <c r="X19" s="131" t="e">
        <f t="shared" si="35"/>
        <v>#REF!</v>
      </c>
      <c r="Y19" s="128" t="str">
        <f t="shared" si="3"/>
        <v/>
      </c>
      <c r="Z19" s="128" t="e">
        <f t="shared" si="4"/>
        <v>#VALUE!</v>
      </c>
      <c r="AC19" s="139">
        <f t="shared" si="40"/>
        <v>0</v>
      </c>
      <c r="AD19" s="139" t="e">
        <f t="shared" si="41"/>
        <v>#REF!</v>
      </c>
      <c r="AE19" s="140" t="e">
        <f t="shared" si="42"/>
        <v>#REF!</v>
      </c>
      <c r="AJ19" s="136" t="e">
        <f t="shared" ref="AJ19:AJ20" si="43">IF(D19&gt;N19,N19,D19)</f>
        <v>#REF!</v>
      </c>
      <c r="AK19" s="129" t="e">
        <f t="shared" si="36"/>
        <v>#REF!</v>
      </c>
      <c r="AL19" s="129" t="e">
        <f t="shared" si="37"/>
        <v>#REF!</v>
      </c>
      <c r="AM19" s="1" t="str">
        <f t="shared" si="38"/>
        <v>RFP (Type 1 SNI)/SprintPro</v>
      </c>
      <c r="AN19" s="1"/>
    </row>
    <row r="20" spans="1:40" ht="15.75" customHeight="1" x14ac:dyDescent="0.25">
      <c r="A20" s="137" t="s">
        <v>117</v>
      </c>
      <c r="B20" s="128" t="e">
        <f>VLOOKUP(B$2,#REF!,24,)</f>
        <v>#REF!</v>
      </c>
      <c r="C20" s="128" t="e">
        <f>VLOOKUP(C$2,#REF!,24,)</f>
        <v>#REF!</v>
      </c>
      <c r="D20" s="128" t="e">
        <f>VLOOKUP(D$2,#REF!,24,)</f>
        <v>#REF!</v>
      </c>
      <c r="E20" s="128" t="e">
        <f>VLOOKUP(E$2,#REF!,24,)</f>
        <v>#REF!</v>
      </c>
      <c r="F20" s="128" t="e">
        <f>VLOOKUP(F$2,#REF!,24,)</f>
        <v>#REF!</v>
      </c>
      <c r="G20" s="128" t="e">
        <f>VLOOKUP(G$2,#REF!,24,)</f>
        <v>#REF!</v>
      </c>
      <c r="H20" s="128" t="e">
        <f>VLOOKUP(H$2,#REF!,24,)</f>
        <v>#REF!</v>
      </c>
      <c r="I20" s="128" t="e">
        <f>VLOOKUP(I$2,#REF!,24,)</f>
        <v>#REF!</v>
      </c>
      <c r="J20" s="128" t="e">
        <f>VLOOKUP(J$2,#REF!,24,)</f>
        <v>#REF!</v>
      </c>
      <c r="K20" s="128" t="e">
        <f>VLOOKUP(K$2,#REF!,24,)</f>
        <v>#REF!</v>
      </c>
      <c r="L20" s="128" t="e">
        <f>VLOOKUP(L$2,#REF!,24,)</f>
        <v>#REF!</v>
      </c>
      <c r="M20" s="128" t="e">
        <f>VLOOKUP(M$2,#REF!,24,)</f>
        <v>#REF!</v>
      </c>
      <c r="N20" s="128">
        <f>RKAP!$Y$68</f>
        <v>95.5</v>
      </c>
      <c r="O20" s="1">
        <v>19</v>
      </c>
      <c r="P20" s="41" t="e">
        <f t="shared" si="33"/>
        <v>#REF!</v>
      </c>
      <c r="Q20" s="131" t="e">
        <f>VLOOKUP(Q$1,#REF!,20,)</f>
        <v>#REF!</v>
      </c>
      <c r="R20" s="131" t="e">
        <f>VLOOKUP(Q$1,#REF!,22,)</f>
        <v>#REF!</v>
      </c>
      <c r="S20" s="124" t="e">
        <f t="shared" si="0"/>
        <v>#REF!</v>
      </c>
      <c r="T20" s="129" t="s">
        <v>191</v>
      </c>
      <c r="U20" s="131" t="e">
        <f t="shared" si="39"/>
        <v>#REF!</v>
      </c>
      <c r="V20" s="132" t="e">
        <f t="shared" si="1"/>
        <v>#REF!</v>
      </c>
      <c r="W20" s="138" t="e">
        <f t="shared" si="34"/>
        <v>#REF!</v>
      </c>
      <c r="X20" s="131" t="e">
        <f t="shared" si="35"/>
        <v>#REF!</v>
      </c>
      <c r="Y20" s="128" t="str">
        <f t="shared" si="3"/>
        <v/>
      </c>
      <c r="Z20" s="128" t="e">
        <f t="shared" si="4"/>
        <v>#VALUE!</v>
      </c>
      <c r="AC20" s="139">
        <f t="shared" si="40"/>
        <v>0</v>
      </c>
      <c r="AD20" s="139" t="e">
        <f t="shared" si="41"/>
        <v>#REF!</v>
      </c>
      <c r="AE20" s="140" t="e">
        <f t="shared" si="42"/>
        <v>#REF!</v>
      </c>
      <c r="AJ20" s="136" t="e">
        <f t="shared" si="43"/>
        <v>#REF!</v>
      </c>
      <c r="AK20" s="129" t="e">
        <f t="shared" si="36"/>
        <v>#REF!</v>
      </c>
      <c r="AL20" s="129" t="e">
        <f t="shared" si="37"/>
        <v>#REF!</v>
      </c>
      <c r="AM20" s="1" t="str">
        <f t="shared" si="38"/>
        <v>OPC (Type V) - export TCC</v>
      </c>
      <c r="AN20" s="1"/>
    </row>
    <row r="21" spans="1:40" ht="15.75" customHeight="1" x14ac:dyDescent="0.3">
      <c r="A21" s="121" t="s">
        <v>149</v>
      </c>
      <c r="B21" s="122" t="e">
        <f>VLOOKUP(B$2,#REF!,42,)</f>
        <v>#REF!</v>
      </c>
      <c r="C21" s="122" t="e">
        <f>VLOOKUP(C$2,#REF!,42,)</f>
        <v>#REF!</v>
      </c>
      <c r="D21" s="122" t="e">
        <f>VLOOKUP(D$2,#REF!,42,)</f>
        <v>#REF!</v>
      </c>
      <c r="E21" s="122" t="e">
        <f>VLOOKUP(E$2,#REF!,42,)</f>
        <v>#REF!</v>
      </c>
      <c r="F21" s="122" t="e">
        <f>VLOOKUP(F$2,#REF!,42,)</f>
        <v>#REF!</v>
      </c>
      <c r="G21" s="122" t="e">
        <f>VLOOKUP(G$2,#REF!,42,)</f>
        <v>#REF!</v>
      </c>
      <c r="H21" s="122" t="e">
        <f>VLOOKUP(H$2,#REF!,42,)</f>
        <v>#REF!</v>
      </c>
      <c r="I21" s="122" t="e">
        <f>VLOOKUP(I$2,#REF!,42,)</f>
        <v>#REF!</v>
      </c>
      <c r="J21" s="122" t="e">
        <f>VLOOKUP(J$2,#REF!,42,)</f>
        <v>#REF!</v>
      </c>
      <c r="K21" s="122" t="e">
        <f>VLOOKUP(K$2,#REF!,42,)</f>
        <v>#REF!</v>
      </c>
      <c r="L21" s="122" t="e">
        <f>VLOOKUP(L$2,#REF!,42,)</f>
        <v>#REF!</v>
      </c>
      <c r="M21" s="122" t="e">
        <f>VLOOKUP(M$2,#REF!,42,)</f>
        <v>#REF!</v>
      </c>
      <c r="N21" s="123">
        <f>RKAP!$AQ$85</f>
        <v>70.41</v>
      </c>
      <c r="O21" s="1">
        <v>20</v>
      </c>
      <c r="S21" s="124" t="str">
        <f t="shared" si="0"/>
        <v/>
      </c>
      <c r="T21" s="125"/>
      <c r="U21" s="41" t="str">
        <f t="shared" si="39"/>
        <v/>
      </c>
      <c r="V21" s="138" t="str">
        <f t="shared" si="1"/>
        <v/>
      </c>
      <c r="W21" s="127" t="e">
        <f t="shared" ref="W21:X21" si="44">SUM(W22:W26)</f>
        <v>#REF!</v>
      </c>
      <c r="X21" s="127" t="e">
        <f t="shared" si="44"/>
        <v>#REF!</v>
      </c>
      <c r="Y21" s="128" t="str">
        <f t="shared" si="3"/>
        <v/>
      </c>
      <c r="Z21" s="128" t="e">
        <f t="shared" si="4"/>
        <v>#VALUE!</v>
      </c>
      <c r="AK21" s="129" t="e">
        <f t="shared" ref="AK21:AL21" si="45">SUM(AK22:AK26)</f>
        <v>#REF!</v>
      </c>
      <c r="AL21" s="129" t="e">
        <f t="shared" si="45"/>
        <v>#REF!</v>
      </c>
      <c r="AM21" s="130" t="e">
        <f>A21&amp;" = "&amp;ROUNDUP((AK21/AL21*100),2)</f>
        <v>#REF!</v>
      </c>
      <c r="AN21" s="1"/>
    </row>
    <row r="22" spans="1:40" ht="12.5" x14ac:dyDescent="0.25">
      <c r="A22" s="142" t="s">
        <v>195</v>
      </c>
      <c r="B22" s="128" t="e">
        <f>VLOOKUP(B$2,#REF!,6,)</f>
        <v>#REF!</v>
      </c>
      <c r="C22" s="128" t="e">
        <f>VLOOKUP(C$2,#REF!,6,)</f>
        <v>#REF!</v>
      </c>
      <c r="D22" s="128" t="e">
        <f>VLOOKUP(D$2,#REF!,6,)</f>
        <v>#REF!</v>
      </c>
      <c r="E22" s="128" t="e">
        <f>VLOOKUP(E$2,#REF!,6,)</f>
        <v>#REF!</v>
      </c>
      <c r="F22" s="128" t="e">
        <f>VLOOKUP(F$2,#REF!,6,)</f>
        <v>#REF!</v>
      </c>
      <c r="G22" s="128" t="e">
        <f>VLOOKUP(G$2,#REF!,6,)</f>
        <v>#REF!</v>
      </c>
      <c r="H22" s="128" t="e">
        <f>VLOOKUP(H$2,#REF!,6,)</f>
        <v>#REF!</v>
      </c>
      <c r="I22" s="128" t="e">
        <f>VLOOKUP(I$2,#REF!,6,)</f>
        <v>#REF!</v>
      </c>
      <c r="J22" s="128" t="e">
        <f>VLOOKUP(J$2,#REF!,6,)</f>
        <v>#REF!</v>
      </c>
      <c r="K22" s="128" t="e">
        <f>VLOOKUP(K$2,#REF!,6,)</f>
        <v>#REF!</v>
      </c>
      <c r="L22" s="128" t="e">
        <f>VLOOKUP(L$2,#REF!,6,)</f>
        <v>#REF!</v>
      </c>
      <c r="M22" s="128" t="e">
        <f>VLOOKUP(M$2,#REF!,6,)</f>
        <v>#REF!</v>
      </c>
      <c r="N22" s="128">
        <f>RKAP!$G$85</f>
        <v>60.91</v>
      </c>
      <c r="O22" s="1">
        <v>21</v>
      </c>
      <c r="P22" s="41" t="e">
        <f t="shared" ref="P22:P26" si="46">IF(HLOOKUP(Q$1,$B$2:$M$30,O22,)-N22&lt;=0,"",HLOOKUP(Q$1,$B$2:$M$30,O22,)-N22)</f>
        <v>#REF!</v>
      </c>
      <c r="Q22" s="131" t="e">
        <f>VLOOKUP(Q$1,#REF!,2,)</f>
        <v>#REF!</v>
      </c>
      <c r="R22" s="131" t="e">
        <f>VLOOKUP(Q$1,#REF!,4,)</f>
        <v>#REF!</v>
      </c>
      <c r="S22" s="124" t="e">
        <f t="shared" si="0"/>
        <v>#REF!</v>
      </c>
      <c r="T22" s="129" t="s">
        <v>191</v>
      </c>
      <c r="U22" s="131" t="e">
        <f t="shared" si="39"/>
        <v>#REF!</v>
      </c>
      <c r="V22" s="143" t="e">
        <f t="shared" si="1"/>
        <v>#REF!</v>
      </c>
      <c r="W22" s="138" t="e">
        <f t="shared" ref="W22:W26" si="47">IF(T22="Yes",V22,Q22)</f>
        <v>#REF!</v>
      </c>
      <c r="X22" s="131" t="e">
        <f t="shared" ref="X22:X26" si="48">R22</f>
        <v>#REF!</v>
      </c>
      <c r="Y22" s="128" t="str">
        <f t="shared" si="3"/>
        <v/>
      </c>
      <c r="Z22" s="128" t="e">
        <f t="shared" si="4"/>
        <v>#VALUE!</v>
      </c>
      <c r="AC22" s="144" t="e">
        <f>IF(Q22/R22*100&gt;=N22,N22/100*R22,Q22)</f>
        <v>#REF!</v>
      </c>
      <c r="AD22" s="144" t="e">
        <f t="shared" ref="AD22:AD25" si="49">X22</f>
        <v>#REF!</v>
      </c>
      <c r="AE22" s="145" t="e">
        <f t="shared" ref="AE22:AE25" si="50">C22</f>
        <v>#REF!</v>
      </c>
      <c r="AJ22" s="136" t="e">
        <f t="shared" ref="AJ22:AJ24" si="51">IF(D22&gt;N22,N22,D22)</f>
        <v>#REF!</v>
      </c>
      <c r="AK22" s="129" t="e">
        <f t="shared" ref="AK22:AK26" si="52">AJ22/100*AL22</f>
        <v>#REF!</v>
      </c>
      <c r="AL22" s="129" t="e">
        <f t="shared" ref="AL22:AL26" si="53">R22</f>
        <v>#REF!</v>
      </c>
      <c r="AM22" s="1" t="str">
        <f t="shared" ref="AM22:AM26" si="54">A22</f>
        <v>Dynamix/EzPro/PCC (Murni)</v>
      </c>
      <c r="AN22" s="1"/>
    </row>
    <row r="23" spans="1:40" ht="12.5" x14ac:dyDescent="0.25">
      <c r="A23" s="137" t="s">
        <v>97</v>
      </c>
      <c r="B23" s="128" t="str">
        <f>IFERROR(VLOOKUP(B$2,#REF!,24,),"")</f>
        <v/>
      </c>
      <c r="C23" s="128" t="str">
        <f>IFERROR(VLOOKUP(C$2,#REF!,24,),"")</f>
        <v/>
      </c>
      <c r="D23" s="128" t="str">
        <f>IFERROR(VLOOKUP(D$2,#REF!,24,),"")</f>
        <v/>
      </c>
      <c r="E23" s="128" t="str">
        <f>IFERROR(VLOOKUP(E$2,#REF!,24,),"")</f>
        <v/>
      </c>
      <c r="F23" s="128" t="str">
        <f>IFERROR(VLOOKUP(F$2,#REF!,24,),"")</f>
        <v/>
      </c>
      <c r="G23" s="128" t="str">
        <f>IFERROR(VLOOKUP(G$2,#REF!,24,),"")</f>
        <v/>
      </c>
      <c r="H23" s="128" t="str">
        <f>IFERROR(VLOOKUP(H$2,#REF!,24,),"")</f>
        <v/>
      </c>
      <c r="I23" s="128" t="str">
        <f>IFERROR(VLOOKUP(I$2,#REF!,24,),"")</f>
        <v/>
      </c>
      <c r="J23" s="128" t="str">
        <f>IFERROR(VLOOKUP(J$2,#REF!,24,),"")</f>
        <v/>
      </c>
      <c r="K23" s="128" t="str">
        <f>IFERROR(VLOOKUP(K$2,#REF!,24,),"")</f>
        <v/>
      </c>
      <c r="L23" s="128" t="str">
        <f>IFERROR(VLOOKUP(L$2,#REF!,24,),"")</f>
        <v/>
      </c>
      <c r="M23" s="128" t="str">
        <f>IFERROR(VLOOKUP(M$2,#REF!,24,),"")</f>
        <v/>
      </c>
      <c r="N23" s="146">
        <f>N20</f>
        <v>95.5</v>
      </c>
      <c r="O23" s="1">
        <v>22</v>
      </c>
      <c r="P23" s="41" t="e">
        <f t="shared" si="46"/>
        <v>#VALUE!</v>
      </c>
      <c r="Q23" s="131" t="str">
        <f>IFERROR(VLOOKUP(Q$1,#REF!,20,),"")</f>
        <v/>
      </c>
      <c r="R23" s="131" t="str">
        <f>IFERROR(VLOOKUP(Q$1,#REF!,22,),"")</f>
        <v/>
      </c>
      <c r="S23" s="124" t="e">
        <f t="shared" si="0"/>
        <v>#VALUE!</v>
      </c>
      <c r="T23" s="129" t="s">
        <v>191</v>
      </c>
      <c r="U23" s="131" t="str">
        <f t="shared" si="39"/>
        <v/>
      </c>
      <c r="V23" s="132" t="str">
        <f t="shared" si="1"/>
        <v/>
      </c>
      <c r="W23" s="138" t="str">
        <f t="shared" si="47"/>
        <v/>
      </c>
      <c r="X23" s="131" t="str">
        <f t="shared" si="48"/>
        <v/>
      </c>
      <c r="Y23" s="128" t="str">
        <f t="shared" si="3"/>
        <v/>
      </c>
      <c r="Z23" s="128" t="e">
        <f t="shared" si="4"/>
        <v>#VALUE!</v>
      </c>
      <c r="AC23" s="139">
        <f t="shared" ref="AC23:AC25" si="55">IFERROR(IF(Q23/R23*100&gt;=N23,N23/100*R23,Q23),0)</f>
        <v>0</v>
      </c>
      <c r="AD23" s="139" t="str">
        <f t="shared" si="49"/>
        <v/>
      </c>
      <c r="AE23" s="140" t="str">
        <f t="shared" si="50"/>
        <v/>
      </c>
      <c r="AJ23" s="136">
        <f t="shared" si="51"/>
        <v>95.5</v>
      </c>
      <c r="AK23" s="129" t="e">
        <f t="shared" si="52"/>
        <v>#VALUE!</v>
      </c>
      <c r="AL23" s="129" t="str">
        <f t="shared" si="53"/>
        <v/>
      </c>
      <c r="AM23" s="1" t="str">
        <f t="shared" si="54"/>
        <v>Type 5/DuPro+ HSR</v>
      </c>
      <c r="AN23" s="1"/>
    </row>
    <row r="24" spans="1:40" ht="12.5" x14ac:dyDescent="0.25">
      <c r="A24" s="137" t="s">
        <v>95</v>
      </c>
      <c r="B24" s="128" t="e">
        <f>VLOOKUP(B$2,#REF!,30,)</f>
        <v>#REF!</v>
      </c>
      <c r="C24" s="128" t="e">
        <f>VLOOKUP(C$2,#REF!,30,)</f>
        <v>#REF!</v>
      </c>
      <c r="D24" s="128" t="e">
        <f>VLOOKUP(D$2,#REF!,30,)</f>
        <v>#REF!</v>
      </c>
      <c r="E24" s="128" t="e">
        <f>VLOOKUP(E$2,#REF!,30,)</f>
        <v>#REF!</v>
      </c>
      <c r="F24" s="128" t="e">
        <f>VLOOKUP(F$2,#REF!,30,)</f>
        <v>#REF!</v>
      </c>
      <c r="G24" s="128" t="e">
        <f>VLOOKUP(G$2,#REF!,30,)</f>
        <v>#REF!</v>
      </c>
      <c r="H24" s="128" t="e">
        <f>VLOOKUP(H$2,#REF!,30,)</f>
        <v>#REF!</v>
      </c>
      <c r="I24" s="128" t="e">
        <f>VLOOKUP(I$2,#REF!,30,)</f>
        <v>#REF!</v>
      </c>
      <c r="J24" s="128" t="e">
        <f>VLOOKUP(J$2,#REF!,30,)</f>
        <v>#REF!</v>
      </c>
      <c r="K24" s="128" t="e">
        <f>VLOOKUP(K$2,#REF!,30,)</f>
        <v>#REF!</v>
      </c>
      <c r="L24" s="128" t="e">
        <f>VLOOKUP(L$2,#REF!,30,)</f>
        <v>#REF!</v>
      </c>
      <c r="M24" s="128" t="e">
        <f>VLOOKUP(M$2,#REF!,30,)</f>
        <v>#REF!</v>
      </c>
      <c r="N24" s="128">
        <f>RKAP!$AE$85</f>
        <v>86.96</v>
      </c>
      <c r="O24" s="1">
        <v>23</v>
      </c>
      <c r="P24" s="128" t="e">
        <f t="shared" si="46"/>
        <v>#REF!</v>
      </c>
      <c r="Q24" s="131" t="e">
        <f>VLOOKUP(Q$1,#REF!,26,)</f>
        <v>#REF!</v>
      </c>
      <c r="R24" s="131" t="e">
        <f>VLOOKUP(Q$1,#REF!,28,)</f>
        <v>#REF!</v>
      </c>
      <c r="S24" s="124" t="e">
        <f t="shared" si="0"/>
        <v>#REF!</v>
      </c>
      <c r="T24" s="129" t="s">
        <v>191</v>
      </c>
      <c r="U24" s="131" t="e">
        <f t="shared" si="39"/>
        <v>#REF!</v>
      </c>
      <c r="V24" s="132" t="e">
        <f t="shared" si="1"/>
        <v>#REF!</v>
      </c>
      <c r="W24" s="138" t="e">
        <f t="shared" si="47"/>
        <v>#REF!</v>
      </c>
      <c r="X24" s="131" t="e">
        <f t="shared" si="48"/>
        <v>#REF!</v>
      </c>
      <c r="Y24" s="128" t="str">
        <f t="shared" si="3"/>
        <v/>
      </c>
      <c r="Z24" s="128" t="e">
        <f t="shared" si="4"/>
        <v>#VALUE!</v>
      </c>
      <c r="AC24" s="139">
        <f t="shared" si="55"/>
        <v>0</v>
      </c>
      <c r="AD24" s="139" t="e">
        <f t="shared" si="49"/>
        <v>#REF!</v>
      </c>
      <c r="AE24" s="140" t="e">
        <f t="shared" si="50"/>
        <v>#REF!</v>
      </c>
      <c r="AJ24" s="136" t="e">
        <f t="shared" si="51"/>
        <v>#REF!</v>
      </c>
      <c r="AK24" s="129" t="e">
        <f t="shared" si="52"/>
        <v>#REF!</v>
      </c>
      <c r="AL24" s="129" t="e">
        <f t="shared" si="53"/>
        <v>#REF!</v>
      </c>
      <c r="AM24" s="1" t="str">
        <f t="shared" si="54"/>
        <v>RFP (Type 1 SNI)/SprintPro</v>
      </c>
      <c r="AN24" s="1"/>
    </row>
    <row r="25" spans="1:40" ht="12.5" x14ac:dyDescent="0.25">
      <c r="A25" s="137" t="s">
        <v>116</v>
      </c>
      <c r="B25" s="128" t="e">
        <f>VLOOKUP(B$2,#REF!,36,)</f>
        <v>#REF!</v>
      </c>
      <c r="C25" s="128" t="e">
        <f>VLOOKUP(C$2,#REF!,36,)</f>
        <v>#REF!</v>
      </c>
      <c r="D25" s="128" t="e">
        <f>VLOOKUP(D$2,#REF!,36,)</f>
        <v>#REF!</v>
      </c>
      <c r="E25" s="128" t="e">
        <f>VLOOKUP(E$2,#REF!,36,)</f>
        <v>#REF!</v>
      </c>
      <c r="F25" s="128" t="e">
        <f>VLOOKUP(F$2,#REF!,36,)</f>
        <v>#REF!</v>
      </c>
      <c r="G25" s="128" t="e">
        <f>VLOOKUP(G$2,#REF!,36,)</f>
        <v>#REF!</v>
      </c>
      <c r="H25" s="128" t="e">
        <f>VLOOKUP(H$2,#REF!,36,)</f>
        <v>#REF!</v>
      </c>
      <c r="I25" s="128" t="e">
        <f>VLOOKUP(I$2,#REF!,36,)</f>
        <v>#REF!</v>
      </c>
      <c r="J25" s="128" t="e">
        <f>VLOOKUP(J$2,#REF!,36,)</f>
        <v>#REF!</v>
      </c>
      <c r="K25" s="128" t="e">
        <f>VLOOKUP(K$2,#REF!,36,)</f>
        <v>#REF!</v>
      </c>
      <c r="L25" s="128" t="e">
        <f>VLOOKUP(L$2,#REF!,36,)</f>
        <v>#REF!</v>
      </c>
      <c r="M25" s="148" t="e">
        <f>VLOOKUP(M$2,#REF!,36,)</f>
        <v>#REF!</v>
      </c>
      <c r="N25" s="128">
        <f>RKAP!$AK$85</f>
        <v>90.32</v>
      </c>
      <c r="O25" s="1">
        <v>24</v>
      </c>
      <c r="P25" s="128" t="e">
        <f t="shared" si="46"/>
        <v>#REF!</v>
      </c>
      <c r="Q25" s="131" t="e">
        <f>VLOOKUP(Q$1,#REF!,32,)</f>
        <v>#REF!</v>
      </c>
      <c r="R25" s="131" t="e">
        <f>VLOOKUP(Q$1,#REF!,34,)</f>
        <v>#REF!</v>
      </c>
      <c r="S25" s="124" t="e">
        <f t="shared" si="0"/>
        <v>#REF!</v>
      </c>
      <c r="T25" s="129" t="s">
        <v>191</v>
      </c>
      <c r="U25" s="131" t="e">
        <f t="shared" si="39"/>
        <v>#REF!</v>
      </c>
      <c r="V25" s="132" t="e">
        <f t="shared" si="1"/>
        <v>#REF!</v>
      </c>
      <c r="W25" s="138" t="e">
        <f t="shared" si="47"/>
        <v>#REF!</v>
      </c>
      <c r="X25" s="131" t="e">
        <f t="shared" si="48"/>
        <v>#REF!</v>
      </c>
      <c r="Y25" s="128" t="str">
        <f t="shared" si="3"/>
        <v/>
      </c>
      <c r="Z25" s="128" t="e">
        <f t="shared" si="4"/>
        <v>#VALUE!</v>
      </c>
      <c r="AC25" s="139">
        <f t="shared" si="55"/>
        <v>0</v>
      </c>
      <c r="AD25" s="139" t="e">
        <f t="shared" si="49"/>
        <v>#REF!</v>
      </c>
      <c r="AE25" s="140" t="e">
        <f t="shared" si="50"/>
        <v>#REF!</v>
      </c>
      <c r="AJ25" s="141" t="e">
        <f>D25</f>
        <v>#REF!</v>
      </c>
      <c r="AK25" s="129" t="e">
        <f t="shared" si="52"/>
        <v>#REF!</v>
      </c>
      <c r="AL25" s="129" t="e">
        <f t="shared" si="53"/>
        <v>#REF!</v>
      </c>
      <c r="AM25" s="1" t="str">
        <f t="shared" si="54"/>
        <v>OPC (Type 1 General)/UltraPro</v>
      </c>
      <c r="AN25" s="1"/>
    </row>
    <row r="26" spans="1:40" ht="13" x14ac:dyDescent="0.3">
      <c r="A26" s="1" t="s">
        <v>189</v>
      </c>
      <c r="B26" s="128" t="str">
        <f>IFERROR(VLOOKUP(B$2,#REF!,12,),"")</f>
        <v/>
      </c>
      <c r="C26" s="128" t="str">
        <f>IFERROR(VLOOKUP(C$2,#REF!,12,),"")</f>
        <v/>
      </c>
      <c r="D26" s="128" t="str">
        <f>IFERROR(VLOOKUP(D$2,#REF!,12,),"")</f>
        <v/>
      </c>
      <c r="E26" s="128" t="str">
        <f>IFERROR(VLOOKUP(E$2,#REF!,12,),"")</f>
        <v/>
      </c>
      <c r="F26" s="128" t="str">
        <f>IFERROR(VLOOKUP(F$2,#REF!,12,),"")</f>
        <v/>
      </c>
      <c r="G26" s="128" t="str">
        <f>IFERROR(VLOOKUP(G$2,#REF!,12,),"")</f>
        <v/>
      </c>
      <c r="H26" s="128" t="str">
        <f>IFERROR(VLOOKUP(H$2,#REF!,12,),"")</f>
        <v/>
      </c>
      <c r="I26" s="128" t="str">
        <f>IFERROR(VLOOKUP(I$2,#REF!,12,),"")</f>
        <v/>
      </c>
      <c r="J26" s="128" t="str">
        <f>IFERROR(VLOOKUP(J$2,#REF!,12,),"")</f>
        <v/>
      </c>
      <c r="K26" s="128" t="str">
        <f>IFERROR(VLOOKUP(K$2,#REF!,12,),"")</f>
        <v/>
      </c>
      <c r="L26" s="128" t="str">
        <f>IFERROR(VLOOKUP(L$2,#REF!,12,),"")</f>
        <v/>
      </c>
      <c r="M26" s="128" t="str">
        <f>IFERROR(VLOOKUP(M$2,#REF!,12,),"")</f>
        <v/>
      </c>
      <c r="N26" s="146">
        <f>N17</f>
        <v>80.36</v>
      </c>
      <c r="O26" s="1">
        <v>25</v>
      </c>
      <c r="P26" s="41" t="e">
        <f t="shared" si="46"/>
        <v>#VALUE!</v>
      </c>
      <c r="Q26" s="131" t="str">
        <f>IFERROR(VLOOKUP(Q$1,#REF!,8,),"")</f>
        <v/>
      </c>
      <c r="R26" s="131" t="str">
        <f>IFERROR(VLOOKUP(Q$1,#REF!,10,),"")</f>
        <v/>
      </c>
      <c r="S26" s="124" t="e">
        <f t="shared" si="0"/>
        <v>#VALUE!</v>
      </c>
      <c r="T26" s="129"/>
      <c r="U26" s="131"/>
      <c r="V26" s="132" t="str">
        <f t="shared" si="1"/>
        <v/>
      </c>
      <c r="W26" s="131" t="str">
        <f t="shared" si="47"/>
        <v/>
      </c>
      <c r="X26" s="131" t="str">
        <f t="shared" si="48"/>
        <v/>
      </c>
      <c r="Y26" s="128" t="str">
        <f t="shared" si="3"/>
        <v/>
      </c>
      <c r="Z26" s="128" t="e">
        <f t="shared" si="4"/>
        <v>#VALUE!</v>
      </c>
      <c r="AA26" s="149" t="e">
        <f>X26/$X21*100</f>
        <v>#VALUE!</v>
      </c>
      <c r="AC26" s="134" t="e">
        <f>Q26/R26*AD26</f>
        <v>#VALUE!</v>
      </c>
      <c r="AD26" s="134" t="e">
        <f>AF26/100*X21</f>
        <v>#REF!</v>
      </c>
      <c r="AF26" s="134">
        <v>5</v>
      </c>
      <c r="AG26" s="131"/>
      <c r="AH26" s="131"/>
      <c r="AI26" s="131"/>
      <c r="AJ26" s="136">
        <f>IF(D26&gt;N26,N26,D26)</f>
        <v>80.36</v>
      </c>
      <c r="AK26" s="129" t="e">
        <f t="shared" si="52"/>
        <v>#VALUE!</v>
      </c>
      <c r="AL26" s="129" t="str">
        <f t="shared" si="53"/>
        <v/>
      </c>
      <c r="AM26" s="1" t="str">
        <f t="shared" si="54"/>
        <v>Dynamix/EzPro/PCC (Transisi)</v>
      </c>
      <c r="AN26" s="1"/>
    </row>
    <row r="27" spans="1:40" ht="13" x14ac:dyDescent="0.3">
      <c r="A27" s="121" t="s">
        <v>150</v>
      </c>
      <c r="B27" s="122" t="e">
        <f>VLOOKUP(B$2,#REF!,18,)</f>
        <v>#REF!</v>
      </c>
      <c r="C27" s="122" t="e">
        <f>VLOOKUP(C$2,#REF!,18,)</f>
        <v>#REF!</v>
      </c>
      <c r="D27" s="122" t="e">
        <f>VLOOKUP(D$2,#REF!,18,)</f>
        <v>#REF!</v>
      </c>
      <c r="E27" s="122" t="e">
        <f>VLOOKUP(E$2,#REF!,18,)</f>
        <v>#REF!</v>
      </c>
      <c r="F27" s="122" t="e">
        <f>VLOOKUP(F$2,#REF!,18,)</f>
        <v>#REF!</v>
      </c>
      <c r="G27" s="122" t="e">
        <f>VLOOKUP(G$2,#REF!,18,)</f>
        <v>#REF!</v>
      </c>
      <c r="H27" s="122" t="e">
        <f>VLOOKUP(H$2,#REF!,18,)</f>
        <v>#REF!</v>
      </c>
      <c r="I27" s="122" t="e">
        <f>VLOOKUP(I$2,#REF!,18,)</f>
        <v>#REF!</v>
      </c>
      <c r="J27" s="122" t="e">
        <f>VLOOKUP(J$2,#REF!,18,)</f>
        <v>#REF!</v>
      </c>
      <c r="K27" s="122" t="e">
        <f>VLOOKUP(K$2,#REF!,18,)</f>
        <v>#REF!</v>
      </c>
      <c r="L27" s="122" t="e">
        <f>VLOOKUP(L$2,#REF!,18,)</f>
        <v>#REF!</v>
      </c>
      <c r="M27" s="122" t="e">
        <f>VLOOKUP(M$2,#REF!,18,)</f>
        <v>#REF!</v>
      </c>
      <c r="N27" s="123">
        <f>RKAP!$S$102</f>
        <v>63.3</v>
      </c>
      <c r="O27" s="1">
        <v>26</v>
      </c>
      <c r="S27" s="124" t="str">
        <f t="shared" si="0"/>
        <v/>
      </c>
      <c r="T27" s="125"/>
      <c r="U27" s="41" t="str">
        <f t="shared" ref="U27:U29" si="56">IF(T27="Yes",Q27,"")</f>
        <v/>
      </c>
      <c r="V27" s="138" t="str">
        <f t="shared" si="1"/>
        <v/>
      </c>
      <c r="W27" s="127" t="e">
        <f t="shared" ref="W27:X27" si="57">SUM(W28:W29)</f>
        <v>#REF!</v>
      </c>
      <c r="X27" s="127" t="e">
        <f t="shared" si="57"/>
        <v>#REF!</v>
      </c>
      <c r="Y27" s="128" t="str">
        <f t="shared" si="3"/>
        <v/>
      </c>
      <c r="Z27" s="128" t="e">
        <f t="shared" si="4"/>
        <v>#VALUE!</v>
      </c>
      <c r="AK27" s="129" t="e">
        <f t="shared" ref="AK27:AL27" si="58">SUM(AK28:AK29)</f>
        <v>#REF!</v>
      </c>
      <c r="AL27" s="129" t="e">
        <f t="shared" si="58"/>
        <v>#REF!</v>
      </c>
      <c r="AM27" s="130" t="e">
        <f>A27&amp;" = "&amp;ROUNDUP((AK27/AL27*100),2)</f>
        <v>#REF!</v>
      </c>
      <c r="AN27" s="1"/>
    </row>
    <row r="28" spans="1:40" ht="12.5" x14ac:dyDescent="0.25">
      <c r="A28" s="142" t="s">
        <v>193</v>
      </c>
      <c r="B28" s="128" t="e">
        <f>VLOOKUP(B$2,#REF!,6,)</f>
        <v>#REF!</v>
      </c>
      <c r="C28" s="128" t="e">
        <f>VLOOKUP(C$2,#REF!,6,)</f>
        <v>#REF!</v>
      </c>
      <c r="D28" s="128" t="e">
        <f>VLOOKUP(D$2,#REF!,6,)</f>
        <v>#REF!</v>
      </c>
      <c r="E28" s="128" t="e">
        <f>VLOOKUP(E$2,#REF!,6,)</f>
        <v>#REF!</v>
      </c>
      <c r="F28" s="128" t="e">
        <f>VLOOKUP(F$2,#REF!,6,)</f>
        <v>#REF!</v>
      </c>
      <c r="G28" s="128" t="e">
        <f>VLOOKUP(G$2,#REF!,6,)</f>
        <v>#REF!</v>
      </c>
      <c r="H28" s="128" t="e">
        <f>VLOOKUP(H$2,#REF!,6,)</f>
        <v>#REF!</v>
      </c>
      <c r="I28" s="128" t="e">
        <f>VLOOKUP(I$2,#REF!,6,)</f>
        <v>#REF!</v>
      </c>
      <c r="J28" s="128" t="e">
        <f>VLOOKUP(J$2,#REF!,6,)</f>
        <v>#REF!</v>
      </c>
      <c r="K28" s="128" t="e">
        <f>VLOOKUP(K$2,#REF!,6,)</f>
        <v>#REF!</v>
      </c>
      <c r="L28" s="128" t="e">
        <f>VLOOKUP(L$2,#REF!,6,)</f>
        <v>#REF!</v>
      </c>
      <c r="M28" s="128" t="e">
        <f>VLOOKUP(M$2,#REF!,6,)</f>
        <v>#REF!</v>
      </c>
      <c r="N28" s="128">
        <f>RKAP!$G$102</f>
        <v>58.5</v>
      </c>
      <c r="O28" s="1">
        <v>27</v>
      </c>
      <c r="P28" s="41" t="e">
        <f t="shared" ref="P28:P29" si="59">IF(HLOOKUP(Q$1,$B$2:$M$30,O28,)-N28&lt;=0,"",HLOOKUP(Q$1,$B$2:$M$30,O28,)-N28)</f>
        <v>#REF!</v>
      </c>
      <c r="Q28" s="131" t="e">
        <f>VLOOKUP(Q$1,#REF!,2,)</f>
        <v>#REF!</v>
      </c>
      <c r="R28" s="131" t="e">
        <f>VLOOKUP(Q$1,#REF!,4,)</f>
        <v>#REF!</v>
      </c>
      <c r="S28" s="124" t="e">
        <f t="shared" si="0"/>
        <v>#REF!</v>
      </c>
      <c r="T28" s="129" t="s">
        <v>191</v>
      </c>
      <c r="U28" s="131" t="e">
        <f t="shared" si="56"/>
        <v>#REF!</v>
      </c>
      <c r="V28" s="143" t="e">
        <f t="shared" si="1"/>
        <v>#REF!</v>
      </c>
      <c r="W28" s="138" t="e">
        <f t="shared" ref="W28:W29" si="60">IF(T28="Yes",V28,Q28)</f>
        <v>#REF!</v>
      </c>
      <c r="X28" s="131" t="e">
        <f t="shared" ref="X28:X29" si="61">R28</f>
        <v>#REF!</v>
      </c>
      <c r="Y28" s="128" t="str">
        <f t="shared" si="3"/>
        <v/>
      </c>
      <c r="Z28" s="128" t="e">
        <f t="shared" si="4"/>
        <v>#VALUE!</v>
      </c>
      <c r="AC28" s="144" t="e">
        <f>IF(Q28/R28*100&gt;=N28,N28/100*R28,Q28)</f>
        <v>#REF!</v>
      </c>
      <c r="AD28" s="144" t="e">
        <f t="shared" ref="AD28:AD29" si="62">X28</f>
        <v>#REF!</v>
      </c>
      <c r="AE28" s="145" t="e">
        <f t="shared" ref="AE28:AE29" si="63">C28</f>
        <v>#REF!</v>
      </c>
      <c r="AJ28" s="136" t="e">
        <f t="shared" ref="AJ28:AJ29" si="64">IF(D28&gt;N28,N28,D28)</f>
        <v>#REF!</v>
      </c>
      <c r="AK28" s="129" t="e">
        <f t="shared" ref="AK28:AK29" si="65">AJ28/100*AL28</f>
        <v>#REF!</v>
      </c>
      <c r="AL28" s="129" t="e">
        <f t="shared" ref="AL28:AL29" si="66">R28</f>
        <v>#REF!</v>
      </c>
      <c r="AM28" s="1" t="str">
        <f t="shared" ref="AM28:AM29" si="67">A28</f>
        <v>Dynamix/EzPro/PCC</v>
      </c>
      <c r="AN28" s="1"/>
    </row>
    <row r="29" spans="1:40" ht="12.5" x14ac:dyDescent="0.25">
      <c r="A29" s="137" t="s">
        <v>116</v>
      </c>
      <c r="B29" s="128" t="e">
        <f>VLOOKUP(B$2,#REF!,12,)</f>
        <v>#REF!</v>
      </c>
      <c r="C29" s="128" t="e">
        <f>VLOOKUP(C$2,#REF!,12,)</f>
        <v>#REF!</v>
      </c>
      <c r="D29" s="128" t="e">
        <f>VLOOKUP(D$2,#REF!,12,)</f>
        <v>#REF!</v>
      </c>
      <c r="E29" s="128" t="e">
        <f>VLOOKUP(E$2,#REF!,12,)</f>
        <v>#REF!</v>
      </c>
      <c r="F29" s="128" t="e">
        <f>VLOOKUP(F$2,#REF!,12,)</f>
        <v>#REF!</v>
      </c>
      <c r="G29" s="128" t="e">
        <f>VLOOKUP(G$2,#REF!,12,)</f>
        <v>#REF!</v>
      </c>
      <c r="H29" s="128" t="e">
        <f>VLOOKUP(H$2,#REF!,12,)</f>
        <v>#REF!</v>
      </c>
      <c r="I29" s="128" t="e">
        <f>VLOOKUP(I$2,#REF!,12,)</f>
        <v>#REF!</v>
      </c>
      <c r="J29" s="128" t="e">
        <f>VLOOKUP(J$2,#REF!,12,)</f>
        <v>#REF!</v>
      </c>
      <c r="K29" s="128" t="e">
        <f>VLOOKUP(K$2,#REF!,12,)</f>
        <v>#REF!</v>
      </c>
      <c r="L29" s="128" t="e">
        <f>VLOOKUP(L$2,#REF!,12,)</f>
        <v>#REF!</v>
      </c>
      <c r="M29" s="128" t="e">
        <f>VLOOKUP(M$2,#REF!,12,)</f>
        <v>#REF!</v>
      </c>
      <c r="N29" s="128">
        <f>RKAP!$M$102</f>
        <v>85.5</v>
      </c>
      <c r="O29" s="1">
        <v>28</v>
      </c>
      <c r="P29" s="128" t="e">
        <f t="shared" si="59"/>
        <v>#REF!</v>
      </c>
      <c r="Q29" s="131" t="e">
        <f>VLOOKUP(Q$1,#REF!,8,)</f>
        <v>#REF!</v>
      </c>
      <c r="R29" s="131" t="e">
        <f>VLOOKUP(Q$1,#REF!,10,)</f>
        <v>#REF!</v>
      </c>
      <c r="S29" s="124" t="e">
        <f t="shared" si="0"/>
        <v>#REF!</v>
      </c>
      <c r="T29" s="129" t="s">
        <v>191</v>
      </c>
      <c r="U29" s="131" t="e">
        <f t="shared" si="56"/>
        <v>#REF!</v>
      </c>
      <c r="V29" s="132" t="e">
        <f t="shared" si="1"/>
        <v>#REF!</v>
      </c>
      <c r="W29" s="138" t="e">
        <f t="shared" si="60"/>
        <v>#REF!</v>
      </c>
      <c r="X29" s="131" t="e">
        <f t="shared" si="61"/>
        <v>#REF!</v>
      </c>
      <c r="Y29" s="128" t="str">
        <f t="shared" si="3"/>
        <v/>
      </c>
      <c r="Z29" s="128" t="e">
        <f t="shared" si="4"/>
        <v>#VALUE!</v>
      </c>
      <c r="AC29" s="139">
        <f>IFERROR(IF(Q29/R29*100&gt;=N29,N29/100*R29,Q29),0)</f>
        <v>0</v>
      </c>
      <c r="AD29" s="139" t="e">
        <f t="shared" si="62"/>
        <v>#REF!</v>
      </c>
      <c r="AE29" s="140" t="e">
        <f t="shared" si="63"/>
        <v>#REF!</v>
      </c>
      <c r="AJ29" s="136" t="e">
        <f t="shared" si="64"/>
        <v>#REF!</v>
      </c>
      <c r="AK29" s="129" t="e">
        <f t="shared" si="65"/>
        <v>#REF!</v>
      </c>
      <c r="AL29" s="129" t="e">
        <f t="shared" si="66"/>
        <v>#REF!</v>
      </c>
      <c r="AM29" s="1" t="str">
        <f t="shared" si="67"/>
        <v>OPC (Type 1 General)/UltraPro</v>
      </c>
      <c r="AN29" s="1"/>
    </row>
    <row r="30" spans="1:40" ht="13" x14ac:dyDescent="0.3">
      <c r="A30" s="121" t="s">
        <v>196</v>
      </c>
      <c r="B30" s="150" t="e">
        <f>VLOOKUP(B$2,#REF!,6,)</f>
        <v>#REF!</v>
      </c>
      <c r="C30" s="150" t="e">
        <f>VLOOKUP(C$2,#REF!,6,)</f>
        <v>#REF!</v>
      </c>
      <c r="D30" s="150" t="e">
        <f>VLOOKUP(D$2,#REF!,6,)</f>
        <v>#REF!</v>
      </c>
      <c r="E30" s="150" t="e">
        <f>VLOOKUP(E$2,#REF!,6,)</f>
        <v>#REF!</v>
      </c>
      <c r="F30" s="150" t="e">
        <f>VLOOKUP(F$2,#REF!,6,)</f>
        <v>#REF!</v>
      </c>
      <c r="G30" s="150" t="e">
        <f>VLOOKUP(G$2,#REF!,6,)</f>
        <v>#REF!</v>
      </c>
      <c r="H30" s="150" t="e">
        <f>VLOOKUP(H$2,#REF!,6,)</f>
        <v>#REF!</v>
      </c>
      <c r="I30" s="150" t="e">
        <f>VLOOKUP(I$2,#REF!,6,)</f>
        <v>#REF!</v>
      </c>
      <c r="J30" s="150" t="e">
        <f>VLOOKUP(J$2,#REF!,6,)</f>
        <v>#REF!</v>
      </c>
      <c r="K30" s="150" t="e">
        <f>VLOOKUP(K$2,#REF!,6,)</f>
        <v>#REF!</v>
      </c>
      <c r="L30" s="150" t="e">
        <f>VLOOKUP(L$2,#REF!,6,)</f>
        <v>#REF!</v>
      </c>
      <c r="M30" s="150" t="e">
        <f>VLOOKUP(M$2,#REF!,6,)</f>
        <v>#REF!</v>
      </c>
      <c r="N30" s="123">
        <f>RKAP!$G$118</f>
        <v>68.760000000000005</v>
      </c>
      <c r="O30" s="1">
        <v>29</v>
      </c>
      <c r="Q30" s="127" t="e">
        <f t="shared" ref="Q30:R30" si="68">SUM(Q3:Q29)</f>
        <v>#REF!</v>
      </c>
      <c r="R30" s="127" t="e">
        <f t="shared" si="68"/>
        <v>#REF!</v>
      </c>
      <c r="S30" s="151" t="e">
        <f t="shared" ref="S30:S31" si="69">Q30/R30*100</f>
        <v>#REF!</v>
      </c>
      <c r="T30" s="125"/>
      <c r="U30" s="126" t="e">
        <f>SUM(U3:U29)</f>
        <v>#REF!</v>
      </c>
      <c r="Z30" s="128"/>
      <c r="AJ30" s="128" t="e">
        <f>D30</f>
        <v>#REF!</v>
      </c>
      <c r="AK30" s="131" t="e">
        <f t="shared" ref="AK30:AL30" si="70">SUM(AK3,AK11,AK15,AK16,AK21,AK27)</f>
        <v>#REF!</v>
      </c>
      <c r="AL30" s="131" t="e">
        <f t="shared" si="70"/>
        <v>#REF!</v>
      </c>
      <c r="AM30" s="130" t="e">
        <f>A30&amp;" = "&amp;ROUNDUP((AK30/AL30*100),2)</f>
        <v>#REF!</v>
      </c>
    </row>
    <row r="31" spans="1:40" ht="13" x14ac:dyDescent="0.3">
      <c r="A31" s="152"/>
      <c r="B31" s="153" t="s">
        <v>197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3" t="s">
        <v>198</v>
      </c>
      <c r="N31" s="154">
        <v>68</v>
      </c>
      <c r="O31" s="153">
        <v>30</v>
      </c>
      <c r="P31" s="152"/>
      <c r="Q31" s="155" t="e">
        <f>N31/100*R31</f>
        <v>#REF!</v>
      </c>
      <c r="R31" s="155" t="e">
        <f>$R$30</f>
        <v>#REF!</v>
      </c>
      <c r="S31" s="156" t="e">
        <f t="shared" si="69"/>
        <v>#REF!</v>
      </c>
      <c r="T31" s="157">
        <v>1.1870673586294789E-2</v>
      </c>
      <c r="U31" s="158" t="e">
        <f>X31*N31/100</f>
        <v>#REF!</v>
      </c>
      <c r="V31" s="159" t="e">
        <f t="shared" ref="V31:X31" si="71">SUM(V4:V10,V12:V14,V15,V17:V20,V22:V26,V28:V29)</f>
        <v>#REF!</v>
      </c>
      <c r="W31" s="155" t="e">
        <f t="shared" si="71"/>
        <v>#REF!</v>
      </c>
      <c r="X31" s="155" t="e">
        <f t="shared" si="71"/>
        <v>#REF!</v>
      </c>
      <c r="Y31" s="160" t="str">
        <f>IFERROR(W31/X31*100,"")</f>
        <v/>
      </c>
      <c r="Z31" s="161"/>
      <c r="AA31" s="138"/>
      <c r="AL31" s="128" t="e">
        <f>AK30/AL30*100</f>
        <v>#REF!</v>
      </c>
    </row>
    <row r="32" spans="1:40" ht="16.5" x14ac:dyDescent="0.35">
      <c r="B32" s="115" t="s">
        <v>107</v>
      </c>
      <c r="T32" s="117" t="s">
        <v>199</v>
      </c>
      <c r="U32" s="117" t="s">
        <v>200</v>
      </c>
      <c r="V32" s="117" t="s">
        <v>201</v>
      </c>
    </row>
    <row r="33" spans="1:27" ht="13" x14ac:dyDescent="0.3">
      <c r="A33" s="116" t="s">
        <v>1</v>
      </c>
      <c r="B33" s="116" t="s">
        <v>4</v>
      </c>
      <c r="C33" s="116" t="s">
        <v>5</v>
      </c>
      <c r="D33" s="116" t="s">
        <v>6</v>
      </c>
      <c r="E33" s="116" t="s">
        <v>7</v>
      </c>
      <c r="F33" s="116" t="s">
        <v>8</v>
      </c>
      <c r="G33" s="116" t="s">
        <v>9</v>
      </c>
      <c r="H33" s="116" t="s">
        <v>10</v>
      </c>
      <c r="I33" s="116" t="s">
        <v>11</v>
      </c>
      <c r="J33" s="116" t="s">
        <v>12</v>
      </c>
      <c r="K33" s="116" t="s">
        <v>13</v>
      </c>
      <c r="L33" s="116" t="s">
        <v>14</v>
      </c>
      <c r="M33" s="116" t="s">
        <v>15</v>
      </c>
      <c r="N33" s="116" t="s">
        <v>175</v>
      </c>
      <c r="O33" s="1">
        <v>1</v>
      </c>
      <c r="P33" s="117" t="s">
        <v>176</v>
      </c>
      <c r="Q33" s="117" t="s">
        <v>177</v>
      </c>
      <c r="R33" s="117" t="s">
        <v>178</v>
      </c>
      <c r="S33" s="117" t="s">
        <v>179</v>
      </c>
      <c r="T33" s="118" t="s">
        <v>180</v>
      </c>
      <c r="U33" s="117" t="s">
        <v>181</v>
      </c>
      <c r="V33" s="117" t="s">
        <v>182</v>
      </c>
      <c r="W33" s="117" t="s">
        <v>130</v>
      </c>
      <c r="X33" s="117" t="s">
        <v>129</v>
      </c>
      <c r="Y33" s="117" t="s">
        <v>183</v>
      </c>
      <c r="Z33" s="119" t="s">
        <v>184</v>
      </c>
    </row>
    <row r="34" spans="1:27" ht="13" x14ac:dyDescent="0.3">
      <c r="A34" s="121" t="s">
        <v>145</v>
      </c>
      <c r="B34" s="162" t="e">
        <f>VLOOKUP(B$2,#REF!,55,)</f>
        <v>#REF!</v>
      </c>
      <c r="C34" s="162" t="e">
        <f>VLOOKUP(C$2,#REF!,55,)</f>
        <v>#REF!</v>
      </c>
      <c r="D34" s="162" t="e">
        <f>VLOOKUP(D$2,#REF!,55,)</f>
        <v>#REF!</v>
      </c>
      <c r="E34" s="162" t="e">
        <f>VLOOKUP(E$2,#REF!,55,)</f>
        <v>#REF!</v>
      </c>
      <c r="F34" s="162" t="e">
        <f>VLOOKUP(F$2,#REF!,55,)</f>
        <v>#REF!</v>
      </c>
      <c r="G34" s="162" t="e">
        <f>VLOOKUP(G$2,#REF!,55,)</f>
        <v>#REF!</v>
      </c>
      <c r="H34" s="162" t="e">
        <f>VLOOKUP(H$2,#REF!,55,)</f>
        <v>#REF!</v>
      </c>
      <c r="I34" s="162" t="e">
        <f>VLOOKUP(I$2,#REF!,55,)</f>
        <v>#REF!</v>
      </c>
      <c r="J34" s="162" t="e">
        <f>VLOOKUP(J$2,#REF!,55,)</f>
        <v>#REF!</v>
      </c>
      <c r="K34" s="162" t="e">
        <f>VLOOKUP(K$2,#REF!,55,)</f>
        <v>#REF!</v>
      </c>
      <c r="L34" s="162" t="e">
        <f>VLOOKUP(L$2,#REF!,55,)</f>
        <v>#REF!</v>
      </c>
      <c r="M34" s="162" t="e">
        <f>VLOOKUP(M$2,#REF!,55,)</f>
        <v>#REF!</v>
      </c>
      <c r="N34" s="123">
        <f>RKAP!$BC$17</f>
        <v>87.6</v>
      </c>
      <c r="O34" s="1">
        <v>2</v>
      </c>
      <c r="P34" s="128"/>
      <c r="S34" s="124" t="str">
        <f t="shared" ref="S34:S60" si="72">IF(P34="","",P34/100*R34)</f>
        <v/>
      </c>
      <c r="T34" s="125"/>
      <c r="V34" s="126" t="str">
        <f>IF(U34="","",U34*(1-$T$31))</f>
        <v/>
      </c>
      <c r="W34" s="127" t="e">
        <f t="shared" ref="W34:X34" si="73">SUM(W35:W41)</f>
        <v>#REF!</v>
      </c>
      <c r="X34" s="127" t="e">
        <f t="shared" si="73"/>
        <v>#REF!</v>
      </c>
      <c r="Y34" s="128" t="str">
        <f t="shared" ref="Y34:Y60" si="74">IFERROR(W34/X34*100,"")</f>
        <v/>
      </c>
      <c r="Z34" s="128" t="e">
        <f t="shared" ref="Z34:Z60" si="75">IF(Y34-HLOOKUP(Q$1,$B$33:$M$61,O34,)=0,"",Y34-HLOOKUP(Q$1,$B$33:$M$61,O34,))</f>
        <v>#VALUE!</v>
      </c>
    </row>
    <row r="35" spans="1:27" ht="12.5" x14ac:dyDescent="0.25">
      <c r="A35" s="1" t="s">
        <v>189</v>
      </c>
      <c r="B35" s="128" t="e">
        <f>VLOOKUP(B$2,#REF!,7,)</f>
        <v>#REF!</v>
      </c>
      <c r="C35" s="128" t="e">
        <f>VLOOKUP(C$2,#REF!,7,)</f>
        <v>#REF!</v>
      </c>
      <c r="D35" s="128" t="e">
        <f>VLOOKUP(D$2,#REF!,7,)</f>
        <v>#REF!</v>
      </c>
      <c r="E35" s="128" t="e">
        <f>VLOOKUP(E$2,#REF!,7,)</f>
        <v>#REF!</v>
      </c>
      <c r="F35" s="128" t="e">
        <f>VLOOKUP(F$2,#REF!,7,)</f>
        <v>#REF!</v>
      </c>
      <c r="G35" s="128" t="e">
        <f>VLOOKUP(G$2,#REF!,7,)</f>
        <v>#REF!</v>
      </c>
      <c r="H35" s="128" t="e">
        <f>VLOOKUP(H$2,#REF!,7,)</f>
        <v>#REF!</v>
      </c>
      <c r="I35" s="128" t="e">
        <f>VLOOKUP(I$2,#REF!,7,)</f>
        <v>#REF!</v>
      </c>
      <c r="J35" s="128" t="e">
        <f>VLOOKUP(J$2,#REF!,7,)</f>
        <v>#REF!</v>
      </c>
      <c r="K35" s="128" t="e">
        <f>VLOOKUP(K$2,#REF!,7,)</f>
        <v>#REF!</v>
      </c>
      <c r="L35" s="128" t="e">
        <f>VLOOKUP(L$2,#REF!,7,)</f>
        <v>#REF!</v>
      </c>
      <c r="M35" s="128" t="e">
        <f>VLOOKUP(M$2,#REF!,7,)</f>
        <v>#REF!</v>
      </c>
      <c r="N35" s="128">
        <f>RKAP!$G$17</f>
        <v>85</v>
      </c>
      <c r="O35" s="1">
        <v>3</v>
      </c>
      <c r="P35" s="128" t="e">
        <f t="shared" ref="P35:P41" si="76">IF(HLOOKUP(Q$1,$B$33:$M$61,O35,)-N35&lt;=0,"",HLOOKUP(Q$1,$B$33:$M$61,O35,)-N35)</f>
        <v>#REF!</v>
      </c>
      <c r="Q35" s="131" t="e">
        <f>VLOOKUP(Q$1,#REF!,3,)</f>
        <v>#REF!</v>
      </c>
      <c r="R35" s="131" t="e">
        <f>VLOOKUP(Q$1,#REF!,5,)</f>
        <v>#REF!</v>
      </c>
      <c r="S35" s="124" t="e">
        <f t="shared" si="72"/>
        <v>#REF!</v>
      </c>
      <c r="T35" s="129" t="s">
        <v>191</v>
      </c>
      <c r="U35" s="131" t="e">
        <f t="shared" ref="U35:U60" si="77">IF(T35="Yes",Q35,"")</f>
        <v>#REF!</v>
      </c>
      <c r="V35" s="126" t="e">
        <f t="shared" ref="V35:V41" si="78">IF(U35="","",U35*(1-$T$62))</f>
        <v>#REF!</v>
      </c>
      <c r="W35" s="131" t="e">
        <f t="shared" ref="W35:W41" si="79">IF(T35="Yes",V35,Q35)</f>
        <v>#REF!</v>
      </c>
      <c r="X35" s="131" t="e">
        <f t="shared" ref="X35:X41" si="80">R35</f>
        <v>#REF!</v>
      </c>
      <c r="Y35" s="128" t="str">
        <f t="shared" si="74"/>
        <v/>
      </c>
      <c r="Z35" s="128" t="e">
        <f t="shared" si="75"/>
        <v>#VALUE!</v>
      </c>
      <c r="AA35" s="163" t="e">
        <f>R35/$R$61*100</f>
        <v>#REF!</v>
      </c>
    </row>
    <row r="36" spans="1:27" ht="12.5" x14ac:dyDescent="0.25">
      <c r="A36" s="1" t="s">
        <v>190</v>
      </c>
      <c r="B36" s="128" t="e">
        <f>VLOOKUP(B$2,#REF!,78,)</f>
        <v>#REF!</v>
      </c>
      <c r="C36" s="128" t="e">
        <f>VLOOKUP(C$2,#REF!,78,)</f>
        <v>#REF!</v>
      </c>
      <c r="D36" s="128" t="e">
        <f>VLOOKUP(D$2,#REF!,78,)</f>
        <v>#REF!</v>
      </c>
      <c r="E36" s="128" t="e">
        <f>VLOOKUP(E$2,#REF!,78,)</f>
        <v>#REF!</v>
      </c>
      <c r="F36" s="128" t="e">
        <f>VLOOKUP(F$2,#REF!,78,)</f>
        <v>#REF!</v>
      </c>
      <c r="G36" s="128" t="e">
        <f>VLOOKUP(G$2,#REF!,78,)</f>
        <v>#REF!</v>
      </c>
      <c r="H36" s="128" t="e">
        <f>VLOOKUP(H$2,#REF!,78,)</f>
        <v>#REF!</v>
      </c>
      <c r="I36" s="128" t="e">
        <f>VLOOKUP(I$2,#REF!,78,)</f>
        <v>#REF!</v>
      </c>
      <c r="J36" s="128" t="e">
        <f>VLOOKUP(J$2,#REF!,78,)</f>
        <v>#REF!</v>
      </c>
      <c r="K36" s="128" t="e">
        <f>VLOOKUP(K$2,#REF!,78,)</f>
        <v>#REF!</v>
      </c>
      <c r="L36" s="128" t="e">
        <f>VLOOKUP(L$2,#REF!,78,)</f>
        <v>#REF!</v>
      </c>
      <c r="M36" s="128" t="e">
        <f>VLOOKUP(M$2,#REF!,78,)</f>
        <v>#REF!</v>
      </c>
      <c r="N36" s="128">
        <f>RKAP!$BZ$17</f>
        <v>95.5</v>
      </c>
      <c r="O36" s="1">
        <v>4</v>
      </c>
      <c r="P36" s="128" t="e">
        <f t="shared" si="76"/>
        <v>#REF!</v>
      </c>
      <c r="Q36" s="131" t="e">
        <f>VLOOKUP(Q$1,#REF!,74,)</f>
        <v>#REF!</v>
      </c>
      <c r="R36" s="131" t="e">
        <f>VLOOKUP(Q$1,#REF!,76,)</f>
        <v>#REF!</v>
      </c>
      <c r="S36" s="124" t="e">
        <f t="shared" si="72"/>
        <v>#REF!</v>
      </c>
      <c r="T36" s="129" t="s">
        <v>191</v>
      </c>
      <c r="U36" s="131" t="e">
        <f t="shared" si="77"/>
        <v>#REF!</v>
      </c>
      <c r="V36" s="126" t="e">
        <f t="shared" si="78"/>
        <v>#REF!</v>
      </c>
      <c r="W36" s="131" t="e">
        <f t="shared" si="79"/>
        <v>#REF!</v>
      </c>
      <c r="X36" s="131" t="e">
        <f t="shared" si="80"/>
        <v>#REF!</v>
      </c>
      <c r="Y36" s="128" t="str">
        <f t="shared" si="74"/>
        <v/>
      </c>
      <c r="Z36" s="128" t="e">
        <f t="shared" si="75"/>
        <v>#VALUE!</v>
      </c>
    </row>
    <row r="37" spans="1:27" ht="12.5" x14ac:dyDescent="0.25">
      <c r="A37" s="1" t="s">
        <v>192</v>
      </c>
      <c r="B37" s="128" t="e">
        <f>VLOOKUP(B$2,#REF!,84,)</f>
        <v>#REF!</v>
      </c>
      <c r="C37" s="128" t="e">
        <f>VLOOKUP(C$2,#REF!,84,)</f>
        <v>#REF!</v>
      </c>
      <c r="D37" s="128" t="e">
        <f>VLOOKUP(D$2,#REF!,84,)</f>
        <v>#REF!</v>
      </c>
      <c r="E37" s="128" t="e">
        <f>VLOOKUP(E$2,#REF!,84,)</f>
        <v>#REF!</v>
      </c>
      <c r="F37" s="128" t="e">
        <f>VLOOKUP(F$2,#REF!,84,)</f>
        <v>#REF!</v>
      </c>
      <c r="G37" s="128" t="e">
        <f>VLOOKUP(G$2,#REF!,84,)</f>
        <v>#REF!</v>
      </c>
      <c r="H37" s="128" t="e">
        <f>VLOOKUP(H$2,#REF!,84,)</f>
        <v>#REF!</v>
      </c>
      <c r="I37" s="128" t="e">
        <f>VLOOKUP(I$2,#REF!,84,)</f>
        <v>#REF!</v>
      </c>
      <c r="J37" s="128" t="e">
        <f>VLOOKUP(J$2,#REF!,84,)</f>
        <v>#REF!</v>
      </c>
      <c r="K37" s="128" t="e">
        <f>VLOOKUP(K$2,#REF!,84,)</f>
        <v>#REF!</v>
      </c>
      <c r="L37" s="128" t="e">
        <f>VLOOKUP(L$2,#REF!,84,)</f>
        <v>#REF!</v>
      </c>
      <c r="M37" s="128" t="e">
        <f>VLOOKUP(M$2,#REF!,84,)</f>
        <v>#REF!</v>
      </c>
      <c r="N37" s="128">
        <f>RKAP!$CF$17</f>
        <v>88.4</v>
      </c>
      <c r="O37" s="1">
        <v>5</v>
      </c>
      <c r="P37" s="128" t="e">
        <f t="shared" si="76"/>
        <v>#REF!</v>
      </c>
      <c r="Q37" s="131" t="e">
        <f>VLOOKUP(Q$1,#REF!,80,)</f>
        <v>#REF!</v>
      </c>
      <c r="R37" s="131" t="e">
        <f>VLOOKUP(Q$1,#REF!,82,)</f>
        <v>#REF!</v>
      </c>
      <c r="S37" s="124" t="e">
        <f t="shared" si="72"/>
        <v>#REF!</v>
      </c>
      <c r="T37" s="129" t="s">
        <v>202</v>
      </c>
      <c r="U37" s="41" t="str">
        <f t="shared" si="77"/>
        <v/>
      </c>
      <c r="V37" s="126" t="str">
        <f t="shared" si="78"/>
        <v/>
      </c>
      <c r="W37" s="131" t="e">
        <f t="shared" si="79"/>
        <v>#REF!</v>
      </c>
      <c r="X37" s="131" t="e">
        <f t="shared" si="80"/>
        <v>#REF!</v>
      </c>
      <c r="Y37" s="128" t="str">
        <f t="shared" si="74"/>
        <v/>
      </c>
      <c r="Z37" s="128" t="e">
        <f t="shared" si="75"/>
        <v>#VALUE!</v>
      </c>
    </row>
    <row r="38" spans="1:27" ht="12.5" x14ac:dyDescent="0.25">
      <c r="A38" s="1" t="s">
        <v>95</v>
      </c>
      <c r="B38" s="128" t="e">
        <f>VLOOKUP(B$2,#REF!,19,)</f>
        <v>#REF!</v>
      </c>
      <c r="C38" s="128" t="e">
        <f>VLOOKUP(C$2,#REF!,19,)</f>
        <v>#REF!</v>
      </c>
      <c r="D38" s="128" t="e">
        <f>VLOOKUP(D$2,#REF!,19,)</f>
        <v>#REF!</v>
      </c>
      <c r="E38" s="128" t="e">
        <f>VLOOKUP(E$2,#REF!,19,)</f>
        <v>#REF!</v>
      </c>
      <c r="F38" s="128" t="e">
        <f>VLOOKUP(F$2,#REF!,19,)</f>
        <v>#REF!</v>
      </c>
      <c r="G38" s="128" t="e">
        <f>VLOOKUP(G$2,#REF!,19,)</f>
        <v>#REF!</v>
      </c>
      <c r="H38" s="128" t="e">
        <f>VLOOKUP(H$2,#REF!,19,)</f>
        <v>#REF!</v>
      </c>
      <c r="I38" s="128" t="e">
        <f>VLOOKUP(I$2,#REF!,19,)</f>
        <v>#REF!</v>
      </c>
      <c r="J38" s="128" t="e">
        <f>VLOOKUP(J$2,#REF!,19,)</f>
        <v>#REF!</v>
      </c>
      <c r="K38" s="128" t="e">
        <f>VLOOKUP(K$2,#REF!,19,)</f>
        <v>#REF!</v>
      </c>
      <c r="L38" s="128" t="e">
        <f>VLOOKUP(L$2,#REF!,19,)</f>
        <v>#REF!</v>
      </c>
      <c r="M38" s="128" t="e">
        <f>VLOOKUP(M$2,#REF!,19,)</f>
        <v>#REF!</v>
      </c>
      <c r="N38" s="128">
        <f>RKAP!$S$17</f>
        <v>88.2</v>
      </c>
      <c r="O38" s="1">
        <v>6</v>
      </c>
      <c r="P38" s="128" t="e">
        <f t="shared" si="76"/>
        <v>#REF!</v>
      </c>
      <c r="Q38" s="131" t="e">
        <f>VLOOKUP(Q$1,#REF!,15,)</f>
        <v>#REF!</v>
      </c>
      <c r="R38" s="131" t="e">
        <f>VLOOKUP(Q$1,#REF!,17,)</f>
        <v>#REF!</v>
      </c>
      <c r="S38" s="124" t="e">
        <f t="shared" si="72"/>
        <v>#REF!</v>
      </c>
      <c r="T38" s="129" t="s">
        <v>191</v>
      </c>
      <c r="U38" s="131" t="e">
        <f t="shared" si="77"/>
        <v>#REF!</v>
      </c>
      <c r="V38" s="126" t="e">
        <f t="shared" si="78"/>
        <v>#REF!</v>
      </c>
      <c r="W38" s="131" t="e">
        <f t="shared" si="79"/>
        <v>#REF!</v>
      </c>
      <c r="X38" s="131" t="e">
        <f t="shared" si="80"/>
        <v>#REF!</v>
      </c>
      <c r="Y38" s="128" t="str">
        <f t="shared" si="74"/>
        <v/>
      </c>
      <c r="Z38" s="128" t="e">
        <f t="shared" si="75"/>
        <v>#VALUE!</v>
      </c>
    </row>
    <row r="39" spans="1:27" ht="12.5" x14ac:dyDescent="0.25">
      <c r="A39" s="1" t="s">
        <v>96</v>
      </c>
      <c r="B39" s="128" t="e">
        <f>VLOOKUP(B$2,#REF!,25,)</f>
        <v>#REF!</v>
      </c>
      <c r="C39" s="128" t="e">
        <f>VLOOKUP(C$2,#REF!,25,)</f>
        <v>#REF!</v>
      </c>
      <c r="D39" s="128" t="e">
        <f>VLOOKUP(D$2,#REF!,25,)</f>
        <v>#REF!</v>
      </c>
      <c r="E39" s="128" t="e">
        <f>VLOOKUP(E$2,#REF!,25,)</f>
        <v>#REF!</v>
      </c>
      <c r="F39" s="128" t="e">
        <f>VLOOKUP(F$2,#REF!,25,)</f>
        <v>#REF!</v>
      </c>
      <c r="G39" s="128" t="e">
        <f>VLOOKUP(G$2,#REF!,25,)</f>
        <v>#REF!</v>
      </c>
      <c r="H39" s="128" t="e">
        <f>VLOOKUP(H$2,#REF!,25,)</f>
        <v>#REF!</v>
      </c>
      <c r="I39" s="128" t="e">
        <f>VLOOKUP(I$2,#REF!,25,)</f>
        <v>#REF!</v>
      </c>
      <c r="J39" s="128" t="e">
        <f>VLOOKUP(J$2,#REF!,25,)</f>
        <v>#REF!</v>
      </c>
      <c r="K39" s="128" t="e">
        <f>VLOOKUP(K$2,#REF!,25,)</f>
        <v>#REF!</v>
      </c>
      <c r="L39" s="128" t="e">
        <f>VLOOKUP(L$2,#REF!,25,)</f>
        <v>#REF!</v>
      </c>
      <c r="M39" s="128" t="e">
        <f>VLOOKUP(M$2,#REF!,25,)</f>
        <v>#REF!</v>
      </c>
      <c r="N39" s="128">
        <f>RKAP!$Y$17</f>
        <v>96.4</v>
      </c>
      <c r="O39" s="1">
        <v>7</v>
      </c>
      <c r="P39" s="128" t="e">
        <f t="shared" si="76"/>
        <v>#REF!</v>
      </c>
      <c r="Q39" s="131" t="e">
        <f>VLOOKUP(Q$1,#REF!,21,)</f>
        <v>#REF!</v>
      </c>
      <c r="R39" s="131" t="e">
        <f>VLOOKUP(Q$1,#REF!,23,)</f>
        <v>#REF!</v>
      </c>
      <c r="S39" s="124" t="e">
        <f t="shared" si="72"/>
        <v>#REF!</v>
      </c>
      <c r="T39" s="129" t="s">
        <v>191</v>
      </c>
      <c r="U39" s="131" t="e">
        <f t="shared" si="77"/>
        <v>#REF!</v>
      </c>
      <c r="V39" s="126" t="e">
        <f t="shared" si="78"/>
        <v>#REF!</v>
      </c>
      <c r="W39" s="131" t="e">
        <f t="shared" si="79"/>
        <v>#REF!</v>
      </c>
      <c r="X39" s="131" t="e">
        <f t="shared" si="80"/>
        <v>#REF!</v>
      </c>
      <c r="Y39" s="128" t="str">
        <f t="shared" si="74"/>
        <v/>
      </c>
      <c r="Z39" s="128" t="e">
        <f t="shared" si="75"/>
        <v>#VALUE!</v>
      </c>
    </row>
    <row r="40" spans="1:27" ht="12.5" x14ac:dyDescent="0.25">
      <c r="A40" s="1" t="s">
        <v>97</v>
      </c>
      <c r="B40" s="128" t="e">
        <f>VLOOKUP(B$2,#REF!,31,)</f>
        <v>#REF!</v>
      </c>
      <c r="C40" s="128" t="e">
        <f>VLOOKUP(C$2,#REF!,31,)</f>
        <v>#REF!</v>
      </c>
      <c r="D40" s="128" t="e">
        <f>VLOOKUP(D$2,#REF!,31,)</f>
        <v>#REF!</v>
      </c>
      <c r="E40" s="128" t="e">
        <f>VLOOKUP(E$2,#REF!,31,)</f>
        <v>#REF!</v>
      </c>
      <c r="F40" s="128" t="e">
        <f>VLOOKUP(F$2,#REF!,31,)</f>
        <v>#REF!</v>
      </c>
      <c r="G40" s="128" t="e">
        <f>VLOOKUP(G$2,#REF!,31,)</f>
        <v>#REF!</v>
      </c>
      <c r="H40" s="128" t="e">
        <f>VLOOKUP(H$2,#REF!,31,)</f>
        <v>#REF!</v>
      </c>
      <c r="I40" s="128" t="e">
        <f>VLOOKUP(I$2,#REF!,31,)</f>
        <v>#REF!</v>
      </c>
      <c r="J40" s="128" t="e">
        <f>VLOOKUP(J$2,#REF!,31,)</f>
        <v>#REF!</v>
      </c>
      <c r="K40" s="128" t="e">
        <f>VLOOKUP(K$2,#REF!,31,)</f>
        <v>#REF!</v>
      </c>
      <c r="L40" s="128" t="e">
        <f>VLOOKUP(L$2,#REF!,31,)</f>
        <v>#REF!</v>
      </c>
      <c r="M40" s="128" t="e">
        <f>VLOOKUP(M$2,#REF!,31,)</f>
        <v>#REF!</v>
      </c>
      <c r="N40" s="128">
        <f>RKAP!$AE$17</f>
        <v>93.8</v>
      </c>
      <c r="O40" s="1">
        <v>8</v>
      </c>
      <c r="P40" s="128" t="e">
        <f t="shared" si="76"/>
        <v>#REF!</v>
      </c>
      <c r="Q40" s="131" t="e">
        <f>VLOOKUP(Q$1,#REF!,27,)</f>
        <v>#REF!</v>
      </c>
      <c r="R40" s="131" t="e">
        <f>VLOOKUP(Q$1,#REF!,29,)</f>
        <v>#REF!</v>
      </c>
      <c r="S40" s="124" t="e">
        <f t="shared" si="72"/>
        <v>#REF!</v>
      </c>
      <c r="T40" s="129" t="s">
        <v>191</v>
      </c>
      <c r="U40" s="131" t="e">
        <f t="shared" si="77"/>
        <v>#REF!</v>
      </c>
      <c r="V40" s="126" t="e">
        <f t="shared" si="78"/>
        <v>#REF!</v>
      </c>
      <c r="W40" s="131" t="e">
        <f t="shared" si="79"/>
        <v>#REF!</v>
      </c>
      <c r="X40" s="131" t="e">
        <f t="shared" si="80"/>
        <v>#REF!</v>
      </c>
      <c r="Y40" s="128" t="str">
        <f t="shared" si="74"/>
        <v/>
      </c>
      <c r="Z40" s="128" t="e">
        <f t="shared" si="75"/>
        <v>#VALUE!</v>
      </c>
    </row>
    <row r="41" spans="1:27" ht="12.5" x14ac:dyDescent="0.25">
      <c r="A41" s="1" t="s">
        <v>98</v>
      </c>
      <c r="B41" s="128" t="e">
        <f>VLOOKUP(B$2,#REF!,37,)</f>
        <v>#REF!</v>
      </c>
      <c r="C41" s="128" t="e">
        <f>VLOOKUP(C$2,#REF!,37,)</f>
        <v>#REF!</v>
      </c>
      <c r="D41" s="128" t="e">
        <f>VLOOKUP(D$2,#REF!,37,)</f>
        <v>#REF!</v>
      </c>
      <c r="E41" s="128" t="e">
        <f>VLOOKUP(E$2,#REF!,37,)</f>
        <v>#REF!</v>
      </c>
      <c r="F41" s="128" t="e">
        <f>VLOOKUP(F$2,#REF!,37,)</f>
        <v>#REF!</v>
      </c>
      <c r="G41" s="128" t="e">
        <f>VLOOKUP(G$2,#REF!,37,)</f>
        <v>#REF!</v>
      </c>
      <c r="H41" s="128" t="e">
        <f>VLOOKUP(H$2,#REF!,37,)</f>
        <v>#REF!</v>
      </c>
      <c r="I41" s="128" t="e">
        <f>VLOOKUP(I$2,#REF!,37,)</f>
        <v>#REF!</v>
      </c>
      <c r="J41" s="128" t="e">
        <f>VLOOKUP(J$2,#REF!,37,)</f>
        <v>#REF!</v>
      </c>
      <c r="K41" s="128" t="e">
        <f>VLOOKUP(K$2,#REF!,37,)</f>
        <v>#REF!</v>
      </c>
      <c r="L41" s="128" t="e">
        <f>VLOOKUP(L$2,#REF!,37,)</f>
        <v>#REF!</v>
      </c>
      <c r="M41" s="128" t="e">
        <f>VLOOKUP(M$2,#REF!,37,)</f>
        <v>#REF!</v>
      </c>
      <c r="N41" s="128">
        <f>RKAP!$AK$17</f>
        <v>70</v>
      </c>
      <c r="O41" s="1">
        <v>9</v>
      </c>
      <c r="P41" s="128" t="e">
        <f t="shared" si="76"/>
        <v>#REF!</v>
      </c>
      <c r="Q41" s="131" t="e">
        <f>VLOOKUP(Q$1,#REF!,33,)</f>
        <v>#REF!</v>
      </c>
      <c r="R41" s="131" t="e">
        <f>VLOOKUP(Q$1,#REF!,35,)</f>
        <v>#REF!</v>
      </c>
      <c r="S41" s="124" t="e">
        <f t="shared" si="72"/>
        <v>#REF!</v>
      </c>
      <c r="T41" s="129" t="s">
        <v>191</v>
      </c>
      <c r="U41" s="131" t="e">
        <f t="shared" si="77"/>
        <v>#REF!</v>
      </c>
      <c r="V41" s="126" t="e">
        <f t="shared" si="78"/>
        <v>#REF!</v>
      </c>
      <c r="W41" s="131" t="e">
        <f t="shared" si="79"/>
        <v>#REF!</v>
      </c>
      <c r="X41" s="131" t="e">
        <f t="shared" si="80"/>
        <v>#REF!</v>
      </c>
      <c r="Y41" s="128" t="str">
        <f t="shared" si="74"/>
        <v/>
      </c>
      <c r="Z41" s="128" t="e">
        <f t="shared" si="75"/>
        <v>#VALUE!</v>
      </c>
    </row>
    <row r="42" spans="1:27" ht="13" x14ac:dyDescent="0.3">
      <c r="A42" s="121" t="s">
        <v>146</v>
      </c>
      <c r="B42" s="162" t="e">
        <f>VLOOKUP(B$2,#REF!,31,)</f>
        <v>#REF!</v>
      </c>
      <c r="C42" s="162" t="e">
        <f>VLOOKUP(C$2,#REF!,31,)</f>
        <v>#REF!</v>
      </c>
      <c r="D42" s="162" t="e">
        <f>VLOOKUP(D$2,#REF!,31,)</f>
        <v>#REF!</v>
      </c>
      <c r="E42" s="162" t="e">
        <f>VLOOKUP(E$2,#REF!,31,)</f>
        <v>#REF!</v>
      </c>
      <c r="F42" s="162" t="e">
        <f>VLOOKUP(F$2,#REF!,31,)</f>
        <v>#REF!</v>
      </c>
      <c r="G42" s="162" t="e">
        <f>VLOOKUP(G$2,#REF!,31,)</f>
        <v>#REF!</v>
      </c>
      <c r="H42" s="162" t="e">
        <f>VLOOKUP(H$2,#REF!,31,)</f>
        <v>#REF!</v>
      </c>
      <c r="I42" s="162" t="e">
        <f>VLOOKUP(I$2,#REF!,31,)</f>
        <v>#REF!</v>
      </c>
      <c r="J42" s="162" t="e">
        <f>VLOOKUP(J$2,#REF!,31,)</f>
        <v>#REF!</v>
      </c>
      <c r="K42" s="162" t="e">
        <f>VLOOKUP(K$2,#REF!,31,)</f>
        <v>#REF!</v>
      </c>
      <c r="L42" s="162" t="e">
        <f>VLOOKUP(L$2,#REF!,31,)</f>
        <v>#REF!</v>
      </c>
      <c r="M42" s="162" t="e">
        <f>VLOOKUP(M$2,#REF!,31,)</f>
        <v>#REF!</v>
      </c>
      <c r="N42" s="123">
        <f>RKAP!$AE$34</f>
        <v>58.61</v>
      </c>
      <c r="O42" s="1">
        <v>10</v>
      </c>
      <c r="P42" s="128"/>
      <c r="S42" s="124" t="str">
        <f t="shared" si="72"/>
        <v/>
      </c>
      <c r="T42" s="125"/>
      <c r="U42" s="41" t="str">
        <f t="shared" si="77"/>
        <v/>
      </c>
      <c r="V42" s="126" t="str">
        <f>IF(U42="","",U42*(1-$T$31))</f>
        <v/>
      </c>
      <c r="W42" s="127" t="e">
        <f t="shared" ref="W42:X42" si="81">SUM(W43:W45)</f>
        <v>#REF!</v>
      </c>
      <c r="X42" s="127" t="e">
        <f t="shared" si="81"/>
        <v>#REF!</v>
      </c>
      <c r="Y42" s="128" t="str">
        <f t="shared" si="74"/>
        <v/>
      </c>
      <c r="Z42" s="128" t="e">
        <f t="shared" si="75"/>
        <v>#VALUE!</v>
      </c>
    </row>
    <row r="43" spans="1:27" ht="12.5" x14ac:dyDescent="0.25">
      <c r="A43" s="1" t="s">
        <v>193</v>
      </c>
      <c r="B43" s="128" t="e">
        <f>VLOOKUP(B$2,#REF!,7,)</f>
        <v>#REF!</v>
      </c>
      <c r="C43" s="128" t="e">
        <f>VLOOKUP(C$2,#REF!,7,)</f>
        <v>#REF!</v>
      </c>
      <c r="D43" s="128" t="e">
        <f>VLOOKUP(D$2,#REF!,7,)</f>
        <v>#REF!</v>
      </c>
      <c r="E43" s="128" t="e">
        <f>VLOOKUP(E$2,#REF!,7,)</f>
        <v>#REF!</v>
      </c>
      <c r="F43" s="128" t="e">
        <f>VLOOKUP(F$2,#REF!,7,)</f>
        <v>#REF!</v>
      </c>
      <c r="G43" s="128" t="e">
        <f>VLOOKUP(G$2,#REF!,7,)</f>
        <v>#REF!</v>
      </c>
      <c r="H43" s="128" t="e">
        <f>VLOOKUP(H$2,#REF!,7,)</f>
        <v>#REF!</v>
      </c>
      <c r="I43" s="128" t="e">
        <f>VLOOKUP(I$2,#REF!,7,)</f>
        <v>#REF!</v>
      </c>
      <c r="J43" s="128" t="e">
        <f>VLOOKUP(J$2,#REF!,7,)</f>
        <v>#REF!</v>
      </c>
      <c r="K43" s="128" t="e">
        <f>VLOOKUP(K$2,#REF!,7,)</f>
        <v>#REF!</v>
      </c>
      <c r="L43" s="128" t="e">
        <f>VLOOKUP(L$2,#REF!,7,)</f>
        <v>#REF!</v>
      </c>
      <c r="M43" s="128" t="e">
        <f>VLOOKUP(M$2,#REF!,7,)</f>
        <v>#REF!</v>
      </c>
      <c r="N43" s="128">
        <f>RKAP!$G$34</f>
        <v>58</v>
      </c>
      <c r="O43" s="1">
        <v>11</v>
      </c>
      <c r="P43" s="128" t="e">
        <f t="shared" ref="P43:P46" si="82">IF(HLOOKUP(Q$1,$B$33:$M$61,O43,)-N43&lt;=0,"",HLOOKUP(Q$1,$B$33:$M$61,O43,)-N43)</f>
        <v>#REF!</v>
      </c>
      <c r="Q43" s="131" t="e">
        <f>VLOOKUP(Q$1,#REF!,3,)</f>
        <v>#REF!</v>
      </c>
      <c r="R43" s="131" t="e">
        <f>VLOOKUP(Q$1,#REF!,5,)</f>
        <v>#REF!</v>
      </c>
      <c r="S43" s="124" t="e">
        <f t="shared" si="72"/>
        <v>#REF!</v>
      </c>
      <c r="T43" s="129" t="s">
        <v>191</v>
      </c>
      <c r="U43" s="131" t="e">
        <f t="shared" si="77"/>
        <v>#REF!</v>
      </c>
      <c r="V43" s="126" t="e">
        <f t="shared" ref="V43:V46" si="83">IF(U43="","",U43*(1-$T$62))</f>
        <v>#REF!</v>
      </c>
      <c r="W43" s="131" t="e">
        <f t="shared" ref="W43:W46" si="84">IF(T43="Yes",V43,Q43)</f>
        <v>#REF!</v>
      </c>
      <c r="X43" s="131" t="e">
        <f t="shared" ref="X43:X46" si="85">R43</f>
        <v>#REF!</v>
      </c>
      <c r="Y43" s="128" t="str">
        <f t="shared" si="74"/>
        <v/>
      </c>
      <c r="Z43" s="128" t="e">
        <f t="shared" si="75"/>
        <v>#VALUE!</v>
      </c>
    </row>
    <row r="44" spans="1:27" ht="12.5" x14ac:dyDescent="0.25">
      <c r="A44" s="1" t="s">
        <v>95</v>
      </c>
      <c r="B44" s="128" t="e">
        <f>VLOOKUP(B$2,#REF!,13,)</f>
        <v>#REF!</v>
      </c>
      <c r="C44" s="128" t="e">
        <f>VLOOKUP(C$2,#REF!,13,)</f>
        <v>#REF!</v>
      </c>
      <c r="D44" s="128" t="e">
        <f>VLOOKUP(D$2,#REF!,13,)</f>
        <v>#REF!</v>
      </c>
      <c r="E44" s="128" t="e">
        <f>VLOOKUP(E$2,#REF!,13,)</f>
        <v>#REF!</v>
      </c>
      <c r="F44" s="128" t="e">
        <f>VLOOKUP(F$2,#REF!,13,)</f>
        <v>#REF!</v>
      </c>
      <c r="G44" s="128" t="e">
        <f>VLOOKUP(G$2,#REF!,13,)</f>
        <v>#REF!</v>
      </c>
      <c r="H44" s="128" t="e">
        <f>VLOOKUP(H$2,#REF!,13,)</f>
        <v>#REF!</v>
      </c>
      <c r="I44" s="128" t="e">
        <f>VLOOKUP(I$2,#REF!,13,)</f>
        <v>#REF!</v>
      </c>
      <c r="J44" s="128" t="e">
        <f>VLOOKUP(J$2,#REF!,13,)</f>
        <v>#REF!</v>
      </c>
      <c r="K44" s="128" t="e">
        <f>VLOOKUP(K$2,#REF!,13,)</f>
        <v>#REF!</v>
      </c>
      <c r="L44" s="128" t="e">
        <f>VLOOKUP(L$2,#REF!,13,)</f>
        <v>#REF!</v>
      </c>
      <c r="M44" s="128" t="e">
        <f>VLOOKUP(M$2,#REF!,13,)</f>
        <v>#REF!</v>
      </c>
      <c r="N44" s="128">
        <f>RKAP!$M$34</f>
        <v>91.12</v>
      </c>
      <c r="O44" s="1">
        <v>12</v>
      </c>
      <c r="P44" s="128" t="e">
        <f t="shared" si="82"/>
        <v>#REF!</v>
      </c>
      <c r="Q44" s="131" t="e">
        <f>VLOOKUP(Q$1,#REF!,9,)</f>
        <v>#REF!</v>
      </c>
      <c r="R44" s="131" t="e">
        <f>VLOOKUP(Q$1,#REF!,11,)</f>
        <v>#REF!</v>
      </c>
      <c r="S44" s="124" t="e">
        <f t="shared" si="72"/>
        <v>#REF!</v>
      </c>
      <c r="T44" s="129" t="s">
        <v>191</v>
      </c>
      <c r="U44" s="131" t="e">
        <f t="shared" si="77"/>
        <v>#REF!</v>
      </c>
      <c r="V44" s="126" t="e">
        <f t="shared" si="83"/>
        <v>#REF!</v>
      </c>
      <c r="W44" s="131" t="e">
        <f t="shared" si="84"/>
        <v>#REF!</v>
      </c>
      <c r="X44" s="131" t="e">
        <f t="shared" si="85"/>
        <v>#REF!</v>
      </c>
      <c r="Y44" s="128" t="str">
        <f t="shared" si="74"/>
        <v/>
      </c>
      <c r="Z44" s="128" t="e">
        <f t="shared" si="75"/>
        <v>#VALUE!</v>
      </c>
    </row>
    <row r="45" spans="1:27" ht="12.5" x14ac:dyDescent="0.25">
      <c r="A45" s="1" t="s">
        <v>98</v>
      </c>
      <c r="B45" s="128" t="e">
        <f>VLOOKUP(B$2,#REF!,37,)</f>
        <v>#REF!</v>
      </c>
      <c r="C45" s="128" t="e">
        <f>VLOOKUP(C$2,#REF!,37,)</f>
        <v>#REF!</v>
      </c>
      <c r="D45" s="128" t="e">
        <f>VLOOKUP(D$2,#REF!,37,)</f>
        <v>#REF!</v>
      </c>
      <c r="E45" s="128" t="e">
        <f>VLOOKUP(E$2,#REF!,37,)</f>
        <v>#REF!</v>
      </c>
      <c r="F45" s="128" t="e">
        <f>VLOOKUP(F$2,#REF!,37,)</f>
        <v>#REF!</v>
      </c>
      <c r="G45" s="128" t="e">
        <f>VLOOKUP(G$2,#REF!,37,)</f>
        <v>#REF!</v>
      </c>
      <c r="H45" s="128" t="e">
        <f>VLOOKUP(H$2,#REF!,37,)</f>
        <v>#REF!</v>
      </c>
      <c r="I45" s="128" t="e">
        <f>VLOOKUP(I$2,#REF!,37,)</f>
        <v>#REF!</v>
      </c>
      <c r="J45" s="128" t="e">
        <f>VLOOKUP(J$2,#REF!,37,)</f>
        <v>#REF!</v>
      </c>
      <c r="K45" s="128" t="e">
        <f>VLOOKUP(K$2,#REF!,37,)</f>
        <v>#REF!</v>
      </c>
      <c r="L45" s="128" t="e">
        <f>VLOOKUP(L$2,#REF!,37,)</f>
        <v>#REF!</v>
      </c>
      <c r="M45" s="128" t="e">
        <f>VLOOKUP(M$2,#REF!,37,)</f>
        <v>#REF!</v>
      </c>
      <c r="N45" s="146">
        <f>N14</f>
        <v>70</v>
      </c>
      <c r="O45" s="1">
        <v>13</v>
      </c>
      <c r="P45" s="128" t="e">
        <f t="shared" si="82"/>
        <v>#REF!</v>
      </c>
      <c r="Q45" s="131" t="e">
        <f>VLOOKUP(Q$1,#REF!,33,)</f>
        <v>#REF!</v>
      </c>
      <c r="R45" s="131" t="e">
        <f>VLOOKUP(Q$1,#REF!,35,)</f>
        <v>#REF!</v>
      </c>
      <c r="S45" s="124" t="e">
        <f t="shared" si="72"/>
        <v>#REF!</v>
      </c>
      <c r="T45" s="129" t="s">
        <v>191</v>
      </c>
      <c r="U45" s="131" t="e">
        <f t="shared" si="77"/>
        <v>#REF!</v>
      </c>
      <c r="V45" s="126" t="e">
        <f t="shared" si="83"/>
        <v>#REF!</v>
      </c>
      <c r="W45" s="131" t="e">
        <f t="shared" si="84"/>
        <v>#REF!</v>
      </c>
      <c r="X45" s="131" t="e">
        <f t="shared" si="85"/>
        <v>#REF!</v>
      </c>
      <c r="Y45" s="128" t="str">
        <f t="shared" si="74"/>
        <v/>
      </c>
      <c r="Z45" s="128" t="e">
        <f t="shared" si="75"/>
        <v>#VALUE!</v>
      </c>
    </row>
    <row r="46" spans="1:27" ht="13" x14ac:dyDescent="0.3">
      <c r="A46" s="121" t="s">
        <v>194</v>
      </c>
      <c r="B46" s="162" t="e">
        <f>VLOOKUP(B$2,#REF!,7,)</f>
        <v>#REF!</v>
      </c>
      <c r="C46" s="162" t="e">
        <f>VLOOKUP(C$2,#REF!,7,)</f>
        <v>#REF!</v>
      </c>
      <c r="D46" s="162" t="e">
        <f>VLOOKUP(D$2,#REF!,7,)</f>
        <v>#REF!</v>
      </c>
      <c r="E46" s="162" t="e">
        <f>VLOOKUP(E$2,#REF!,7,)</f>
        <v>#REF!</v>
      </c>
      <c r="F46" s="162" t="e">
        <f>VLOOKUP(F$2,#REF!,7,)</f>
        <v>#REF!</v>
      </c>
      <c r="G46" s="162" t="e">
        <f>VLOOKUP(G$2,#REF!,7,)</f>
        <v>#REF!</v>
      </c>
      <c r="H46" s="162" t="e">
        <f>VLOOKUP(H$2,#REF!,7,)</f>
        <v>#REF!</v>
      </c>
      <c r="I46" s="162" t="e">
        <f>VLOOKUP(I$2,#REF!,7,)</f>
        <v>#REF!</v>
      </c>
      <c r="J46" s="162" t="e">
        <f>VLOOKUP(J$2,#REF!,7,)</f>
        <v>#REF!</v>
      </c>
      <c r="K46" s="162" t="e">
        <f>VLOOKUP(K$2,#REF!,7,)</f>
        <v>#REF!</v>
      </c>
      <c r="L46" s="162" t="e">
        <f>VLOOKUP(L$2,#REF!,7,)</f>
        <v>#REF!</v>
      </c>
      <c r="M46" s="162" t="e">
        <f>VLOOKUP(M$2,#REF!,7,)</f>
        <v>#REF!</v>
      </c>
      <c r="N46" s="123">
        <f>RKAP!$G$51</f>
        <v>58</v>
      </c>
      <c r="O46" s="1">
        <v>14</v>
      </c>
      <c r="P46" s="128" t="e">
        <f t="shared" si="82"/>
        <v>#REF!</v>
      </c>
      <c r="Q46" s="131" t="e">
        <f>VLOOKUP(Q$1,#REF!,3,)</f>
        <v>#REF!</v>
      </c>
      <c r="R46" s="131" t="e">
        <f>VLOOKUP(Q$1,#REF!,5,)</f>
        <v>#REF!</v>
      </c>
      <c r="S46" s="124" t="e">
        <f t="shared" si="72"/>
        <v>#REF!</v>
      </c>
      <c r="T46" s="129" t="s">
        <v>191</v>
      </c>
      <c r="U46" s="131" t="e">
        <f t="shared" si="77"/>
        <v>#REF!</v>
      </c>
      <c r="V46" s="126" t="e">
        <f t="shared" si="83"/>
        <v>#REF!</v>
      </c>
      <c r="W46" s="127" t="e">
        <f t="shared" si="84"/>
        <v>#REF!</v>
      </c>
      <c r="X46" s="127" t="e">
        <f t="shared" si="85"/>
        <v>#REF!</v>
      </c>
      <c r="Y46" s="128" t="str">
        <f t="shared" si="74"/>
        <v/>
      </c>
      <c r="Z46" s="128" t="e">
        <f t="shared" si="75"/>
        <v>#VALUE!</v>
      </c>
    </row>
    <row r="47" spans="1:27" ht="13" x14ac:dyDescent="0.3">
      <c r="A47" s="121" t="s">
        <v>148</v>
      </c>
      <c r="B47" s="162" t="e">
        <f>VLOOKUP(B$2,#REF!,31,)</f>
        <v>#REF!</v>
      </c>
      <c r="C47" s="162" t="e">
        <f>VLOOKUP(C$2,#REF!,31,)</f>
        <v>#REF!</v>
      </c>
      <c r="D47" s="162" t="e">
        <f>VLOOKUP(D$2,#REF!,31,)</f>
        <v>#REF!</v>
      </c>
      <c r="E47" s="162" t="e">
        <f>VLOOKUP(E$2,#REF!,31,)</f>
        <v>#REF!</v>
      </c>
      <c r="F47" s="162" t="e">
        <f>VLOOKUP(F$2,#REF!,31,)</f>
        <v>#REF!</v>
      </c>
      <c r="G47" s="162" t="e">
        <f>VLOOKUP(G$2,#REF!,31,)</f>
        <v>#REF!</v>
      </c>
      <c r="H47" s="162" t="e">
        <f>VLOOKUP(H$2,#REF!,31,)</f>
        <v>#REF!</v>
      </c>
      <c r="I47" s="162" t="e">
        <f>VLOOKUP(I$2,#REF!,31,)</f>
        <v>#REF!</v>
      </c>
      <c r="J47" s="162" t="e">
        <f>VLOOKUP(J$2,#REF!,31,)</f>
        <v>#REF!</v>
      </c>
      <c r="K47" s="162" t="e">
        <f>VLOOKUP(K$2,#REF!,31,)</f>
        <v>#REF!</v>
      </c>
      <c r="L47" s="162" t="e">
        <f>VLOOKUP(L$2,#REF!,31,)</f>
        <v>#REF!</v>
      </c>
      <c r="M47" s="162" t="e">
        <f>VLOOKUP(M$2,#REF!,31,)</f>
        <v>#REF!</v>
      </c>
      <c r="N47" s="123">
        <f>RKAP!$AE$68</f>
        <v>89.81</v>
      </c>
      <c r="O47" s="1">
        <v>15</v>
      </c>
      <c r="P47" s="128"/>
      <c r="S47" s="124" t="str">
        <f t="shared" si="72"/>
        <v/>
      </c>
      <c r="T47" s="125"/>
      <c r="U47" s="41" t="str">
        <f t="shared" si="77"/>
        <v/>
      </c>
      <c r="V47" s="126" t="str">
        <f>IF(U47="","",U47*(1-$T$31))</f>
        <v/>
      </c>
      <c r="W47" s="127" t="e">
        <f t="shared" ref="W47:X47" si="86">SUM(W48:W51)</f>
        <v>#REF!</v>
      </c>
      <c r="X47" s="127" t="e">
        <f t="shared" si="86"/>
        <v>#REF!</v>
      </c>
      <c r="Y47" s="128" t="str">
        <f t="shared" si="74"/>
        <v/>
      </c>
      <c r="Z47" s="128" t="e">
        <f t="shared" si="75"/>
        <v>#VALUE!</v>
      </c>
    </row>
    <row r="48" spans="1:27" ht="12.5" x14ac:dyDescent="0.25">
      <c r="A48" s="1" t="s">
        <v>189</v>
      </c>
      <c r="B48" s="128" t="e">
        <f>VLOOKUP(B$2,#REF!,7,)</f>
        <v>#REF!</v>
      </c>
      <c r="C48" s="128" t="e">
        <f>VLOOKUP(C$2,#REF!,7,)</f>
        <v>#REF!</v>
      </c>
      <c r="D48" s="128" t="e">
        <f>VLOOKUP(D$2,#REF!,7,)</f>
        <v>#REF!</v>
      </c>
      <c r="E48" s="128" t="e">
        <f>VLOOKUP(E$2,#REF!,7,)</f>
        <v>#REF!</v>
      </c>
      <c r="F48" s="128" t="e">
        <f>VLOOKUP(F$2,#REF!,7,)</f>
        <v>#REF!</v>
      </c>
      <c r="G48" s="128" t="e">
        <f>VLOOKUP(G$2,#REF!,7,)</f>
        <v>#REF!</v>
      </c>
      <c r="H48" s="128" t="e">
        <f>VLOOKUP(H$2,#REF!,7,)</f>
        <v>#REF!</v>
      </c>
      <c r="I48" s="128" t="e">
        <f>VLOOKUP(I$2,#REF!,7,)</f>
        <v>#REF!</v>
      </c>
      <c r="J48" s="128" t="e">
        <f>VLOOKUP(J$2,#REF!,7,)</f>
        <v>#REF!</v>
      </c>
      <c r="K48" s="128" t="e">
        <f>VLOOKUP(K$2,#REF!,7,)</f>
        <v>#REF!</v>
      </c>
      <c r="L48" s="128" t="e">
        <f>VLOOKUP(L$2,#REF!,7,)</f>
        <v>#REF!</v>
      </c>
      <c r="M48" s="128" t="e">
        <f>VLOOKUP(M$2,#REF!,7,)</f>
        <v>#REF!</v>
      </c>
      <c r="N48" s="128">
        <f>RKAP!$G$68</f>
        <v>80.36</v>
      </c>
      <c r="O48" s="1">
        <v>16</v>
      </c>
      <c r="P48" s="128" t="e">
        <f t="shared" ref="P48:P51" si="87">IF(HLOOKUP(Q$1,$B$33:$M$61,O48,)-N48&lt;=0,"",HLOOKUP(Q$1,$B$33:$M$61,O48,)-N48)</f>
        <v>#REF!</v>
      </c>
      <c r="Q48" s="131" t="e">
        <f>VLOOKUP(Q$1,#REF!,3,)</f>
        <v>#REF!</v>
      </c>
      <c r="R48" s="131" t="e">
        <f>VLOOKUP(Q$1,#REF!,5,)</f>
        <v>#REF!</v>
      </c>
      <c r="S48" s="124" t="e">
        <f t="shared" si="72"/>
        <v>#REF!</v>
      </c>
      <c r="T48" s="129" t="s">
        <v>191</v>
      </c>
      <c r="U48" s="131" t="e">
        <f t="shared" si="77"/>
        <v>#REF!</v>
      </c>
      <c r="V48" s="126" t="e">
        <f t="shared" ref="V48:V51" si="88">IF(U48="","",U48*(1-$T$62))</f>
        <v>#REF!</v>
      </c>
      <c r="W48" s="131" t="e">
        <f t="shared" ref="W48:W51" si="89">IF(T48="Yes",V48,Q48)</f>
        <v>#REF!</v>
      </c>
      <c r="X48" s="131" t="e">
        <f t="shared" ref="X48:X51" si="90">R48</f>
        <v>#REF!</v>
      </c>
      <c r="Y48" s="128" t="str">
        <f t="shared" si="74"/>
        <v/>
      </c>
      <c r="Z48" s="128" t="e">
        <f t="shared" si="75"/>
        <v>#VALUE!</v>
      </c>
      <c r="AA48" s="163" t="e">
        <f>R48/$R$61*100</f>
        <v>#REF!</v>
      </c>
    </row>
    <row r="49" spans="1:40" ht="12.5" x14ac:dyDescent="0.25">
      <c r="A49" s="1" t="s">
        <v>192</v>
      </c>
      <c r="B49" s="128" t="str">
        <f>IFERROR(VLOOKUP(B$2,#REF!,13,),"")</f>
        <v/>
      </c>
      <c r="C49" s="128" t="str">
        <f>IFERROR(VLOOKUP(C$2,#REF!,13,),"")</f>
        <v/>
      </c>
      <c r="D49" s="128" t="str">
        <f>IFERROR(VLOOKUP(D$2,#REF!,13,),"")</f>
        <v/>
      </c>
      <c r="E49" s="128" t="str">
        <f>IFERROR(VLOOKUP(E$2,#REF!,13,),"")</f>
        <v/>
      </c>
      <c r="F49" s="128" t="str">
        <f>IFERROR(VLOOKUP(F$2,#REF!,13,),"")</f>
        <v/>
      </c>
      <c r="G49" s="128" t="str">
        <f>IFERROR(VLOOKUP(G$2,#REF!,13,),"")</f>
        <v/>
      </c>
      <c r="H49" s="128" t="str">
        <f>IFERROR(VLOOKUP(H$2,#REF!,13,),"")</f>
        <v/>
      </c>
      <c r="I49" s="128" t="str">
        <f>IFERROR(VLOOKUP(I$2,#REF!,13,),"")</f>
        <v/>
      </c>
      <c r="J49" s="128" t="str">
        <f>IFERROR(VLOOKUP(J$2,#REF!,13,),"")</f>
        <v/>
      </c>
      <c r="K49" s="128" t="str">
        <f>IFERROR(VLOOKUP(K$2,#REF!,13,),"")</f>
        <v/>
      </c>
      <c r="L49" s="128" t="str">
        <f>IFERROR(VLOOKUP(L$2,#REF!,13,),"")</f>
        <v/>
      </c>
      <c r="M49" s="128" t="str">
        <f>IFERROR(VLOOKUP(M$2,#REF!,13,),"")</f>
        <v/>
      </c>
      <c r="N49" s="146">
        <f>N18</f>
        <v>90.32</v>
      </c>
      <c r="O49" s="1">
        <v>17</v>
      </c>
      <c r="P49" s="128" t="e">
        <f t="shared" si="87"/>
        <v>#VALUE!</v>
      </c>
      <c r="Q49" s="131" t="str">
        <f>IFERROR(VLOOKUP(Q$1,#REF!,9,),"")</f>
        <v/>
      </c>
      <c r="R49" s="131" t="str">
        <f>IFERROR(VLOOKUP(Q$1,#REF!,11,),"")</f>
        <v/>
      </c>
      <c r="S49" s="124" t="e">
        <f t="shared" si="72"/>
        <v>#VALUE!</v>
      </c>
      <c r="T49" s="129" t="s">
        <v>191</v>
      </c>
      <c r="U49" s="131" t="str">
        <f t="shared" si="77"/>
        <v/>
      </c>
      <c r="V49" s="126" t="str">
        <f t="shared" si="88"/>
        <v/>
      </c>
      <c r="W49" s="131" t="str">
        <f t="shared" si="89"/>
        <v/>
      </c>
      <c r="X49" s="131" t="str">
        <f t="shared" si="90"/>
        <v/>
      </c>
      <c r="Y49" s="128" t="str">
        <f t="shared" si="74"/>
        <v/>
      </c>
      <c r="Z49" s="128" t="e">
        <f t="shared" si="75"/>
        <v>#VALUE!</v>
      </c>
    </row>
    <row r="50" spans="1:40" ht="12.5" x14ac:dyDescent="0.25">
      <c r="A50" s="1" t="s">
        <v>95</v>
      </c>
      <c r="B50" s="128" t="e">
        <f>VLOOKUP(B$2,#REF!,19,)</f>
        <v>#REF!</v>
      </c>
      <c r="C50" s="128" t="e">
        <f>VLOOKUP(C$2,#REF!,19,)</f>
        <v>#REF!</v>
      </c>
      <c r="D50" s="128" t="e">
        <f>VLOOKUP(D$2,#REF!,19,)</f>
        <v>#REF!</v>
      </c>
      <c r="E50" s="128" t="e">
        <f>VLOOKUP(E$2,#REF!,19,)</f>
        <v>#REF!</v>
      </c>
      <c r="F50" s="128" t="e">
        <f>VLOOKUP(F$2,#REF!,19,)</f>
        <v>#REF!</v>
      </c>
      <c r="G50" s="128" t="e">
        <f>VLOOKUP(G$2,#REF!,19,)</f>
        <v>#REF!</v>
      </c>
      <c r="H50" s="128" t="e">
        <f>VLOOKUP(H$2,#REF!,19,)</f>
        <v>#REF!</v>
      </c>
      <c r="I50" s="128" t="e">
        <f>VLOOKUP(I$2,#REF!,19,)</f>
        <v>#REF!</v>
      </c>
      <c r="J50" s="128" t="e">
        <f>VLOOKUP(J$2,#REF!,19,)</f>
        <v>#REF!</v>
      </c>
      <c r="K50" s="128" t="e">
        <f>VLOOKUP(K$2,#REF!,19,)</f>
        <v>#REF!</v>
      </c>
      <c r="L50" s="128" t="e">
        <f>VLOOKUP(L$2,#REF!,19,)</f>
        <v>#REF!</v>
      </c>
      <c r="M50" s="128" t="e">
        <f>VLOOKUP(M$2,#REF!,19,)</f>
        <v>#REF!</v>
      </c>
      <c r="N50" s="128">
        <f>RKAP!$S$68</f>
        <v>86.96</v>
      </c>
      <c r="O50" s="1">
        <v>18</v>
      </c>
      <c r="P50" s="128" t="e">
        <f t="shared" si="87"/>
        <v>#REF!</v>
      </c>
      <c r="Q50" s="131" t="e">
        <f>VLOOKUP(Q$1,#REF!,15,)</f>
        <v>#REF!</v>
      </c>
      <c r="R50" s="131" t="e">
        <f>VLOOKUP(Q$1,#REF!,17,)</f>
        <v>#REF!</v>
      </c>
      <c r="S50" s="124" t="e">
        <f t="shared" si="72"/>
        <v>#REF!</v>
      </c>
      <c r="T50" s="129" t="s">
        <v>202</v>
      </c>
      <c r="U50" s="41" t="str">
        <f t="shared" si="77"/>
        <v/>
      </c>
      <c r="V50" s="126" t="str">
        <f t="shared" si="88"/>
        <v/>
      </c>
      <c r="W50" s="131" t="e">
        <f t="shared" si="89"/>
        <v>#REF!</v>
      </c>
      <c r="X50" s="131" t="e">
        <f t="shared" si="90"/>
        <v>#REF!</v>
      </c>
      <c r="Y50" s="128" t="str">
        <f t="shared" si="74"/>
        <v/>
      </c>
      <c r="Z50" s="128" t="e">
        <f t="shared" si="75"/>
        <v>#VALUE!</v>
      </c>
    </row>
    <row r="51" spans="1:40" ht="12.5" x14ac:dyDescent="0.25">
      <c r="A51" s="1" t="s">
        <v>117</v>
      </c>
      <c r="B51" s="128" t="e">
        <f>VLOOKUP(B$2,#REF!,25,)</f>
        <v>#REF!</v>
      </c>
      <c r="C51" s="128" t="e">
        <f>VLOOKUP(C$2,#REF!,25,)</f>
        <v>#REF!</v>
      </c>
      <c r="D51" s="128" t="e">
        <f>VLOOKUP(D$2,#REF!,25,)</f>
        <v>#REF!</v>
      </c>
      <c r="E51" s="128" t="e">
        <f>VLOOKUP(E$2,#REF!,25,)</f>
        <v>#REF!</v>
      </c>
      <c r="F51" s="128" t="e">
        <f>VLOOKUP(F$2,#REF!,25,)</f>
        <v>#REF!</v>
      </c>
      <c r="G51" s="128" t="e">
        <f>VLOOKUP(G$2,#REF!,25,)</f>
        <v>#REF!</v>
      </c>
      <c r="H51" s="128" t="e">
        <f>VLOOKUP(H$2,#REF!,25,)</f>
        <v>#REF!</v>
      </c>
      <c r="I51" s="128" t="e">
        <f>VLOOKUP(I$2,#REF!,25,)</f>
        <v>#REF!</v>
      </c>
      <c r="J51" s="128" t="e">
        <f>VLOOKUP(J$2,#REF!,25,)</f>
        <v>#REF!</v>
      </c>
      <c r="K51" s="128" t="e">
        <f>VLOOKUP(K$2,#REF!,25,)</f>
        <v>#REF!</v>
      </c>
      <c r="L51" s="128" t="e">
        <f>VLOOKUP(L$2,#REF!,25,)</f>
        <v>#REF!</v>
      </c>
      <c r="M51" s="128" t="e">
        <f>VLOOKUP(M$2,#REF!,25,)</f>
        <v>#REF!</v>
      </c>
      <c r="N51" s="128">
        <f>RKAP!$Y$68</f>
        <v>95.5</v>
      </c>
      <c r="O51" s="1">
        <v>19</v>
      </c>
      <c r="P51" s="128" t="e">
        <f t="shared" si="87"/>
        <v>#REF!</v>
      </c>
      <c r="Q51" s="131" t="e">
        <f>VLOOKUP(Q$1,#REF!,21,)</f>
        <v>#REF!</v>
      </c>
      <c r="R51" s="131" t="e">
        <f>VLOOKUP(Q$1,#REF!,23,)</f>
        <v>#REF!</v>
      </c>
      <c r="S51" s="124" t="e">
        <f t="shared" si="72"/>
        <v>#REF!</v>
      </c>
      <c r="T51" s="129" t="s">
        <v>191</v>
      </c>
      <c r="U51" s="131" t="e">
        <f t="shared" si="77"/>
        <v>#REF!</v>
      </c>
      <c r="V51" s="126" t="e">
        <f t="shared" si="88"/>
        <v>#REF!</v>
      </c>
      <c r="W51" s="131" t="e">
        <f t="shared" si="89"/>
        <v>#REF!</v>
      </c>
      <c r="X51" s="131" t="e">
        <f t="shared" si="90"/>
        <v>#REF!</v>
      </c>
      <c r="Y51" s="128" t="str">
        <f t="shared" si="74"/>
        <v/>
      </c>
      <c r="Z51" s="128" t="e">
        <f t="shared" si="75"/>
        <v>#VALUE!</v>
      </c>
    </row>
    <row r="52" spans="1:40" ht="13" x14ac:dyDescent="0.3">
      <c r="A52" s="121" t="s">
        <v>149</v>
      </c>
      <c r="B52" s="162" t="e">
        <f>VLOOKUP(B$2,#REF!,43,)</f>
        <v>#REF!</v>
      </c>
      <c r="C52" s="162" t="e">
        <f>VLOOKUP(C$2,#REF!,43,)</f>
        <v>#REF!</v>
      </c>
      <c r="D52" s="162" t="e">
        <f>VLOOKUP(D$2,#REF!,43,)</f>
        <v>#REF!</v>
      </c>
      <c r="E52" s="162" t="e">
        <f>VLOOKUP(E$2,#REF!,43,)</f>
        <v>#REF!</v>
      </c>
      <c r="F52" s="162" t="e">
        <f>VLOOKUP(F$2,#REF!,43,)</f>
        <v>#REF!</v>
      </c>
      <c r="G52" s="162" t="e">
        <f>VLOOKUP(G$2,#REF!,43,)</f>
        <v>#REF!</v>
      </c>
      <c r="H52" s="162" t="e">
        <f>VLOOKUP(H$2,#REF!,43,)</f>
        <v>#REF!</v>
      </c>
      <c r="I52" s="162" t="e">
        <f>VLOOKUP(I$2,#REF!,43,)</f>
        <v>#REF!</v>
      </c>
      <c r="J52" s="162" t="e">
        <f>VLOOKUP(J$2,#REF!,43,)</f>
        <v>#REF!</v>
      </c>
      <c r="K52" s="162" t="e">
        <f>VLOOKUP(K$2,#REF!,43,)</f>
        <v>#REF!</v>
      </c>
      <c r="L52" s="162" t="e">
        <f>VLOOKUP(L$2,#REF!,43,)</f>
        <v>#REF!</v>
      </c>
      <c r="M52" s="162" t="e">
        <f>VLOOKUP(M$2,#REF!,43,)</f>
        <v>#REF!</v>
      </c>
      <c r="N52" s="123">
        <f>RKAP!$AQ$85</f>
        <v>70.41</v>
      </c>
      <c r="O52" s="1">
        <v>20</v>
      </c>
      <c r="P52" s="128"/>
      <c r="S52" s="124" t="str">
        <f t="shared" si="72"/>
        <v/>
      </c>
      <c r="T52" s="125"/>
      <c r="U52" s="41" t="str">
        <f t="shared" si="77"/>
        <v/>
      </c>
      <c r="V52" s="126" t="str">
        <f>IF(U52="","",U52*(1-$T$31))</f>
        <v/>
      </c>
      <c r="W52" s="127" t="e">
        <f t="shared" ref="W52:X52" si="91">SUM(W53:W57)</f>
        <v>#REF!</v>
      </c>
      <c r="X52" s="127" t="e">
        <f t="shared" si="91"/>
        <v>#REF!</v>
      </c>
      <c r="Y52" s="128" t="str">
        <f t="shared" si="74"/>
        <v/>
      </c>
      <c r="Z52" s="128" t="e">
        <f t="shared" si="75"/>
        <v>#VALUE!</v>
      </c>
    </row>
    <row r="53" spans="1:40" ht="12.5" x14ac:dyDescent="0.25">
      <c r="A53" s="1" t="s">
        <v>195</v>
      </c>
      <c r="B53" s="128" t="e">
        <f>VLOOKUP(B$2,#REF!,7,)</f>
        <v>#REF!</v>
      </c>
      <c r="C53" s="128" t="e">
        <f>VLOOKUP(C$2,#REF!,7,)</f>
        <v>#REF!</v>
      </c>
      <c r="D53" s="128" t="e">
        <f>VLOOKUP(D$2,#REF!,7,)</f>
        <v>#REF!</v>
      </c>
      <c r="E53" s="128" t="e">
        <f>VLOOKUP(E$2,#REF!,7,)</f>
        <v>#REF!</v>
      </c>
      <c r="F53" s="128" t="e">
        <f>VLOOKUP(F$2,#REF!,7,)</f>
        <v>#REF!</v>
      </c>
      <c r="G53" s="128" t="e">
        <f>VLOOKUP(G$2,#REF!,7,)</f>
        <v>#REF!</v>
      </c>
      <c r="H53" s="128" t="e">
        <f>VLOOKUP(H$2,#REF!,7,)</f>
        <v>#REF!</v>
      </c>
      <c r="I53" s="128" t="e">
        <f>VLOOKUP(I$2,#REF!,7,)</f>
        <v>#REF!</v>
      </c>
      <c r="J53" s="128" t="e">
        <f>VLOOKUP(J$2,#REF!,7,)</f>
        <v>#REF!</v>
      </c>
      <c r="K53" s="128" t="e">
        <f>VLOOKUP(K$2,#REF!,7,)</f>
        <v>#REF!</v>
      </c>
      <c r="L53" s="128" t="e">
        <f>VLOOKUP(L$2,#REF!,7,)</f>
        <v>#REF!</v>
      </c>
      <c r="M53" s="128" t="e">
        <f>VLOOKUP(M$2,#REF!,7,)</f>
        <v>#REF!</v>
      </c>
      <c r="N53" s="128">
        <f>RKAP!$G$85</f>
        <v>60.91</v>
      </c>
      <c r="O53" s="1">
        <v>21</v>
      </c>
      <c r="P53" s="128" t="e">
        <f t="shared" ref="P53:P57" si="92">IF(HLOOKUP(Q$1,$B$33:$M$61,O53,)-N53&lt;=0,"",HLOOKUP(Q$1,$B$33:$M$61,O53,)-N53)</f>
        <v>#REF!</v>
      </c>
      <c r="Q53" s="131" t="e">
        <f>VLOOKUP(Q$1,#REF!,3,)</f>
        <v>#REF!</v>
      </c>
      <c r="R53" s="131" t="e">
        <f>VLOOKUP(Q$1,#REF!,5,)</f>
        <v>#REF!</v>
      </c>
      <c r="S53" s="124" t="e">
        <f t="shared" si="72"/>
        <v>#REF!</v>
      </c>
      <c r="T53" s="129" t="s">
        <v>202</v>
      </c>
      <c r="U53" s="41" t="str">
        <f t="shared" si="77"/>
        <v/>
      </c>
      <c r="V53" s="126" t="str">
        <f t="shared" ref="V53:V57" si="93">IF(U53="","",U53*(1-$T$62))</f>
        <v/>
      </c>
      <c r="W53" s="131" t="e">
        <f t="shared" ref="W53:W57" si="94">IF(T53="Yes",V53,Q53)</f>
        <v>#REF!</v>
      </c>
      <c r="X53" s="131" t="e">
        <f t="shared" ref="X53:X57" si="95">R53</f>
        <v>#REF!</v>
      </c>
      <c r="Y53" s="128" t="str">
        <f t="shared" si="74"/>
        <v/>
      </c>
      <c r="Z53" s="128" t="e">
        <f t="shared" si="75"/>
        <v>#VALUE!</v>
      </c>
    </row>
    <row r="54" spans="1:40" ht="12.5" x14ac:dyDescent="0.25">
      <c r="A54" s="1" t="s">
        <v>97</v>
      </c>
      <c r="B54" s="128" t="str">
        <f>IFERROR(VLOOKUP(B$2,#REF!,25,),"")</f>
        <v/>
      </c>
      <c r="C54" s="128" t="str">
        <f>IFERROR(VLOOKUP(C$2,#REF!,25,),"")</f>
        <v/>
      </c>
      <c r="D54" s="128" t="str">
        <f>IFERROR(VLOOKUP(D$2,#REF!,25,),"")</f>
        <v/>
      </c>
      <c r="E54" s="128" t="str">
        <f>IFERROR(VLOOKUP(E$2,#REF!,25,),"")</f>
        <v/>
      </c>
      <c r="F54" s="128" t="str">
        <f>IFERROR(VLOOKUP(F$2,#REF!,25,),"")</f>
        <v/>
      </c>
      <c r="G54" s="128" t="str">
        <f>IFERROR(VLOOKUP(G$2,#REF!,25,),"")</f>
        <v/>
      </c>
      <c r="H54" s="128" t="str">
        <f>IFERROR(VLOOKUP(H$2,#REF!,25,),"")</f>
        <v/>
      </c>
      <c r="I54" s="128" t="str">
        <f>IFERROR(VLOOKUP(I$2,#REF!,25,),"")</f>
        <v/>
      </c>
      <c r="J54" s="128" t="str">
        <f>IFERROR(VLOOKUP(J$2,#REF!,25,),"")</f>
        <v/>
      </c>
      <c r="K54" s="128" t="str">
        <f>IFERROR(VLOOKUP(K$2,#REF!,25,),"")</f>
        <v/>
      </c>
      <c r="L54" s="128" t="str">
        <f>IFERROR(VLOOKUP(L$2,#REF!,25,),"")</f>
        <v/>
      </c>
      <c r="M54" s="128" t="str">
        <f>IFERROR(VLOOKUP(M$2,#REF!,25,),"")</f>
        <v/>
      </c>
      <c r="N54" s="146">
        <f>N23</f>
        <v>95.5</v>
      </c>
      <c r="O54" s="1">
        <v>22</v>
      </c>
      <c r="P54" s="128" t="e">
        <f t="shared" si="92"/>
        <v>#VALUE!</v>
      </c>
      <c r="Q54" s="131" t="str">
        <f>IFERROR(VLOOKUP(Q$1,#REF!,21,),"")</f>
        <v/>
      </c>
      <c r="R54" s="131" t="str">
        <f>IFERROR(VLOOKUP(Q$1,#REF!,23,),"")</f>
        <v/>
      </c>
      <c r="S54" s="124" t="e">
        <f t="shared" si="72"/>
        <v>#VALUE!</v>
      </c>
      <c r="T54" s="129" t="s">
        <v>202</v>
      </c>
      <c r="U54" s="41" t="str">
        <f t="shared" si="77"/>
        <v/>
      </c>
      <c r="V54" s="126" t="str">
        <f t="shared" si="93"/>
        <v/>
      </c>
      <c r="W54" s="131" t="str">
        <f t="shared" si="94"/>
        <v/>
      </c>
      <c r="X54" s="131" t="str">
        <f t="shared" si="95"/>
        <v/>
      </c>
      <c r="Y54" s="128" t="str">
        <f t="shared" si="74"/>
        <v/>
      </c>
      <c r="Z54" s="128" t="e">
        <f t="shared" si="75"/>
        <v>#VALUE!</v>
      </c>
    </row>
    <row r="55" spans="1:40" ht="12.5" x14ac:dyDescent="0.25">
      <c r="A55" s="1" t="s">
        <v>95</v>
      </c>
      <c r="B55" s="128" t="e">
        <f>VLOOKUP(B$2,#REF!,31,)</f>
        <v>#REF!</v>
      </c>
      <c r="C55" s="128" t="e">
        <f>VLOOKUP(C$2,#REF!,31,)</f>
        <v>#REF!</v>
      </c>
      <c r="D55" s="128" t="e">
        <f>VLOOKUP(D$2,#REF!,31,)</f>
        <v>#REF!</v>
      </c>
      <c r="E55" s="128" t="e">
        <f>VLOOKUP(E$2,#REF!,31,)</f>
        <v>#REF!</v>
      </c>
      <c r="F55" s="128" t="e">
        <f>VLOOKUP(F$2,#REF!,31,)</f>
        <v>#REF!</v>
      </c>
      <c r="G55" s="128" t="e">
        <f>VLOOKUP(G$2,#REF!,31,)</f>
        <v>#REF!</v>
      </c>
      <c r="H55" s="128" t="e">
        <f>VLOOKUP(H$2,#REF!,31,)</f>
        <v>#REF!</v>
      </c>
      <c r="I55" s="128" t="e">
        <f>VLOOKUP(I$2,#REF!,31,)</f>
        <v>#REF!</v>
      </c>
      <c r="J55" s="128" t="e">
        <f>VLOOKUP(J$2,#REF!,31,)</f>
        <v>#REF!</v>
      </c>
      <c r="K55" s="128" t="e">
        <f>VLOOKUP(K$2,#REF!,31,)</f>
        <v>#REF!</v>
      </c>
      <c r="L55" s="128" t="e">
        <f>VLOOKUP(L$2,#REF!,31,)</f>
        <v>#REF!</v>
      </c>
      <c r="M55" s="128" t="e">
        <f>VLOOKUP(M$2,#REF!,31,)</f>
        <v>#REF!</v>
      </c>
      <c r="N55" s="128">
        <f>RKAP!$AE$85</f>
        <v>86.96</v>
      </c>
      <c r="O55" s="1">
        <v>23</v>
      </c>
      <c r="P55" s="128" t="e">
        <f t="shared" si="92"/>
        <v>#REF!</v>
      </c>
      <c r="Q55" s="131" t="e">
        <f>VLOOKUP(Q$1,#REF!,27,)</f>
        <v>#REF!</v>
      </c>
      <c r="R55" s="131" t="e">
        <f>VLOOKUP(Q$1,#REF!,29,)</f>
        <v>#REF!</v>
      </c>
      <c r="S55" s="124" t="e">
        <f t="shared" si="72"/>
        <v>#REF!</v>
      </c>
      <c r="T55" s="129" t="s">
        <v>191</v>
      </c>
      <c r="U55" s="131" t="e">
        <f t="shared" si="77"/>
        <v>#REF!</v>
      </c>
      <c r="V55" s="126" t="e">
        <f t="shared" si="93"/>
        <v>#REF!</v>
      </c>
      <c r="W55" s="131" t="e">
        <f t="shared" si="94"/>
        <v>#REF!</v>
      </c>
      <c r="X55" s="131" t="e">
        <f t="shared" si="95"/>
        <v>#REF!</v>
      </c>
      <c r="Y55" s="128" t="str">
        <f t="shared" si="74"/>
        <v/>
      </c>
      <c r="Z55" s="128" t="e">
        <f t="shared" si="75"/>
        <v>#VALUE!</v>
      </c>
    </row>
    <row r="56" spans="1:40" ht="12.5" x14ac:dyDescent="0.25">
      <c r="A56" s="164" t="s">
        <v>116</v>
      </c>
      <c r="B56" s="128" t="e">
        <f>VLOOKUP(B$2,#REF!,37,)</f>
        <v>#REF!</v>
      </c>
      <c r="C56" s="128" t="e">
        <f>VLOOKUP(C$2,#REF!,37,)</f>
        <v>#REF!</v>
      </c>
      <c r="D56" s="128" t="e">
        <f>VLOOKUP(D$2,#REF!,37,)</f>
        <v>#REF!</v>
      </c>
      <c r="E56" s="128" t="e">
        <f>VLOOKUP(E$2,#REF!,37,)</f>
        <v>#REF!</v>
      </c>
      <c r="F56" s="128" t="e">
        <f>VLOOKUP(F$2,#REF!,37,)</f>
        <v>#REF!</v>
      </c>
      <c r="G56" s="128" t="e">
        <f>VLOOKUP(G$2,#REF!,37,)</f>
        <v>#REF!</v>
      </c>
      <c r="H56" s="128" t="e">
        <f>VLOOKUP(H$2,#REF!,37,)</f>
        <v>#REF!</v>
      </c>
      <c r="I56" s="128" t="e">
        <f>VLOOKUP(I$2,#REF!,37,)</f>
        <v>#REF!</v>
      </c>
      <c r="J56" s="128" t="e">
        <f>VLOOKUP(J$2,#REF!,37,)</f>
        <v>#REF!</v>
      </c>
      <c r="K56" s="128" t="e">
        <f>VLOOKUP(K$2,#REF!,37,)</f>
        <v>#REF!</v>
      </c>
      <c r="L56" s="128" t="e">
        <f>VLOOKUP(L$2,#REF!,37,)</f>
        <v>#REF!</v>
      </c>
      <c r="M56" s="128" t="e">
        <f>VLOOKUP(M$2,#REF!,37,)</f>
        <v>#REF!</v>
      </c>
      <c r="N56" s="128">
        <f>RKAP!$AK$85</f>
        <v>90.32</v>
      </c>
      <c r="O56" s="1">
        <v>24</v>
      </c>
      <c r="P56" s="128" t="e">
        <f t="shared" si="92"/>
        <v>#REF!</v>
      </c>
      <c r="Q56" s="131" t="e">
        <f>VLOOKUP(Q$1,#REF!,33,)</f>
        <v>#REF!</v>
      </c>
      <c r="R56" s="131" t="e">
        <f>VLOOKUP(Q$1,#REF!,33,)</f>
        <v>#REF!</v>
      </c>
      <c r="S56" s="124" t="e">
        <f t="shared" si="72"/>
        <v>#REF!</v>
      </c>
      <c r="T56" s="129" t="s">
        <v>191</v>
      </c>
      <c r="U56" s="131" t="e">
        <f t="shared" si="77"/>
        <v>#REF!</v>
      </c>
      <c r="V56" s="126" t="e">
        <f t="shared" si="93"/>
        <v>#REF!</v>
      </c>
      <c r="W56" s="131" t="e">
        <f t="shared" si="94"/>
        <v>#REF!</v>
      </c>
      <c r="X56" s="131" t="e">
        <f t="shared" si="95"/>
        <v>#REF!</v>
      </c>
      <c r="Y56" s="128" t="str">
        <f t="shared" si="74"/>
        <v/>
      </c>
      <c r="Z56" s="128" t="e">
        <f t="shared" si="75"/>
        <v>#VALUE!</v>
      </c>
    </row>
    <row r="57" spans="1:40" ht="12.5" x14ac:dyDescent="0.25">
      <c r="A57" s="1" t="s">
        <v>189</v>
      </c>
      <c r="B57" s="128" t="str">
        <f>IFERROR(VLOOKUP(B$2,#REF!,13,),"")</f>
        <v/>
      </c>
      <c r="C57" s="128" t="str">
        <f>IFERROR(VLOOKUP(C$2,#REF!,13,),"")</f>
        <v/>
      </c>
      <c r="D57" s="128" t="str">
        <f>IFERROR(VLOOKUP(D$2,#REF!,13,),"")</f>
        <v/>
      </c>
      <c r="E57" s="128" t="str">
        <f>IFERROR(VLOOKUP(E$2,#REF!,13,),"")</f>
        <v/>
      </c>
      <c r="F57" s="128" t="str">
        <f>IFERROR(VLOOKUP(F$2,#REF!,13,),"")</f>
        <v/>
      </c>
      <c r="G57" s="128" t="str">
        <f>IFERROR(VLOOKUP(G$2,#REF!,13,),"")</f>
        <v/>
      </c>
      <c r="H57" s="128" t="str">
        <f>IFERROR(VLOOKUP(H$2,#REF!,13,),"")</f>
        <v/>
      </c>
      <c r="I57" s="128" t="str">
        <f>IFERROR(VLOOKUP(I$2,#REF!,13,),"")</f>
        <v/>
      </c>
      <c r="J57" s="128" t="str">
        <f>IFERROR(VLOOKUP(J$2,#REF!,13,),"")</f>
        <v/>
      </c>
      <c r="K57" s="128" t="str">
        <f>IFERROR(VLOOKUP(K$2,#REF!,13,),"")</f>
        <v/>
      </c>
      <c r="L57" s="128" t="str">
        <f>IFERROR(VLOOKUP(L$2,#REF!,13,),"")</f>
        <v/>
      </c>
      <c r="M57" s="128" t="str">
        <f>IFERROR(VLOOKUP(M$2,#REF!,13,),"")</f>
        <v/>
      </c>
      <c r="N57" s="146">
        <f>N48</f>
        <v>80.36</v>
      </c>
      <c r="O57" s="1">
        <v>25</v>
      </c>
      <c r="P57" s="128" t="e">
        <f t="shared" si="92"/>
        <v>#VALUE!</v>
      </c>
      <c r="Q57" s="131" t="str">
        <f>IFERROR(VLOOKUP(Q$1,#REF!,9,),"")</f>
        <v/>
      </c>
      <c r="R57" s="131" t="str">
        <f>IFERROR(VLOOKUP(Q$1,#REF!,11,),"")</f>
        <v/>
      </c>
      <c r="S57" s="124" t="e">
        <f t="shared" si="72"/>
        <v>#VALUE!</v>
      </c>
      <c r="T57" s="129" t="s">
        <v>191</v>
      </c>
      <c r="U57" s="131" t="str">
        <f t="shared" si="77"/>
        <v/>
      </c>
      <c r="V57" s="126" t="str">
        <f t="shared" si="93"/>
        <v/>
      </c>
      <c r="W57" s="131" t="str">
        <f t="shared" si="94"/>
        <v/>
      </c>
      <c r="X57" s="131" t="str">
        <f t="shared" si="95"/>
        <v/>
      </c>
      <c r="Y57" s="128" t="str">
        <f t="shared" si="74"/>
        <v/>
      </c>
      <c r="Z57" s="128" t="e">
        <f t="shared" si="75"/>
        <v>#VALUE!</v>
      </c>
      <c r="AA57" s="163" t="e">
        <f>R57/$R$61*100</f>
        <v>#VALUE!</v>
      </c>
    </row>
    <row r="58" spans="1:40" ht="13" x14ac:dyDescent="0.3">
      <c r="A58" s="121" t="s">
        <v>150</v>
      </c>
      <c r="B58" s="162" t="e">
        <f>VLOOKUP(B$2,#REF!,19,)</f>
        <v>#REF!</v>
      </c>
      <c r="C58" s="162" t="e">
        <f>VLOOKUP(C$2,#REF!,19,)</f>
        <v>#REF!</v>
      </c>
      <c r="D58" s="162" t="e">
        <f>VLOOKUP(D$2,#REF!,19,)</f>
        <v>#REF!</v>
      </c>
      <c r="E58" s="162" t="e">
        <f>VLOOKUP(E$2,#REF!,19,)</f>
        <v>#REF!</v>
      </c>
      <c r="F58" s="162" t="e">
        <f>VLOOKUP(F$2,#REF!,19,)</f>
        <v>#REF!</v>
      </c>
      <c r="G58" s="162" t="e">
        <f>VLOOKUP(G$2,#REF!,19,)</f>
        <v>#REF!</v>
      </c>
      <c r="H58" s="162" t="e">
        <f>VLOOKUP(H$2,#REF!,19,)</f>
        <v>#REF!</v>
      </c>
      <c r="I58" s="162" t="e">
        <f>VLOOKUP(I$2,#REF!,19,)</f>
        <v>#REF!</v>
      </c>
      <c r="J58" s="162" t="e">
        <f>VLOOKUP(J$2,#REF!,19,)</f>
        <v>#REF!</v>
      </c>
      <c r="K58" s="162" t="e">
        <f>VLOOKUP(K$2,#REF!,19,)</f>
        <v>#REF!</v>
      </c>
      <c r="L58" s="162" t="e">
        <f>VLOOKUP(L$2,#REF!,19,)</f>
        <v>#REF!</v>
      </c>
      <c r="M58" s="162" t="e">
        <f>VLOOKUP(M$2,#REF!,19,)</f>
        <v>#REF!</v>
      </c>
      <c r="N58" s="123">
        <f>RKAP!$S$102</f>
        <v>63.3</v>
      </c>
      <c r="O58" s="1">
        <v>26</v>
      </c>
      <c r="P58" s="128"/>
      <c r="S58" s="124" t="str">
        <f t="shared" si="72"/>
        <v/>
      </c>
      <c r="T58" s="125"/>
      <c r="U58" s="41" t="str">
        <f t="shared" si="77"/>
        <v/>
      </c>
      <c r="V58" s="126" t="str">
        <f>IF(U58="","",U58*(1-$T$31))</f>
        <v/>
      </c>
      <c r="W58" s="127" t="e">
        <f t="shared" ref="W58:X58" si="96">SUM(W59:W60)</f>
        <v>#REF!</v>
      </c>
      <c r="X58" s="127" t="e">
        <f t="shared" si="96"/>
        <v>#REF!</v>
      </c>
      <c r="Y58" s="128" t="str">
        <f t="shared" si="74"/>
        <v/>
      </c>
      <c r="Z58" s="128" t="e">
        <f t="shared" si="75"/>
        <v>#VALUE!</v>
      </c>
    </row>
    <row r="59" spans="1:40" ht="12.5" x14ac:dyDescent="0.25">
      <c r="A59" s="1" t="s">
        <v>193</v>
      </c>
      <c r="B59" s="128" t="e">
        <f>VLOOKUP(B$2,#REF!,7,)</f>
        <v>#REF!</v>
      </c>
      <c r="C59" s="128" t="e">
        <f>VLOOKUP(C$2,#REF!,7,)</f>
        <v>#REF!</v>
      </c>
      <c r="D59" s="128" t="e">
        <f>VLOOKUP(D$2,#REF!,7,)</f>
        <v>#REF!</v>
      </c>
      <c r="E59" s="128" t="e">
        <f>VLOOKUP(E$2,#REF!,7,)</f>
        <v>#REF!</v>
      </c>
      <c r="F59" s="128" t="e">
        <f>VLOOKUP(F$2,#REF!,7,)</f>
        <v>#REF!</v>
      </c>
      <c r="G59" s="128" t="e">
        <f>VLOOKUP(G$2,#REF!,7,)</f>
        <v>#REF!</v>
      </c>
      <c r="H59" s="128" t="e">
        <f>VLOOKUP(H$2,#REF!,7,)</f>
        <v>#REF!</v>
      </c>
      <c r="I59" s="128" t="e">
        <f>VLOOKUP(I$2,#REF!,7,)</f>
        <v>#REF!</v>
      </c>
      <c r="J59" s="128" t="e">
        <f>VLOOKUP(J$2,#REF!,7,)</f>
        <v>#REF!</v>
      </c>
      <c r="K59" s="128" t="e">
        <f>VLOOKUP(K$2,#REF!,7,)</f>
        <v>#REF!</v>
      </c>
      <c r="L59" s="128" t="e">
        <f>VLOOKUP(L$2,#REF!,7,)</f>
        <v>#REF!</v>
      </c>
      <c r="M59" s="128" t="e">
        <f>VLOOKUP(M$2,#REF!,7,)</f>
        <v>#REF!</v>
      </c>
      <c r="N59" s="128">
        <f>RKAP!$G$102</f>
        <v>58.5</v>
      </c>
      <c r="O59" s="1">
        <v>27</v>
      </c>
      <c r="P59" s="128" t="e">
        <f t="shared" ref="P59:P60" si="97">IF(HLOOKUP(Q$1,$B$33:$M$61,O59,)-N59&lt;=0,"",HLOOKUP(Q$1,$B$33:$M$61,O59,)-N59)</f>
        <v>#REF!</v>
      </c>
      <c r="Q59" s="131" t="e">
        <f>VLOOKUP(Q$1,#REF!,3,)</f>
        <v>#REF!</v>
      </c>
      <c r="R59" s="131" t="e">
        <f>VLOOKUP(Q$1,#REF!,5,)</f>
        <v>#REF!</v>
      </c>
      <c r="S59" s="124" t="e">
        <f t="shared" si="72"/>
        <v>#REF!</v>
      </c>
      <c r="T59" s="129" t="s">
        <v>202</v>
      </c>
      <c r="U59" s="41" t="str">
        <f t="shared" si="77"/>
        <v/>
      </c>
      <c r="V59" s="126" t="str">
        <f t="shared" ref="V59:V60" si="98">IF(U59="","",U59*(1-$T$62))</f>
        <v/>
      </c>
      <c r="W59" s="131" t="e">
        <f t="shared" ref="W59:W60" si="99">IF(T59="Yes",V59,Q59)</f>
        <v>#REF!</v>
      </c>
      <c r="X59" s="131" t="e">
        <f t="shared" ref="X59:X60" si="100">R59</f>
        <v>#REF!</v>
      </c>
      <c r="Y59" s="128" t="str">
        <f t="shared" si="74"/>
        <v/>
      </c>
      <c r="Z59" s="128" t="e">
        <f t="shared" si="75"/>
        <v>#VALUE!</v>
      </c>
    </row>
    <row r="60" spans="1:40" ht="12.5" x14ac:dyDescent="0.25">
      <c r="A60" s="1" t="s">
        <v>116</v>
      </c>
      <c r="B60" s="128" t="e">
        <f>VLOOKUP(B$2,#REF!,13,)</f>
        <v>#REF!</v>
      </c>
      <c r="C60" s="128" t="e">
        <f>VLOOKUP(C$2,#REF!,13,)</f>
        <v>#REF!</v>
      </c>
      <c r="D60" s="128" t="e">
        <f>VLOOKUP(D$2,#REF!,13,)</f>
        <v>#REF!</v>
      </c>
      <c r="E60" s="128" t="e">
        <f>VLOOKUP(E$2,#REF!,13,)</f>
        <v>#REF!</v>
      </c>
      <c r="F60" s="128" t="e">
        <f>VLOOKUP(F$2,#REF!,13,)</f>
        <v>#REF!</v>
      </c>
      <c r="G60" s="128" t="e">
        <f>VLOOKUP(G$2,#REF!,13,)</f>
        <v>#REF!</v>
      </c>
      <c r="H60" s="128" t="e">
        <f>VLOOKUP(H$2,#REF!,13,)</f>
        <v>#REF!</v>
      </c>
      <c r="I60" s="128" t="e">
        <f>VLOOKUP(I$2,#REF!,13,)</f>
        <v>#REF!</v>
      </c>
      <c r="J60" s="128" t="e">
        <f>VLOOKUP(J$2,#REF!,13,)</f>
        <v>#REF!</v>
      </c>
      <c r="K60" s="128" t="e">
        <f>VLOOKUP(K$2,#REF!,13,)</f>
        <v>#REF!</v>
      </c>
      <c r="L60" s="128" t="e">
        <f>VLOOKUP(L$2,#REF!,13,)</f>
        <v>#REF!</v>
      </c>
      <c r="M60" s="128" t="e">
        <f>VLOOKUP(M$2,#REF!,13,)</f>
        <v>#REF!</v>
      </c>
      <c r="N60" s="128">
        <f>RKAP!$M$102</f>
        <v>85.5</v>
      </c>
      <c r="O60" s="1">
        <v>28</v>
      </c>
      <c r="P60" s="128" t="e">
        <f t="shared" si="97"/>
        <v>#REF!</v>
      </c>
      <c r="Q60" s="131" t="e">
        <f>VLOOKUP(Q$1,#REF!,9,)</f>
        <v>#REF!</v>
      </c>
      <c r="R60" s="131" t="e">
        <f>VLOOKUP(Q$1,#REF!,11,)</f>
        <v>#REF!</v>
      </c>
      <c r="S60" s="124" t="e">
        <f t="shared" si="72"/>
        <v>#REF!</v>
      </c>
      <c r="T60" s="129" t="s">
        <v>191</v>
      </c>
      <c r="U60" s="131" t="e">
        <f t="shared" si="77"/>
        <v>#REF!</v>
      </c>
      <c r="V60" s="126" t="e">
        <f t="shared" si="98"/>
        <v>#REF!</v>
      </c>
      <c r="W60" s="131" t="e">
        <f t="shared" si="99"/>
        <v>#REF!</v>
      </c>
      <c r="X60" s="131" t="e">
        <f t="shared" si="100"/>
        <v>#REF!</v>
      </c>
      <c r="Y60" s="128" t="str">
        <f t="shared" si="74"/>
        <v/>
      </c>
      <c r="Z60" s="128" t="e">
        <f t="shared" si="75"/>
        <v>#VALUE!</v>
      </c>
    </row>
    <row r="61" spans="1:40" ht="13" x14ac:dyDescent="0.3">
      <c r="A61" s="121" t="s">
        <v>196</v>
      </c>
      <c r="B61" s="162" t="e">
        <f>VLOOKUP(B$2,#REF!,7,)</f>
        <v>#REF!</v>
      </c>
      <c r="C61" s="162" t="e">
        <f>VLOOKUP(C$2,#REF!,7,)</f>
        <v>#REF!</v>
      </c>
      <c r="D61" s="162" t="e">
        <f>VLOOKUP(D$2,#REF!,7,)</f>
        <v>#REF!</v>
      </c>
      <c r="E61" s="162" t="e">
        <f>VLOOKUP(E$2,#REF!,7,)</f>
        <v>#REF!</v>
      </c>
      <c r="F61" s="162" t="e">
        <f>VLOOKUP(F$2,#REF!,7,)</f>
        <v>#REF!</v>
      </c>
      <c r="G61" s="162" t="e">
        <f>VLOOKUP(G$2,#REF!,7,)</f>
        <v>#REF!</v>
      </c>
      <c r="H61" s="162" t="e">
        <f>VLOOKUP(H$2,#REF!,7,)</f>
        <v>#REF!</v>
      </c>
      <c r="I61" s="162" t="e">
        <f>VLOOKUP(I$2,#REF!,7,)</f>
        <v>#REF!</v>
      </c>
      <c r="J61" s="162" t="e">
        <f>VLOOKUP(J$2,#REF!,7,)</f>
        <v>#REF!</v>
      </c>
      <c r="K61" s="162" t="e">
        <f>VLOOKUP(K$2,#REF!,7,)</f>
        <v>#REF!</v>
      </c>
      <c r="L61" s="162" t="e">
        <f>VLOOKUP(L$2,#REF!,7,)</f>
        <v>#REF!</v>
      </c>
      <c r="M61" s="162" t="e">
        <f>VLOOKUP(M$2,#REF!,7,)</f>
        <v>#REF!</v>
      </c>
      <c r="N61" s="123">
        <f>RKAP!$G$118</f>
        <v>68.760000000000005</v>
      </c>
      <c r="O61" s="1">
        <v>29</v>
      </c>
      <c r="P61" s="128"/>
      <c r="Q61" s="127" t="e">
        <f t="shared" ref="Q61:R61" si="101">SUM(Q34:Q60)</f>
        <v>#REF!</v>
      </c>
      <c r="R61" s="127" t="e">
        <f t="shared" si="101"/>
        <v>#REF!</v>
      </c>
      <c r="S61" s="151" t="e">
        <f t="shared" ref="S61:S62" si="102">Q61/R61*100</f>
        <v>#REF!</v>
      </c>
      <c r="T61" s="125"/>
      <c r="U61" s="126" t="e">
        <f>SUM(U34:U60)</f>
        <v>#REF!</v>
      </c>
    </row>
    <row r="62" spans="1:40" ht="13" x14ac:dyDescent="0.3">
      <c r="M62" s="1" t="s">
        <v>198</v>
      </c>
      <c r="N62" s="165">
        <v>67.5</v>
      </c>
      <c r="O62" s="1">
        <v>30</v>
      </c>
      <c r="P62" s="128"/>
      <c r="Q62" s="166" t="e">
        <f>N62/100*R62</f>
        <v>#REF!</v>
      </c>
      <c r="R62" s="166" t="e">
        <f>$R$61</f>
        <v>#REF!</v>
      </c>
      <c r="S62" s="156" t="e">
        <f t="shared" si="102"/>
        <v>#REF!</v>
      </c>
      <c r="T62" s="167">
        <v>4.0842899315670908E-2</v>
      </c>
      <c r="U62" s="168" t="e">
        <f>U61-(Q61-Q62)</f>
        <v>#REF!</v>
      </c>
      <c r="V62" s="169" t="e">
        <f>SUM(V34:V60)</f>
        <v>#REF!</v>
      </c>
      <c r="W62" s="166" t="e">
        <f t="shared" ref="W62:X62" si="103">SUM(W35:W41,W43:W45,W46,W48:W51,W53:W57,W59:W60)</f>
        <v>#REF!</v>
      </c>
      <c r="X62" s="166" t="e">
        <f t="shared" si="103"/>
        <v>#REF!</v>
      </c>
      <c r="Y62" s="170" t="str">
        <f>IFERROR(W62/X62*100,"")</f>
        <v/>
      </c>
    </row>
    <row r="63" spans="1:40" ht="12.5" x14ac:dyDescent="0.25">
      <c r="A63" s="171"/>
      <c r="B63" s="172"/>
      <c r="C63" s="11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73"/>
      <c r="Q63" s="120"/>
      <c r="R63" s="120"/>
      <c r="S63" s="120"/>
      <c r="T63" s="117" t="s">
        <v>199</v>
      </c>
      <c r="U63" s="117" t="s">
        <v>200</v>
      </c>
      <c r="V63" s="117" t="s">
        <v>201</v>
      </c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</row>
    <row r="64" spans="1:40" ht="12.5" x14ac:dyDescent="0.25"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</row>
    <row r="65" spans="1:40" ht="12.5" x14ac:dyDescent="0.25"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</row>
    <row r="66" spans="1:40" ht="12.5" x14ac:dyDescent="0.25">
      <c r="A66" s="1" t="s">
        <v>138</v>
      </c>
    </row>
    <row r="67" spans="1:40" ht="13" x14ac:dyDescent="0.3">
      <c r="A67" s="130" t="s">
        <v>203</v>
      </c>
    </row>
    <row r="68" spans="1:40" ht="13" x14ac:dyDescent="0.3">
      <c r="A68" s="130" t="s">
        <v>204</v>
      </c>
    </row>
    <row r="69" spans="1:40" ht="13" x14ac:dyDescent="0.3">
      <c r="A69" s="130" t="s">
        <v>205</v>
      </c>
    </row>
    <row r="70" spans="1:40" ht="12.5" x14ac:dyDescent="0.25">
      <c r="A70" s="1" t="s">
        <v>206</v>
      </c>
    </row>
    <row r="71" spans="1:40" ht="12.5" x14ac:dyDescent="0.25">
      <c r="A71" s="1" t="s">
        <v>207</v>
      </c>
    </row>
    <row r="72" spans="1:40" ht="12.5" x14ac:dyDescent="0.25">
      <c r="A72" s="1" t="s">
        <v>208</v>
      </c>
    </row>
  </sheetData>
  <mergeCells count="1">
    <mergeCell ref="W1:Y1"/>
  </mergeCells>
  <conditionalFormatting sqref="B3:M3">
    <cfRule type="cellIs" dxfId="108" priority="1" operator="greaterThan">
      <formula>87.6</formula>
    </cfRule>
  </conditionalFormatting>
  <conditionalFormatting sqref="B4:M4">
    <cfRule type="cellIs" dxfId="107" priority="2" operator="greaterThan">
      <formula>85</formula>
    </cfRule>
  </conditionalFormatting>
  <conditionalFormatting sqref="B5:M5">
    <cfRule type="cellIs" dxfId="106" priority="3" operator="greaterThan">
      <formula>95.5</formula>
    </cfRule>
  </conditionalFormatting>
  <conditionalFormatting sqref="B6:M6">
    <cfRule type="cellIs" dxfId="105" priority="4" operator="greaterThan">
      <formula>88.4</formula>
    </cfRule>
  </conditionalFormatting>
  <conditionalFormatting sqref="B6:M6">
    <cfRule type="cellIs" dxfId="104" priority="5" operator="lessThanOrEqual">
      <formula>88.4</formula>
    </cfRule>
  </conditionalFormatting>
  <conditionalFormatting sqref="B3:M3">
    <cfRule type="cellIs" dxfId="103" priority="6" operator="lessThanOrEqual">
      <formula>87.6</formula>
    </cfRule>
  </conditionalFormatting>
  <conditionalFormatting sqref="B4:M4">
    <cfRule type="cellIs" dxfId="102" priority="7" operator="lessThanOrEqual">
      <formula>85</formula>
    </cfRule>
  </conditionalFormatting>
  <conditionalFormatting sqref="B5:M5">
    <cfRule type="cellIs" dxfId="101" priority="8" operator="lessThanOrEqual">
      <formula>95.5</formula>
    </cfRule>
  </conditionalFormatting>
  <conditionalFormatting sqref="B7:M7">
    <cfRule type="cellIs" dxfId="100" priority="9" operator="greaterThan">
      <formula>88.2</formula>
    </cfRule>
  </conditionalFormatting>
  <conditionalFormatting sqref="B7:M7">
    <cfRule type="cellIs" dxfId="99" priority="10" operator="lessThanOrEqual">
      <formula>88.2</formula>
    </cfRule>
  </conditionalFormatting>
  <conditionalFormatting sqref="B8:M8">
    <cfRule type="cellIs" dxfId="98" priority="11" operator="greaterThan">
      <formula>96.4</formula>
    </cfRule>
  </conditionalFormatting>
  <conditionalFormatting sqref="B8:M8">
    <cfRule type="cellIs" dxfId="97" priority="12" operator="lessThanOrEqual">
      <formula>96.4</formula>
    </cfRule>
  </conditionalFormatting>
  <conditionalFormatting sqref="B9:M9">
    <cfRule type="cellIs" dxfId="96" priority="13" operator="greaterThan">
      <formula>93</formula>
    </cfRule>
  </conditionalFormatting>
  <conditionalFormatting sqref="B9:M9">
    <cfRule type="cellIs" dxfId="95" priority="14" operator="lessThanOrEqual">
      <formula>93</formula>
    </cfRule>
  </conditionalFormatting>
  <conditionalFormatting sqref="B10:M10">
    <cfRule type="cellIs" dxfId="94" priority="15" operator="greaterThan">
      <formula>70</formula>
    </cfRule>
  </conditionalFormatting>
  <conditionalFormatting sqref="B10:M10">
    <cfRule type="cellIs" dxfId="93" priority="16" operator="lessThanOrEqual">
      <formula>70</formula>
    </cfRule>
  </conditionalFormatting>
  <conditionalFormatting sqref="B11:M11">
    <cfRule type="cellIs" dxfId="92" priority="17" operator="greaterThan">
      <formula>58.61</formula>
    </cfRule>
  </conditionalFormatting>
  <conditionalFormatting sqref="B11:M11">
    <cfRule type="cellIs" dxfId="91" priority="18" operator="lessThanOrEqual">
      <formula>58.61</formula>
    </cfRule>
  </conditionalFormatting>
  <conditionalFormatting sqref="B12:M12">
    <cfRule type="cellIs" dxfId="90" priority="19" operator="greaterThan">
      <formula>58</formula>
    </cfRule>
  </conditionalFormatting>
  <conditionalFormatting sqref="B12:M12">
    <cfRule type="cellIs" dxfId="89" priority="20" operator="lessThanOrEqual">
      <formula>58</formula>
    </cfRule>
  </conditionalFormatting>
  <conditionalFormatting sqref="B15:M15">
    <cfRule type="cellIs" dxfId="88" priority="21" operator="greaterThan">
      <formula>58</formula>
    </cfRule>
  </conditionalFormatting>
  <conditionalFormatting sqref="B15:M15">
    <cfRule type="cellIs" dxfId="87" priority="22" operator="lessThanOrEqual">
      <formula>58</formula>
    </cfRule>
  </conditionalFormatting>
  <conditionalFormatting sqref="B16:M16">
    <cfRule type="cellIs" dxfId="86" priority="23" operator="greaterThan">
      <formula>89.81</formula>
    </cfRule>
  </conditionalFormatting>
  <conditionalFormatting sqref="B16:M16">
    <cfRule type="cellIs" dxfId="85" priority="24" operator="lessThanOrEqual">
      <formula>89.81</formula>
    </cfRule>
  </conditionalFormatting>
  <conditionalFormatting sqref="B17:M17">
    <cfRule type="cellIs" dxfId="84" priority="25" operator="greaterThan">
      <formula>80.36</formula>
    </cfRule>
  </conditionalFormatting>
  <conditionalFormatting sqref="B17:M17">
    <cfRule type="cellIs" dxfId="83" priority="26" operator="lessThanOrEqual">
      <formula>80.36</formula>
    </cfRule>
  </conditionalFormatting>
  <conditionalFormatting sqref="B18:M18">
    <cfRule type="cellIs" dxfId="82" priority="27" operator="greaterThan">
      <formula>90.32</formula>
    </cfRule>
  </conditionalFormatting>
  <conditionalFormatting sqref="B18:M18">
    <cfRule type="cellIs" dxfId="81" priority="28" operator="lessThanOrEqual">
      <formula>90.32</formula>
    </cfRule>
  </conditionalFormatting>
  <conditionalFormatting sqref="B19:M19">
    <cfRule type="cellIs" dxfId="80" priority="29" operator="greaterThan">
      <formula>86.96</formula>
    </cfRule>
  </conditionalFormatting>
  <conditionalFormatting sqref="B19:M19">
    <cfRule type="cellIs" dxfId="79" priority="30" operator="lessThanOrEqual">
      <formula>86.96</formula>
    </cfRule>
  </conditionalFormatting>
  <conditionalFormatting sqref="B21:M21">
    <cfRule type="cellIs" dxfId="78" priority="31" operator="greaterThan">
      <formula>70.41</formula>
    </cfRule>
  </conditionalFormatting>
  <conditionalFormatting sqref="B21:M21">
    <cfRule type="cellIs" dxfId="77" priority="32" operator="lessThanOrEqual">
      <formula>70.41</formula>
    </cfRule>
  </conditionalFormatting>
  <conditionalFormatting sqref="B22:M22">
    <cfRule type="cellIs" dxfId="76" priority="33" operator="greaterThan">
      <formula>60.91</formula>
    </cfRule>
  </conditionalFormatting>
  <conditionalFormatting sqref="B22:M22">
    <cfRule type="cellIs" dxfId="75" priority="34" operator="lessThanOrEqual">
      <formula>60.91</formula>
    </cfRule>
  </conditionalFormatting>
  <conditionalFormatting sqref="B23:M23">
    <cfRule type="cellIs" dxfId="74" priority="35" operator="greaterThan">
      <formula>95.5</formula>
    </cfRule>
  </conditionalFormatting>
  <conditionalFormatting sqref="B23:M23">
    <cfRule type="cellIs" dxfId="73" priority="36" operator="lessThanOrEqual">
      <formula>95.5</formula>
    </cfRule>
  </conditionalFormatting>
  <conditionalFormatting sqref="B24:M24">
    <cfRule type="cellIs" dxfId="72" priority="37" operator="greaterThan">
      <formula>86.96</formula>
    </cfRule>
  </conditionalFormatting>
  <conditionalFormatting sqref="B24:M24">
    <cfRule type="cellIs" dxfId="71" priority="38" operator="lessThanOrEqual">
      <formula>86.96</formula>
    </cfRule>
  </conditionalFormatting>
  <conditionalFormatting sqref="B27:M27">
    <cfRule type="cellIs" dxfId="70" priority="39" operator="greaterThan">
      <formula>63.3</formula>
    </cfRule>
  </conditionalFormatting>
  <conditionalFormatting sqref="B27:M27">
    <cfRule type="cellIs" dxfId="69" priority="40" operator="lessThanOrEqual">
      <formula>63.3</formula>
    </cfRule>
  </conditionalFormatting>
  <conditionalFormatting sqref="B28:M28">
    <cfRule type="cellIs" dxfId="68" priority="41" operator="greaterThan">
      <formula>58.5</formula>
    </cfRule>
  </conditionalFormatting>
  <conditionalFormatting sqref="B28:M28">
    <cfRule type="cellIs" dxfId="67" priority="42" operator="lessThanOrEqual">
      <formula>58.5</formula>
    </cfRule>
  </conditionalFormatting>
  <conditionalFormatting sqref="B29:M29">
    <cfRule type="cellIs" dxfId="66" priority="43" operator="greaterThan">
      <formula>85.5</formula>
    </cfRule>
  </conditionalFormatting>
  <conditionalFormatting sqref="B29:M29">
    <cfRule type="cellIs" dxfId="65" priority="44" operator="lessThanOrEqual">
      <formula>85.5</formula>
    </cfRule>
  </conditionalFormatting>
  <conditionalFormatting sqref="B13:M13">
    <cfRule type="cellIs" dxfId="64" priority="45" operator="greaterThan">
      <formula>91.12</formula>
    </cfRule>
  </conditionalFormatting>
  <conditionalFormatting sqref="B13:M13">
    <cfRule type="cellIs" dxfId="63" priority="46" operator="lessThanOrEqual">
      <formula>91.12</formula>
    </cfRule>
  </conditionalFormatting>
  <conditionalFormatting sqref="B14:M14">
    <cfRule type="cellIs" dxfId="62" priority="47" operator="greaterThan">
      <formula>70</formula>
    </cfRule>
  </conditionalFormatting>
  <conditionalFormatting sqref="B14:M14">
    <cfRule type="cellIs" dxfId="61" priority="48" operator="lessThanOrEqual">
      <formula>70</formula>
    </cfRule>
  </conditionalFormatting>
  <conditionalFormatting sqref="B20:M20">
    <cfRule type="cellIs" dxfId="60" priority="49" operator="greaterThan">
      <formula>95.5</formula>
    </cfRule>
  </conditionalFormatting>
  <conditionalFormatting sqref="B20:M20">
    <cfRule type="cellIs" dxfId="59" priority="50" operator="lessThanOrEqual">
      <formula>95.5</formula>
    </cfRule>
  </conditionalFormatting>
  <conditionalFormatting sqref="B25:M25">
    <cfRule type="cellIs" dxfId="58" priority="51" operator="greaterThan">
      <formula>90.32</formula>
    </cfRule>
  </conditionalFormatting>
  <conditionalFormatting sqref="B25:M25">
    <cfRule type="cellIs" dxfId="57" priority="52" operator="lessThanOrEqual">
      <formula>90.32</formula>
    </cfRule>
  </conditionalFormatting>
  <conditionalFormatting sqref="B30:M30">
    <cfRule type="cellIs" dxfId="56" priority="53" operator="greaterThan">
      <formula>68.76</formula>
    </cfRule>
  </conditionalFormatting>
  <conditionalFormatting sqref="B30:M30">
    <cfRule type="cellIs" dxfId="55" priority="54" operator="lessThanOrEqual">
      <formula>68.76</formula>
    </cfRule>
  </conditionalFormatting>
  <conditionalFormatting sqref="B34:M34">
    <cfRule type="cellIs" dxfId="54" priority="55" operator="greaterThan">
      <formula>87.12</formula>
    </cfRule>
  </conditionalFormatting>
  <conditionalFormatting sqref="B35:M35">
    <cfRule type="cellIs" dxfId="53" priority="56" operator="greaterThan">
      <formula>88.5</formula>
    </cfRule>
  </conditionalFormatting>
  <conditionalFormatting sqref="B35:M35">
    <cfRule type="cellIs" dxfId="52" priority="57" operator="lessThanOrEqual">
      <formula>88.5</formula>
    </cfRule>
  </conditionalFormatting>
  <conditionalFormatting sqref="B34:M34">
    <cfRule type="cellIs" dxfId="51" priority="58" operator="lessThanOrEqual">
      <formula>87.12</formula>
    </cfRule>
  </conditionalFormatting>
  <conditionalFormatting sqref="B36:M36">
    <cfRule type="cellIs" dxfId="50" priority="59" operator="greaterThan">
      <formula>94.6</formula>
    </cfRule>
  </conditionalFormatting>
  <conditionalFormatting sqref="B36:M36">
    <cfRule type="cellIs" dxfId="49" priority="60" operator="lessThanOrEqual">
      <formula>94.6</formula>
    </cfRule>
  </conditionalFormatting>
  <conditionalFormatting sqref="B37:M37">
    <cfRule type="cellIs" dxfId="48" priority="61" operator="greaterThan">
      <formula>88</formula>
    </cfRule>
  </conditionalFormatting>
  <conditionalFormatting sqref="B37:M37">
    <cfRule type="cellIs" dxfId="47" priority="62" operator="lessThanOrEqual">
      <formula>88</formula>
    </cfRule>
  </conditionalFormatting>
  <conditionalFormatting sqref="B38:M38">
    <cfRule type="cellIs" dxfId="46" priority="63" operator="greaterThan">
      <formula>87.3</formula>
    </cfRule>
  </conditionalFormatting>
  <conditionalFormatting sqref="B38:M38">
    <cfRule type="cellIs" dxfId="45" priority="64" operator="lessThanOrEqual">
      <formula>87.3</formula>
    </cfRule>
  </conditionalFormatting>
  <conditionalFormatting sqref="B39:M39">
    <cfRule type="cellIs" dxfId="44" priority="65" operator="greaterThan">
      <formula>96.4</formula>
    </cfRule>
  </conditionalFormatting>
  <conditionalFormatting sqref="B39:M39">
    <cfRule type="cellIs" dxfId="43" priority="66" operator="lessThanOrEqual">
      <formula>96.4</formula>
    </cfRule>
  </conditionalFormatting>
  <conditionalFormatting sqref="B40:M40">
    <cfRule type="cellIs" dxfId="42" priority="67" operator="greaterThan">
      <formula>93</formula>
    </cfRule>
  </conditionalFormatting>
  <conditionalFormatting sqref="B40:M40">
    <cfRule type="cellIs" dxfId="41" priority="68" operator="lessThanOrEqual">
      <formula>93</formula>
    </cfRule>
  </conditionalFormatting>
  <conditionalFormatting sqref="B41:M41">
    <cfRule type="cellIs" dxfId="40" priority="69" operator="greaterThan">
      <formula>70</formula>
    </cfRule>
  </conditionalFormatting>
  <conditionalFormatting sqref="B41:M41">
    <cfRule type="cellIs" dxfId="39" priority="70" operator="lessThanOrEqual">
      <formula>70</formula>
    </cfRule>
  </conditionalFormatting>
  <conditionalFormatting sqref="B42:M42">
    <cfRule type="cellIs" dxfId="38" priority="71" operator="greaterThan">
      <formula>58.65</formula>
    </cfRule>
  </conditionalFormatting>
  <conditionalFormatting sqref="B42:M42">
    <cfRule type="cellIs" dxfId="37" priority="72" operator="lessThanOrEqual">
      <formula>58.65</formula>
    </cfRule>
  </conditionalFormatting>
  <conditionalFormatting sqref="B43:M43">
    <cfRule type="cellIs" dxfId="36" priority="73" operator="greaterThan">
      <formula>58</formula>
    </cfRule>
  </conditionalFormatting>
  <conditionalFormatting sqref="B43:M43">
    <cfRule type="cellIs" dxfId="35" priority="74" operator="lessThanOrEqual">
      <formula>58</formula>
    </cfRule>
  </conditionalFormatting>
  <conditionalFormatting sqref="B44:M44">
    <cfRule type="cellIs" dxfId="34" priority="75" operator="greaterThan">
      <formula>91.12</formula>
    </cfRule>
  </conditionalFormatting>
  <conditionalFormatting sqref="B44:M44">
    <cfRule type="cellIs" dxfId="33" priority="76" operator="lessThanOrEqual">
      <formula>91.12</formula>
    </cfRule>
  </conditionalFormatting>
  <conditionalFormatting sqref="B45:M45">
    <cfRule type="cellIs" dxfId="32" priority="77" operator="greaterThan">
      <formula>70</formula>
    </cfRule>
  </conditionalFormatting>
  <conditionalFormatting sqref="B45:M45">
    <cfRule type="cellIs" dxfId="31" priority="78" operator="lessThanOrEqual">
      <formula>70</formula>
    </cfRule>
  </conditionalFormatting>
  <conditionalFormatting sqref="B46:M46">
    <cfRule type="cellIs" dxfId="30" priority="79" operator="greaterThan">
      <formula>58</formula>
    </cfRule>
  </conditionalFormatting>
  <conditionalFormatting sqref="B46:M46">
    <cfRule type="cellIs" dxfId="29" priority="80" operator="lessThanOrEqual">
      <formula>58</formula>
    </cfRule>
  </conditionalFormatting>
  <conditionalFormatting sqref="B47:M47">
    <cfRule type="cellIs" dxfId="28" priority="81" operator="greaterThan">
      <formula>91.1</formula>
    </cfRule>
  </conditionalFormatting>
  <conditionalFormatting sqref="B47:M47">
    <cfRule type="cellIs" dxfId="27" priority="82" operator="lessThanOrEqual">
      <formula>91.1</formula>
    </cfRule>
  </conditionalFormatting>
  <conditionalFormatting sqref="B48:M48">
    <cfRule type="cellIs" dxfId="26" priority="83" operator="greaterThan">
      <formula>84.78</formula>
    </cfRule>
  </conditionalFormatting>
  <conditionalFormatting sqref="B48:M48">
    <cfRule type="cellIs" dxfId="25" priority="84" operator="lessThanOrEqual">
      <formula>84.78</formula>
    </cfRule>
  </conditionalFormatting>
  <conditionalFormatting sqref="B49:M49">
    <cfRule type="cellIs" dxfId="24" priority="85" operator="greaterThan">
      <formula>90.32</formula>
    </cfRule>
  </conditionalFormatting>
  <conditionalFormatting sqref="B49:M49">
    <cfRule type="cellIs" dxfId="23" priority="86" operator="lessThanOrEqual">
      <formula>90.32</formula>
    </cfRule>
  </conditionalFormatting>
  <conditionalFormatting sqref="B50:M50">
    <cfRule type="cellIs" dxfId="22" priority="87" operator="greaterThan">
      <formula>86.96</formula>
    </cfRule>
  </conditionalFormatting>
  <conditionalFormatting sqref="B50:M50">
    <cfRule type="cellIs" dxfId="21" priority="88" operator="lessThanOrEqual">
      <formula>86.96</formula>
    </cfRule>
  </conditionalFormatting>
  <conditionalFormatting sqref="B51:M51">
    <cfRule type="cellIs" dxfId="20" priority="89" operator="greaterThan">
      <formula>95.5</formula>
    </cfRule>
  </conditionalFormatting>
  <conditionalFormatting sqref="B51:M51">
    <cfRule type="cellIs" dxfId="19" priority="90" operator="lessThanOrEqual">
      <formula>95.5</formula>
    </cfRule>
  </conditionalFormatting>
  <conditionalFormatting sqref="B52:M52">
    <cfRule type="cellIs" dxfId="18" priority="91" operator="greaterThan">
      <formula>74.09</formula>
    </cfRule>
  </conditionalFormatting>
  <conditionalFormatting sqref="B52:M52">
    <cfRule type="cellIs" dxfId="17" priority="92" operator="lessThanOrEqual">
      <formula>74.09</formula>
    </cfRule>
  </conditionalFormatting>
  <conditionalFormatting sqref="B53:M53">
    <cfRule type="cellIs" dxfId="16" priority="93" operator="greaterThan">
      <formula>62.71</formula>
    </cfRule>
  </conditionalFormatting>
  <conditionalFormatting sqref="B53:M53">
    <cfRule type="cellIs" dxfId="15" priority="94" operator="lessThanOrEqual">
      <formula>62.71</formula>
    </cfRule>
  </conditionalFormatting>
  <conditionalFormatting sqref="B54:M54">
    <cfRule type="cellIs" dxfId="14" priority="95" operator="greaterThan">
      <formula>95.5</formula>
    </cfRule>
  </conditionalFormatting>
  <conditionalFormatting sqref="B54:M54">
    <cfRule type="cellIs" dxfId="13" priority="96" operator="lessThanOrEqual">
      <formula>95.5</formula>
    </cfRule>
  </conditionalFormatting>
  <conditionalFormatting sqref="B55:M55">
    <cfRule type="cellIs" dxfId="12" priority="97" operator="greaterThan">
      <formula>86.96</formula>
    </cfRule>
  </conditionalFormatting>
  <conditionalFormatting sqref="B55:M55">
    <cfRule type="cellIs" dxfId="11" priority="98" operator="lessThanOrEqual">
      <formula>86.96</formula>
    </cfRule>
  </conditionalFormatting>
  <conditionalFormatting sqref="B56:M56">
    <cfRule type="cellIs" dxfId="10" priority="99" operator="greaterThan">
      <formula>90.32</formula>
    </cfRule>
  </conditionalFormatting>
  <conditionalFormatting sqref="B56:M56">
    <cfRule type="cellIs" dxfId="9" priority="100" operator="lessThanOrEqual">
      <formula>90.32</formula>
    </cfRule>
  </conditionalFormatting>
  <conditionalFormatting sqref="B58:M58">
    <cfRule type="cellIs" dxfId="8" priority="101" operator="greaterThan">
      <formula>64.78</formula>
    </cfRule>
  </conditionalFormatting>
  <conditionalFormatting sqref="B58:M58">
    <cfRule type="cellIs" dxfId="7" priority="102" operator="lessThanOrEqual">
      <formula>64.78</formula>
    </cfRule>
  </conditionalFormatting>
  <conditionalFormatting sqref="B59:M59">
    <cfRule type="cellIs" dxfId="6" priority="103" operator="greaterThan">
      <formula>58.5</formula>
    </cfRule>
  </conditionalFormatting>
  <conditionalFormatting sqref="B59:M59">
    <cfRule type="cellIs" dxfId="5" priority="104" operator="lessThanOrEqual">
      <formula>58.5</formula>
    </cfRule>
  </conditionalFormatting>
  <conditionalFormatting sqref="B60:M60">
    <cfRule type="cellIs" dxfId="4" priority="105" operator="greaterThan">
      <formula>85.5</formula>
    </cfRule>
  </conditionalFormatting>
  <conditionalFormatting sqref="B60:M60">
    <cfRule type="cellIs" dxfId="3" priority="106" operator="lessThanOrEqual">
      <formula>85.5</formula>
    </cfRule>
  </conditionalFormatting>
  <conditionalFormatting sqref="B61:M61">
    <cfRule type="cellIs" dxfId="2" priority="107" operator="greaterThan">
      <formula>69.61</formula>
    </cfRule>
  </conditionalFormatting>
  <conditionalFormatting sqref="B61:M61">
    <cfRule type="cellIs" dxfId="1" priority="108" operator="lessThanOrEqual">
      <formula>69.61</formula>
    </cfRule>
  </conditionalFormatting>
  <conditionalFormatting sqref="U4:U5 U17 U26">
    <cfRule type="cellIs" dxfId="0" priority="109" operator="equal">
      <formula>"MIN("</formula>
    </cfRule>
  </conditionalFormatting>
  <dataValidations count="1">
    <dataValidation type="list" allowBlank="1" showErrorMessage="1" sqref="T5:T10 T12:T15 T18:T20 T22:T25 T28:T29 T35:T41 T43:T46 T48:T51 T53:T57 T59:T60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Formula!$A$1:$A$12</xm:f>
          </x14:formula1>
          <xm:sqref>Q1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topLeftCell="A20" workbookViewId="0"/>
  </sheetViews>
  <sheetFormatPr defaultColWidth="12.6328125" defaultRowHeight="15.75" customHeight="1" x14ac:dyDescent="0.25"/>
  <sheetData>
    <row r="1" spans="1:26" ht="14.5" hidden="1" x14ac:dyDescent="0.35">
      <c r="A1" s="219" t="s">
        <v>209</v>
      </c>
      <c r="B1" s="218" t="s">
        <v>106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9" t="s">
        <v>209</v>
      </c>
      <c r="O1" s="218" t="s">
        <v>107</v>
      </c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 spans="1:26" ht="14.5" hidden="1" x14ac:dyDescent="0.35">
      <c r="A2" s="216"/>
      <c r="B2" s="174" t="s">
        <v>4</v>
      </c>
      <c r="C2" s="174" t="s">
        <v>5</v>
      </c>
      <c r="D2" s="174" t="s">
        <v>6</v>
      </c>
      <c r="E2" s="174" t="s">
        <v>7</v>
      </c>
      <c r="F2" s="174" t="s">
        <v>8</v>
      </c>
      <c r="G2" s="174" t="s">
        <v>9</v>
      </c>
      <c r="H2" s="174" t="s">
        <v>10</v>
      </c>
      <c r="I2" s="174" t="s">
        <v>11</v>
      </c>
      <c r="J2" s="174" t="s">
        <v>12</v>
      </c>
      <c r="K2" s="174" t="s">
        <v>13</v>
      </c>
      <c r="L2" s="174" t="s">
        <v>14</v>
      </c>
      <c r="M2" s="174" t="s">
        <v>15</v>
      </c>
      <c r="N2" s="216"/>
      <c r="O2" s="174" t="s">
        <v>4</v>
      </c>
      <c r="P2" s="174" t="s">
        <v>5</v>
      </c>
      <c r="Q2" s="174" t="s">
        <v>6</v>
      </c>
      <c r="R2" s="174" t="s">
        <v>7</v>
      </c>
      <c r="S2" s="174" t="s">
        <v>8</v>
      </c>
      <c r="T2" s="174" t="s">
        <v>9</v>
      </c>
      <c r="U2" s="174" t="s">
        <v>10</v>
      </c>
      <c r="V2" s="174" t="s">
        <v>11</v>
      </c>
      <c r="W2" s="174" t="s">
        <v>12</v>
      </c>
      <c r="X2" s="174" t="s">
        <v>13</v>
      </c>
      <c r="Y2" s="174" t="s">
        <v>14</v>
      </c>
      <c r="Z2" s="174" t="s">
        <v>15</v>
      </c>
    </row>
    <row r="3" spans="1:26" ht="14.5" hidden="1" x14ac:dyDescent="0.35">
      <c r="A3" s="10" t="s">
        <v>145</v>
      </c>
      <c r="B3" s="175">
        <f ca="1">IFERROR(__xludf.DUMMYFUNCTION("IMPORTRANGE(""https://docs.google.com/spreadsheets/d/15DATFXlrV_2m6DgF3D4RmzewL4LTELVJeEZLGqbYM2M/edit?usp=drive_link"",""stec_tsr!C2:N2"")"),3361.3040013049)</f>
        <v>3361.3040013048999</v>
      </c>
      <c r="C3" s="53">
        <f ca="1">IFERROR(__xludf.DUMMYFUNCTION("""COMPUTED_VALUE"""),3322.87029508488)</f>
        <v>3322.8702950848801</v>
      </c>
      <c r="D3" s="53">
        <f ca="1">IFERROR(__xludf.DUMMYFUNCTION("""COMPUTED_VALUE"""),0)</f>
        <v>0</v>
      </c>
      <c r="E3" s="53">
        <f ca="1">IFERROR(__xludf.DUMMYFUNCTION("""COMPUTED_VALUE"""),3497.47186592886)</f>
        <v>3497.4718659288601</v>
      </c>
      <c r="F3" s="53">
        <f ca="1">IFERROR(__xludf.DUMMYFUNCTION("""COMPUTED_VALUE"""),3369.65693466651)</f>
        <v>3369.6569346665101</v>
      </c>
      <c r="G3" s="53"/>
      <c r="H3" s="53"/>
      <c r="I3" s="53"/>
      <c r="J3" s="53"/>
      <c r="K3" s="53"/>
      <c r="L3" s="53"/>
      <c r="M3" s="53"/>
      <c r="N3" s="10" t="s">
        <v>145</v>
      </c>
      <c r="O3" s="175">
        <f ca="1">IFERROR(__xludf.DUMMYFUNCTION("IMPORTRANGE(""https://docs.google.com/spreadsheets/d/15DATFXlrV_2m6DgF3D4RmzewL4LTELVJeEZLGqbYM2M/edit?usp=drive_link"",""stec_tsr!O2:Z2"")"),3361.3040013049)</f>
        <v>3361.3040013048999</v>
      </c>
      <c r="P3" s="53">
        <f ca="1">IFERROR(__xludf.DUMMYFUNCTION("""COMPUTED_VALUE"""),3356.66894435796)</f>
        <v>3356.6689443579598</v>
      </c>
      <c r="Q3" s="53">
        <f ca="1">IFERROR(__xludf.DUMMYFUNCTION("""COMPUTED_VALUE"""),3356.66894435796)</f>
        <v>3356.6689443579598</v>
      </c>
      <c r="R3" s="53">
        <f ca="1">IFERROR(__xludf.DUMMYFUNCTION("""COMPUTED_VALUE"""),3385.96988306283)</f>
        <v>3385.9698830628299</v>
      </c>
      <c r="S3" s="53">
        <f ca="1">IFERROR(__xludf.DUMMYFUNCTION("""COMPUTED_VALUE"""),3379.60314862827)</f>
        <v>3379.60314862827</v>
      </c>
      <c r="T3" s="53"/>
      <c r="U3" s="53"/>
      <c r="V3" s="53"/>
      <c r="W3" s="53"/>
      <c r="X3" s="53"/>
      <c r="Y3" s="53"/>
      <c r="Z3" s="53"/>
    </row>
    <row r="4" spans="1:26" ht="14.5" hidden="1" x14ac:dyDescent="0.35">
      <c r="A4" s="10" t="s">
        <v>146</v>
      </c>
      <c r="B4" s="175">
        <f ca="1">IFERROR(__xludf.DUMMYFUNCTION("IMPORTRANGE(""https://docs.google.com/spreadsheets/d/15DATFXlrV_2m6DgF3D4RmzewL4LTELVJeEZLGqbYM2M/edit?usp=drive_link"",""stec_tsr!C3:N3"")"),3400.69981804349)</f>
        <v>3400.6998180434898</v>
      </c>
      <c r="C4" s="53">
        <f ca="1">IFERROR(__xludf.DUMMYFUNCTION("""COMPUTED_VALUE"""),3370.86911281634)</f>
        <v>3370.86911281634</v>
      </c>
      <c r="D4" s="53">
        <f ca="1">IFERROR(__xludf.DUMMYFUNCTION("""COMPUTED_VALUE"""),3370.95020258506)</f>
        <v>3370.9502025850602</v>
      </c>
      <c r="E4" s="53">
        <f ca="1">IFERROR(__xludf.DUMMYFUNCTION("""COMPUTED_VALUE"""),3369.86968496953)</f>
        <v>3369.8696849695302</v>
      </c>
      <c r="F4" s="53">
        <f ca="1">IFERROR(__xludf.DUMMYFUNCTION("""COMPUTED_VALUE"""),3402.85024177982)</f>
        <v>3402.85024177982</v>
      </c>
      <c r="G4" s="53"/>
      <c r="H4" s="53"/>
      <c r="I4" s="53"/>
      <c r="J4" s="53"/>
      <c r="K4" s="53"/>
      <c r="L4" s="53"/>
      <c r="M4" s="53"/>
      <c r="N4" s="10" t="s">
        <v>146</v>
      </c>
      <c r="O4" s="175">
        <f ca="1">IFERROR(__xludf.DUMMYFUNCTION("IMPORTRANGE(""https://docs.google.com/spreadsheets/d/15DATFXlrV_2m6DgF3D4RmzewL4LTELVJeEZLGqbYM2M/edit?usp=drive_link"",""stec_tsr!O3:Z3"")"),3400.69981804349)</f>
        <v>3400.6998180434898</v>
      </c>
      <c r="P4" s="53">
        <f ca="1">IFERROR(__xludf.DUMMYFUNCTION("""COMPUTED_VALUE"""),3387.59031145656)</f>
        <v>3387.5903114565599</v>
      </c>
      <c r="Q4" s="53">
        <f ca="1">IFERROR(__xludf.DUMMYFUNCTION("""COMPUTED_VALUE"""),3381.85605807067)</f>
        <v>3381.8560580706699</v>
      </c>
      <c r="R4" s="53">
        <f ca="1">IFERROR(__xludf.DUMMYFUNCTION("""COMPUTED_VALUE"""),3378.93392902187)</f>
        <v>3378.93392902187</v>
      </c>
      <c r="S4" s="53">
        <f ca="1">IFERROR(__xludf.DUMMYFUNCTION("""COMPUTED_VALUE"""),3383.41990074092)</f>
        <v>3383.4199007409202</v>
      </c>
      <c r="T4" s="53"/>
      <c r="U4" s="53"/>
      <c r="V4" s="53"/>
      <c r="W4" s="53"/>
      <c r="X4" s="53"/>
      <c r="Y4" s="53"/>
      <c r="Z4" s="53"/>
    </row>
    <row r="5" spans="1:26" ht="14.5" hidden="1" x14ac:dyDescent="0.35">
      <c r="A5" s="10" t="s">
        <v>147</v>
      </c>
      <c r="B5" s="175">
        <f ca="1">IFERROR(__xludf.DUMMYFUNCTION("IMPORTRANGE(""https://docs.google.com/spreadsheets/d/15DATFXlrV_2m6DgF3D4RmzewL4LTELVJeEZLGqbYM2M/edit?usp=drive_link"",""stec_tsr!C4:N4"")"),3620.18125977935)</f>
        <v>3620.1812597793501</v>
      </c>
      <c r="C5" s="53">
        <f ca="1">IFERROR(__xludf.DUMMYFUNCTION("""COMPUTED_VALUE"""),3436.32566428926)</f>
        <v>3436.3256642892602</v>
      </c>
      <c r="D5" s="53">
        <f ca="1">IFERROR(__xludf.DUMMYFUNCTION("""COMPUTED_VALUE"""),3330.45814820879)</f>
        <v>3330.4581482087901</v>
      </c>
      <c r="E5" s="53">
        <f ca="1">IFERROR(__xludf.DUMMYFUNCTION("""COMPUTED_VALUE"""),3339.86179242211)</f>
        <v>3339.8617924221098</v>
      </c>
      <c r="F5" s="53">
        <f ca="1">IFERROR(__xludf.DUMMYFUNCTION("""COMPUTED_VALUE"""),3516.57748399218)</f>
        <v>3516.5774839921801</v>
      </c>
      <c r="G5" s="53"/>
      <c r="H5" s="53"/>
      <c r="I5" s="53"/>
      <c r="J5" s="53"/>
      <c r="K5" s="53"/>
      <c r="L5" s="53"/>
      <c r="M5" s="53"/>
      <c r="N5" s="10" t="s">
        <v>147</v>
      </c>
      <c r="O5" s="175">
        <f ca="1">IFERROR(__xludf.DUMMYFUNCTION("IMPORTRANGE(""https://docs.google.com/spreadsheets/d/15DATFXlrV_2m6DgF3D4RmzewL4LTELVJeEZLGqbYM2M/edit?usp=drive_link"",""stec_tsr!O4:Z4"")"),3620.18125977935)</f>
        <v>3620.1812597793501</v>
      </c>
      <c r="P5" s="53">
        <f ca="1">IFERROR(__xludf.DUMMYFUNCTION("""COMPUTED_VALUE"""),3517.78901797158)</f>
        <v>3517.7890179715801</v>
      </c>
      <c r="Q5" s="53">
        <f ca="1">IFERROR(__xludf.DUMMYFUNCTION("""COMPUTED_VALUE"""),3439.79198372823)</f>
        <v>3439.7919837282302</v>
      </c>
      <c r="R5" s="53">
        <f ca="1">IFERROR(__xludf.DUMMYFUNCTION("""COMPUTED_VALUE"""),3416.99828326991)</f>
        <v>3416.9982832699102</v>
      </c>
      <c r="S5" s="53">
        <f ca="1">IFERROR(__xludf.DUMMYFUNCTION("""COMPUTED_VALUE"""),3433.81469032648)</f>
        <v>3433.8146903264801</v>
      </c>
      <c r="T5" s="53"/>
      <c r="U5" s="53"/>
      <c r="V5" s="53"/>
      <c r="W5" s="53"/>
      <c r="X5" s="53"/>
      <c r="Y5" s="53"/>
      <c r="Z5" s="53"/>
    </row>
    <row r="6" spans="1:26" ht="14.5" hidden="1" x14ac:dyDescent="0.35">
      <c r="A6" s="10" t="s">
        <v>148</v>
      </c>
      <c r="B6" s="175">
        <f ca="1">IFERROR(__xludf.DUMMYFUNCTION("IMPORTRANGE(""https://docs.google.com/spreadsheets/d/15DATFXlrV_2m6DgF3D4RmzewL4LTELVJeEZLGqbYM2M/edit?usp=drive_link"",""stec_tsr!C5:N5"")"),3248.99923531484)</f>
        <v>3248.99923531484</v>
      </c>
      <c r="C6" s="53">
        <f ca="1">IFERROR(__xludf.DUMMYFUNCTION("""COMPUTED_VALUE"""),3260.99999999999)</f>
        <v>3260.99999999999</v>
      </c>
      <c r="D6" s="53">
        <f ca="1">IFERROR(__xludf.DUMMYFUNCTION("""COMPUTED_VALUE"""),3280.99999999999)</f>
        <v>3280.99999999999</v>
      </c>
      <c r="E6" s="53">
        <f ca="1">IFERROR(__xludf.DUMMYFUNCTION("""COMPUTED_VALUE"""),3259)</f>
        <v>3259</v>
      </c>
      <c r="F6" s="53">
        <f ca="1">IFERROR(__xludf.DUMMYFUNCTION("""COMPUTED_VALUE"""),3268.99995581214)</f>
        <v>3268.9999558121399</v>
      </c>
      <c r="G6" s="53"/>
      <c r="H6" s="53"/>
      <c r="I6" s="53"/>
      <c r="J6" s="53"/>
      <c r="K6" s="53"/>
      <c r="L6" s="53"/>
      <c r="M6" s="53"/>
      <c r="N6" s="10" t="s">
        <v>148</v>
      </c>
      <c r="O6" s="175">
        <f ca="1">IFERROR(__xludf.DUMMYFUNCTION("IMPORTRANGE(""https://docs.google.com/spreadsheets/d/15DATFXlrV_2m6DgF3D4RmzewL4LTELVJeEZLGqbYM2M/edit?usp=drive_link"",""stec_tsr!O5:Z5"")"),3248.99923531484)</f>
        <v>3248.99923531484</v>
      </c>
      <c r="P6" s="53">
        <f ca="1">IFERROR(__xludf.DUMMYFUNCTION("""COMPUTED_VALUE"""),3254.62608407835)</f>
        <v>3254.6260840783498</v>
      </c>
      <c r="Q6" s="53">
        <f ca="1">IFERROR(__xludf.DUMMYFUNCTION("""COMPUTED_VALUE"""),3261.79093489784)</f>
        <v>3261.7909348978401</v>
      </c>
      <c r="R6" s="53">
        <f ca="1">IFERROR(__xludf.DUMMYFUNCTION("""COMPUTED_VALUE"""),3261.0457970917)</f>
        <v>3261.0457970917</v>
      </c>
      <c r="S6" s="53">
        <f ca="1">IFERROR(__xludf.DUMMYFUNCTION("""COMPUTED_VALUE"""),3262.74756997698)</f>
        <v>3262.7475699769798</v>
      </c>
      <c r="T6" s="53"/>
      <c r="U6" s="53"/>
      <c r="V6" s="53"/>
      <c r="W6" s="53"/>
      <c r="X6" s="53"/>
      <c r="Y6" s="53"/>
      <c r="Z6" s="53"/>
    </row>
    <row r="7" spans="1:26" ht="14.5" hidden="1" x14ac:dyDescent="0.35">
      <c r="A7" s="10" t="s">
        <v>149</v>
      </c>
      <c r="B7" s="175">
        <f ca="1">IFERROR(__xludf.DUMMYFUNCTION("IMPORTRANGE(""https://docs.google.com/spreadsheets/d/15DATFXlrV_2m6DgF3D4RmzewL4LTELVJeEZLGqbYM2M/edit?usp=drive_link"",""stec_tsr!C6:N6"")"),3251.99999999999)</f>
        <v>3251.99999999999</v>
      </c>
      <c r="C7" s="53">
        <f ca="1">IFERROR(__xludf.DUMMYFUNCTION("""COMPUTED_VALUE"""),3267)</f>
        <v>3267</v>
      </c>
      <c r="D7" s="53">
        <f ca="1">IFERROR(__xludf.DUMMYFUNCTION("""COMPUTED_VALUE"""),3263.99999999999)</f>
        <v>3263.99999999999</v>
      </c>
      <c r="E7" s="53">
        <f ca="1">IFERROR(__xludf.DUMMYFUNCTION("""COMPUTED_VALUE"""),3268.99999999999)</f>
        <v>3268.99999999999</v>
      </c>
      <c r="F7" s="53">
        <f ca="1">IFERROR(__xludf.DUMMYFUNCTION("""COMPUTED_VALUE"""),3302.0002026848)</f>
        <v>3302.0002026848001</v>
      </c>
      <c r="G7" s="53"/>
      <c r="H7" s="53"/>
      <c r="I7" s="53"/>
      <c r="J7" s="53"/>
      <c r="K7" s="53"/>
      <c r="L7" s="53"/>
      <c r="M7" s="53"/>
      <c r="N7" s="10" t="s">
        <v>149</v>
      </c>
      <c r="O7" s="175">
        <f ca="1">IFERROR(__xludf.DUMMYFUNCTION("IMPORTRANGE(""https://docs.google.com/spreadsheets/d/15DATFXlrV_2m6DgF3D4RmzewL4LTELVJeEZLGqbYM2M/edit?usp=drive_link"",""stec_tsr!O6:Z6"")"),3251.99999999999)</f>
        <v>3251.99999999999</v>
      </c>
      <c r="P7" s="53">
        <f ca="1">IFERROR(__xludf.DUMMYFUNCTION("""COMPUTED_VALUE"""),3258.97921562253)</f>
        <v>3258.9792156225299</v>
      </c>
      <c r="Q7" s="53">
        <f ca="1">IFERROR(__xludf.DUMMYFUNCTION("""COMPUTED_VALUE"""),3260.73009489951)</f>
        <v>3260.7300948995098</v>
      </c>
      <c r="R7" s="53">
        <f ca="1">IFERROR(__xludf.DUMMYFUNCTION("""COMPUTED_VALUE"""),3262.77284385335)</f>
        <v>3262.77284385335</v>
      </c>
      <c r="S7" s="53">
        <f ca="1">IFERROR(__xludf.DUMMYFUNCTION("""COMPUTED_VALUE"""),3267.02773503292)</f>
        <v>3267.0277350329202</v>
      </c>
      <c r="T7" s="53"/>
      <c r="U7" s="53"/>
      <c r="V7" s="53"/>
      <c r="W7" s="53"/>
      <c r="X7" s="53"/>
      <c r="Y7" s="53"/>
      <c r="Z7" s="53"/>
    </row>
    <row r="8" spans="1:26" ht="14.5" hidden="1" x14ac:dyDescent="0.35">
      <c r="A8" s="10" t="s">
        <v>150</v>
      </c>
      <c r="B8" s="175">
        <f ca="1">IFERROR(__xludf.DUMMYFUNCTION("IMPORTRANGE(""https://docs.google.com/spreadsheets/d/15DATFXlrV_2m6DgF3D4RmzewL4LTELVJeEZLGqbYM2M/edit?usp=drive_link"",""stec_tsr!C7:N7"")"),3744.29437237015)</f>
        <v>3744.2943723701501</v>
      </c>
      <c r="C8" s="53">
        <f ca="1">IFERROR(__xludf.DUMMYFUNCTION("""COMPUTED_VALUE"""),3794.24498767104)</f>
        <v>3794.2449876710398</v>
      </c>
      <c r="D8" s="53">
        <f ca="1">IFERROR(__xludf.DUMMYFUNCTION("""COMPUTED_VALUE"""),3687.38590664217)</f>
        <v>3687.3859066421701</v>
      </c>
      <c r="E8" s="53">
        <f ca="1">IFERROR(__xludf.DUMMYFUNCTION("""COMPUTED_VALUE"""),3811.13431515099)</f>
        <v>3811.13431515099</v>
      </c>
      <c r="F8" s="53">
        <f ca="1">IFERROR(__xludf.DUMMYFUNCTION("""COMPUTED_VALUE"""),3809.00180854097)</f>
        <v>3809.0018085409702</v>
      </c>
      <c r="G8" s="53"/>
      <c r="H8" s="53"/>
      <c r="I8" s="53"/>
      <c r="J8" s="53"/>
      <c r="K8" s="53"/>
      <c r="L8" s="53"/>
      <c r="M8" s="53"/>
      <c r="N8" s="10" t="s">
        <v>150</v>
      </c>
      <c r="O8" s="175">
        <f ca="1">IFERROR(__xludf.DUMMYFUNCTION("IMPORTRANGE(""https://docs.google.com/spreadsheets/d/15DATFXlrV_2m6DgF3D4RmzewL4LTELVJeEZLGqbYM2M/edit?usp=drive_link"",""stec_tsr!O7:Z7"")"),3744.29437237015)</f>
        <v>3744.2943723701501</v>
      </c>
      <c r="P8" s="53">
        <f ca="1">IFERROR(__xludf.DUMMYFUNCTION("""COMPUTED_VALUE"""),3772.08464177713)</f>
        <v>3772.0846417771299</v>
      </c>
      <c r="Q8" s="53">
        <f ca="1">IFERROR(__xludf.DUMMYFUNCTION("""COMPUTED_VALUE"""),3735.96596438284)</f>
        <v>3735.96596438284</v>
      </c>
      <c r="R8" s="53">
        <f ca="1">IFERROR(__xludf.DUMMYFUNCTION("""COMPUTED_VALUE"""),3760.92918704586)</f>
        <v>3760.9291870458601</v>
      </c>
      <c r="S8" s="53">
        <f ca="1">IFERROR(__xludf.DUMMYFUNCTION("""COMPUTED_VALUE"""),3767.77563488429)</f>
        <v>3767.77563488429</v>
      </c>
      <c r="T8" s="53"/>
      <c r="U8" s="53"/>
      <c r="V8" s="53"/>
      <c r="W8" s="53"/>
      <c r="X8" s="53"/>
      <c r="Y8" s="53"/>
      <c r="Z8" s="53"/>
    </row>
    <row r="9" spans="1:26" ht="14.5" hidden="1" x14ac:dyDescent="0.35">
      <c r="A9" s="10" t="s">
        <v>151</v>
      </c>
      <c r="B9" s="175">
        <f ca="1">IFERROR(__xludf.DUMMYFUNCTION("IMPORTRANGE(""https://docs.google.com/spreadsheets/d/15DATFXlrV_2m6DgF3D4RmzewL4LTELVJeEZLGqbYM2M/edit?usp=drive_link"",""stec_tsr!C8:N8"")"),3398.35933663557)</f>
        <v>3398.3593366355699</v>
      </c>
      <c r="C9" s="53">
        <f ca="1">IFERROR(__xludf.DUMMYFUNCTION("""COMPUTED_VALUE"""),3378.85632426255)</f>
        <v>3378.8563242625501</v>
      </c>
      <c r="D9" s="53">
        <f ca="1">IFERROR(__xludf.DUMMYFUNCTION("""COMPUTED_VALUE"""),3354.72491802675)</f>
        <v>3354.7249180267499</v>
      </c>
      <c r="E9" s="53">
        <f ca="1">IFERROR(__xludf.DUMMYFUNCTION("""COMPUTED_VALUE"""),3377.75308719933)</f>
        <v>3377.7530871993299</v>
      </c>
      <c r="F9" s="53">
        <f ca="1">IFERROR(__xludf.DUMMYFUNCTION("""COMPUTED_VALUE"""),3408.04205425434)</f>
        <v>3408.0420542543402</v>
      </c>
      <c r="G9" s="53"/>
      <c r="H9" s="53"/>
      <c r="I9" s="53"/>
      <c r="J9" s="53"/>
      <c r="K9" s="53"/>
      <c r="L9" s="53"/>
      <c r="M9" s="53"/>
      <c r="N9" s="10" t="s">
        <v>151</v>
      </c>
      <c r="O9" s="175">
        <f ca="1">IFERROR(__xludf.DUMMYFUNCTION("IMPORTRANGE(""https://docs.google.com/spreadsheets/d/15DATFXlrV_2m6DgF3D4RmzewL4LTELVJeEZLGqbYM2M/edit?usp=drive_link"",""stec_tsr!O8:Z8"")"),3398.35933663557)</f>
        <v>3398.3593366355699</v>
      </c>
      <c r="P9" s="53">
        <f ca="1">IFERROR(__xludf.DUMMYFUNCTION("""COMPUTED_VALUE"""),3389.64133489166)</f>
        <v>3389.6413348916599</v>
      </c>
      <c r="Q9" s="53">
        <f ca="1">IFERROR(__xludf.DUMMYFUNCTION("""COMPUTED_VALUE"""),3378.00316913089)</f>
        <v>3378.00316913089</v>
      </c>
      <c r="R9" s="53">
        <f ca="1">IFERROR(__xludf.DUMMYFUNCTION("""COMPUTED_VALUE"""),3377.94106100152)</f>
        <v>3377.9410610015202</v>
      </c>
      <c r="S9" s="53">
        <f ca="1">IFERROR(__xludf.DUMMYFUNCTION("""COMPUTED_VALUE"""),3383.64387366557)</f>
        <v>3383.64387366557</v>
      </c>
      <c r="T9" s="53"/>
      <c r="U9" s="53"/>
      <c r="V9" s="53"/>
      <c r="W9" s="53"/>
      <c r="X9" s="53"/>
      <c r="Y9" s="53"/>
      <c r="Z9" s="53"/>
    </row>
    <row r="10" spans="1:26" ht="14.5" hidden="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5" hidden="1" x14ac:dyDescent="0.35">
      <c r="A11" s="219" t="s">
        <v>210</v>
      </c>
      <c r="B11" s="218" t="s">
        <v>106</v>
      </c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9" t="s">
        <v>210</v>
      </c>
      <c r="O11" s="218" t="s">
        <v>106</v>
      </c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</row>
    <row r="12" spans="1:26" ht="14.5" hidden="1" x14ac:dyDescent="0.35">
      <c r="A12" s="216"/>
      <c r="B12" s="174" t="s">
        <v>4</v>
      </c>
      <c r="C12" s="174" t="s">
        <v>5</v>
      </c>
      <c r="D12" s="174" t="s">
        <v>6</v>
      </c>
      <c r="E12" s="174" t="s">
        <v>7</v>
      </c>
      <c r="F12" s="174" t="s">
        <v>8</v>
      </c>
      <c r="G12" s="174" t="s">
        <v>9</v>
      </c>
      <c r="H12" s="174" t="s">
        <v>10</v>
      </c>
      <c r="I12" s="174" t="s">
        <v>11</v>
      </c>
      <c r="J12" s="174" t="s">
        <v>12</v>
      </c>
      <c r="K12" s="174" t="s">
        <v>13</v>
      </c>
      <c r="L12" s="174" t="s">
        <v>14</v>
      </c>
      <c r="M12" s="174" t="s">
        <v>15</v>
      </c>
      <c r="N12" s="216"/>
      <c r="O12" s="174" t="s">
        <v>4</v>
      </c>
      <c r="P12" s="174" t="s">
        <v>5</v>
      </c>
      <c r="Q12" s="174" t="s">
        <v>6</v>
      </c>
      <c r="R12" s="174" t="s">
        <v>7</v>
      </c>
      <c r="S12" s="174" t="s">
        <v>8</v>
      </c>
      <c r="T12" s="174" t="s">
        <v>9</v>
      </c>
      <c r="U12" s="174" t="s">
        <v>10</v>
      </c>
      <c r="V12" s="174" t="s">
        <v>11</v>
      </c>
      <c r="W12" s="174" t="s">
        <v>12</v>
      </c>
      <c r="X12" s="174" t="s">
        <v>13</v>
      </c>
      <c r="Y12" s="174" t="s">
        <v>14</v>
      </c>
      <c r="Z12" s="174" t="s">
        <v>15</v>
      </c>
    </row>
    <row r="13" spans="1:26" ht="14.5" hidden="1" x14ac:dyDescent="0.35">
      <c r="A13" s="10" t="s">
        <v>145</v>
      </c>
      <c r="B13" s="176">
        <f ca="1">IFERROR(__xludf.DUMMYFUNCTION("IMPORTRANGE(""https://docs.google.com/spreadsheets/d/15DATFXlrV_2m6DgF3D4RmzewL4LTELVJeEZLGqbYM2M/edit?usp=drive_link"",""stec_tsr!C10:N10"")"),12.8282987500943)</f>
        <v>12.8282987500943</v>
      </c>
      <c r="C13" s="54">
        <f ca="1">IFERROR(__xludf.DUMMYFUNCTION("""COMPUTED_VALUE"""),24.1995487168806)</f>
        <v>24.199548716880599</v>
      </c>
      <c r="D13" s="54">
        <f ca="1">IFERROR(__xludf.DUMMYFUNCTION("""COMPUTED_VALUE"""),0)</f>
        <v>0</v>
      </c>
      <c r="E13" s="54">
        <f ca="1">IFERROR(__xludf.DUMMYFUNCTION("""COMPUTED_VALUE"""),15.2634261797643)</f>
        <v>15.2634261797643</v>
      </c>
      <c r="F13" s="54">
        <f ca="1">IFERROR(__xludf.DUMMYFUNCTION("""COMPUTED_VALUE"""),17.9414965012472)</f>
        <v>17.941496501247201</v>
      </c>
      <c r="G13" s="54"/>
      <c r="H13" s="54"/>
      <c r="I13" s="54"/>
      <c r="J13" s="54"/>
      <c r="K13" s="54"/>
      <c r="L13" s="54"/>
      <c r="M13" s="54"/>
      <c r="N13" s="10" t="s">
        <v>145</v>
      </c>
      <c r="O13" s="176">
        <f ca="1">IFERROR(__xludf.DUMMYFUNCTION("IMPORTRANGE(""https://docs.google.com/spreadsheets/d/15DATFXlrV_2m6DgF3D4RmzewL4LTELVJeEZLGqbYM2M/edit?usp=drive_link"",""stec_tsr!O10:Z10"")"),12.8282987500943)</f>
        <v>12.8282987500943</v>
      </c>
      <c r="P13" s="54">
        <f ca="1">IFERROR(__xludf.DUMMYFUNCTION("""COMPUTED_VALUE"""),14.1858489356567)</f>
        <v>14.185848935656701</v>
      </c>
      <c r="Q13" s="54">
        <f ca="1">IFERROR(__xludf.DUMMYFUNCTION("""COMPUTED_VALUE"""),14.1858489356567)</f>
        <v>14.185848935656701</v>
      </c>
      <c r="R13" s="54">
        <f ca="1">IFERROR(__xludf.DUMMYFUNCTION("""COMPUTED_VALUE"""),14.4174760613668)</f>
        <v>14.4174760613668</v>
      </c>
      <c r="S13" s="54">
        <f ca="1">IFERROR(__xludf.DUMMYFUNCTION("""COMPUTED_VALUE"""),15.7888082592534)</f>
        <v>15.7888082592534</v>
      </c>
      <c r="T13" s="54"/>
      <c r="U13" s="54"/>
      <c r="V13" s="54"/>
      <c r="W13" s="54"/>
      <c r="X13" s="54"/>
      <c r="Y13" s="54"/>
      <c r="Z13" s="54"/>
    </row>
    <row r="14" spans="1:26" ht="14.5" hidden="1" x14ac:dyDescent="0.35">
      <c r="A14" s="10" t="s">
        <v>146</v>
      </c>
      <c r="B14" s="176">
        <f ca="1">IFERROR(__xludf.DUMMYFUNCTION("IMPORTRANGE(""https://docs.google.com/spreadsheets/d/15DATFXlrV_2m6DgF3D4RmzewL4LTELVJeEZLGqbYM2M/edit?usp=drive_link"",""stec_tsr!C11:N11"")"),20.1408952578366)</f>
        <v>20.140895257836601</v>
      </c>
      <c r="C14" s="54">
        <f ca="1">IFERROR(__xludf.DUMMYFUNCTION("""COMPUTED_VALUE"""),18.7387893401918)</f>
        <v>18.738789340191801</v>
      </c>
      <c r="D14" s="54">
        <f ca="1">IFERROR(__xludf.DUMMYFUNCTION("""COMPUTED_VALUE"""),22.6517079511375)</f>
        <v>22.651707951137499</v>
      </c>
      <c r="E14" s="54">
        <f ca="1">IFERROR(__xludf.DUMMYFUNCTION("""COMPUTED_VALUE"""),19.5278024516988)</f>
        <v>19.5278024516988</v>
      </c>
      <c r="F14" s="54">
        <f ca="1">IFERROR(__xludf.DUMMYFUNCTION("""COMPUTED_VALUE"""),20.3936313440609)</f>
        <v>20.3936313440609</v>
      </c>
      <c r="G14" s="54"/>
      <c r="H14" s="54"/>
      <c r="I14" s="54"/>
      <c r="J14" s="54"/>
      <c r="K14" s="54"/>
      <c r="L14" s="54"/>
      <c r="M14" s="54"/>
      <c r="N14" s="10" t="s">
        <v>146</v>
      </c>
      <c r="O14" s="176">
        <f ca="1">IFERROR(__xludf.DUMMYFUNCTION("IMPORTRANGE(""https://docs.google.com/spreadsheets/d/15DATFXlrV_2m6DgF3D4RmzewL4LTELVJeEZLGqbYM2M/edit?usp=drive_link"",""stec_tsr!O11:Z11"")"),20.1408952578366)</f>
        <v>20.140895257836601</v>
      </c>
      <c r="P14" s="54">
        <f ca="1">IFERROR(__xludf.DUMMYFUNCTION("""COMPUTED_VALUE"""),19.5277623086929)</f>
        <v>19.5277623086929</v>
      </c>
      <c r="Q14" s="54">
        <f ca="1">IFERROR(__xludf.DUMMYFUNCTION("""COMPUTED_VALUE"""),20.6008634524342)</f>
        <v>20.600863452434201</v>
      </c>
      <c r="R14" s="54">
        <f ca="1">IFERROR(__xludf.DUMMYFUNCTION("""COMPUTED_VALUE"""),20.3399662526279)</f>
        <v>20.339966252627899</v>
      </c>
      <c r="S14" s="54">
        <f ca="1">IFERROR(__xludf.DUMMYFUNCTION("""COMPUTED_VALUE"""),20.3500899957698)</f>
        <v>20.3500899957698</v>
      </c>
      <c r="T14" s="54"/>
      <c r="U14" s="54"/>
      <c r="V14" s="54"/>
      <c r="W14" s="54"/>
      <c r="X14" s="54"/>
      <c r="Y14" s="54"/>
      <c r="Z14" s="54"/>
    </row>
    <row r="15" spans="1:26" ht="14.5" hidden="1" x14ac:dyDescent="0.35">
      <c r="A15" s="10" t="s">
        <v>147</v>
      </c>
      <c r="B15" s="176">
        <f ca="1">IFERROR(__xludf.DUMMYFUNCTION("IMPORTRANGE(""https://docs.google.com/spreadsheets/d/15DATFXlrV_2m6DgF3D4RmzewL4LTELVJeEZLGqbYM2M/edit?usp=drive_link"",""stec_tsr!C12:N12"")"),18.3315294343743)</f>
        <v>18.3315294343743</v>
      </c>
      <c r="C15" s="54">
        <f ca="1">IFERROR(__xludf.DUMMYFUNCTION("""COMPUTED_VALUE"""),16.1193161425897)</f>
        <v>16.1193161425897</v>
      </c>
      <c r="D15" s="54">
        <f ca="1">IFERROR(__xludf.DUMMYFUNCTION("""COMPUTED_VALUE"""),15.8995371532295)</f>
        <v>15.899537153229501</v>
      </c>
      <c r="E15" s="54">
        <f ca="1">IFERROR(__xludf.DUMMYFUNCTION("""COMPUTED_VALUE"""),10.2861922806619)</f>
        <v>10.286192280661901</v>
      </c>
      <c r="F15" s="54">
        <f ca="1">IFERROR(__xludf.DUMMYFUNCTION("""COMPUTED_VALUE"""),17.0091838952886)</f>
        <v>17.009183895288601</v>
      </c>
      <c r="G15" s="54"/>
      <c r="H15" s="54"/>
      <c r="I15" s="54"/>
      <c r="J15" s="54"/>
      <c r="K15" s="54"/>
      <c r="L15" s="54"/>
      <c r="M15" s="54"/>
      <c r="N15" s="10" t="s">
        <v>147</v>
      </c>
      <c r="O15" s="176">
        <f ca="1">IFERROR(__xludf.DUMMYFUNCTION("IMPORTRANGE(""https://docs.google.com/spreadsheets/d/15DATFXlrV_2m6DgF3D4RmzewL4LTELVJeEZLGqbYM2M/edit?usp=drive_link"",""stec_tsr!O12:Z12"")"),18.3315294343743)</f>
        <v>18.3315294343743</v>
      </c>
      <c r="P15" s="54">
        <f ca="1">IFERROR(__xludf.DUMMYFUNCTION("""COMPUTED_VALUE"""),17.1280415454641)</f>
        <v>17.1280415454641</v>
      </c>
      <c r="Q15" s="54">
        <f ca="1">IFERROR(__xludf.DUMMYFUNCTION("""COMPUTED_VALUE"""),16.6327997905351)</f>
        <v>16.632799790535099</v>
      </c>
      <c r="R15" s="54">
        <f ca="1">IFERROR(__xludf.DUMMYFUNCTION("""COMPUTED_VALUE"""),15.2178420296328)</f>
        <v>15.2178420296328</v>
      </c>
      <c r="S15" s="54">
        <f ca="1">IFERROR(__xludf.DUMMYFUNCTION("""COMPUTED_VALUE"""),15.5276455782268)</f>
        <v>15.527645578226799</v>
      </c>
      <c r="T15" s="54"/>
      <c r="U15" s="54"/>
      <c r="V15" s="54"/>
      <c r="W15" s="54"/>
      <c r="X15" s="54"/>
      <c r="Y15" s="54"/>
      <c r="Z15" s="54"/>
    </row>
    <row r="16" spans="1:26" ht="14.5" hidden="1" x14ac:dyDescent="0.35">
      <c r="A16" s="10" t="s">
        <v>148</v>
      </c>
      <c r="B16" s="176">
        <f ca="1">IFERROR(__xludf.DUMMYFUNCTION("IMPORTRANGE(""https://docs.google.com/spreadsheets/d/15DATFXlrV_2m6DgF3D4RmzewL4LTELVJeEZLGqbYM2M/edit?usp=drive_link"",""stec_tsr!C13:N13"")"),8.15464633641855)</f>
        <v>8.1546463364185495</v>
      </c>
      <c r="C16" s="54">
        <f ca="1">IFERROR(__xludf.DUMMYFUNCTION("""COMPUTED_VALUE"""),8.55329121159318)</f>
        <v>8.5532912115931801</v>
      </c>
      <c r="D16" s="54">
        <f ca="1">IFERROR(__xludf.DUMMYFUNCTION("""COMPUTED_VALUE"""),8.27850503298175)</f>
        <v>8.2785050329817498</v>
      </c>
      <c r="E16" s="54">
        <f ca="1">IFERROR(__xludf.DUMMYFUNCTION("""COMPUTED_VALUE"""),8.50041214153828)</f>
        <v>8.5004121415382805</v>
      </c>
      <c r="F16" s="54">
        <f ca="1">IFERROR(__xludf.DUMMYFUNCTION("""COMPUTED_VALUE"""),7.56610280934931)</f>
        <v>7.5661028093493101</v>
      </c>
      <c r="G16" s="54"/>
      <c r="H16" s="54"/>
      <c r="I16" s="54"/>
      <c r="J16" s="54"/>
      <c r="K16" s="54"/>
      <c r="L16" s="54"/>
      <c r="M16" s="54"/>
      <c r="N16" s="10" t="s">
        <v>148</v>
      </c>
      <c r="O16" s="176">
        <f ca="1">IFERROR(__xludf.DUMMYFUNCTION("IMPORTRANGE(""https://docs.google.com/spreadsheets/d/15DATFXlrV_2m6DgF3D4RmzewL4LTELVJeEZLGqbYM2M/edit?usp=drive_link"",""stec_tsr!O13:Z13"")"),8.15464633641855)</f>
        <v>8.1546463364185495</v>
      </c>
      <c r="P16" s="54">
        <f ca="1">IFERROR(__xludf.DUMMYFUNCTION("""COMPUTED_VALUE"""),8.34192668362462)</f>
        <v>8.3419266836246209</v>
      </c>
      <c r="Q16" s="54">
        <f ca="1">IFERROR(__xludf.DUMMYFUNCTION("""COMPUTED_VALUE"""),8.32459582079434)</f>
        <v>8.3245958207943396</v>
      </c>
      <c r="R16" s="54">
        <f ca="1">IFERROR(__xludf.DUMMYFUNCTION("""COMPUTED_VALUE"""),8.37150669676749)</f>
        <v>8.37150669676749</v>
      </c>
      <c r="S16" s="54">
        <f ca="1">IFERROR(__xludf.DUMMYFUNCTION("""COMPUTED_VALUE"""),8.19886229189019)</f>
        <v>8.1988622918901903</v>
      </c>
      <c r="T16" s="54"/>
      <c r="U16" s="54"/>
      <c r="V16" s="54"/>
      <c r="W16" s="54"/>
      <c r="X16" s="54"/>
      <c r="Y16" s="54"/>
      <c r="Z16" s="54"/>
    </row>
    <row r="17" spans="1:26" ht="14.5" hidden="1" x14ac:dyDescent="0.35">
      <c r="A17" s="10" t="s">
        <v>149</v>
      </c>
      <c r="B17" s="176">
        <f ca="1">IFERROR(__xludf.DUMMYFUNCTION("IMPORTRANGE(""https://docs.google.com/spreadsheets/d/15DATFXlrV_2m6DgF3D4RmzewL4LTELVJeEZLGqbYM2M/edit?usp=drive_link"",""stec_tsr!C14:N14"")"),8.04534934563498)</f>
        <v>8.0453493456349801</v>
      </c>
      <c r="C17" s="54">
        <f ca="1">IFERROR(__xludf.DUMMYFUNCTION("""COMPUTED_VALUE"""),8.36267415046164)</f>
        <v>8.3626741504616398</v>
      </c>
      <c r="D17" s="54">
        <f ca="1">IFERROR(__xludf.DUMMYFUNCTION("""COMPUTED_VALUE"""),8.01250968252993)</f>
        <v>8.0125096825299291</v>
      </c>
      <c r="E17" s="54">
        <f ca="1">IFERROR(__xludf.DUMMYFUNCTION("""COMPUTED_VALUE"""),7.58016243703069)</f>
        <v>7.5801624370306904</v>
      </c>
      <c r="F17" s="54">
        <f ca="1">IFERROR(__xludf.DUMMYFUNCTION("""COMPUTED_VALUE"""),8.28708993381247)</f>
        <v>8.2870899338124708</v>
      </c>
      <c r="G17" s="54"/>
      <c r="H17" s="54"/>
      <c r="I17" s="54"/>
      <c r="J17" s="54"/>
      <c r="K17" s="54"/>
      <c r="L17" s="54"/>
      <c r="M17" s="54"/>
      <c r="N17" s="10" t="s">
        <v>149</v>
      </c>
      <c r="O17" s="176">
        <f ca="1">IFERROR(__xludf.DUMMYFUNCTION("IMPORTRANGE(""https://docs.google.com/spreadsheets/d/15DATFXlrV_2m6DgF3D4RmzewL4LTELVJeEZLGqbYM2M/edit?usp=drive_link"",""stec_tsr!O14:Z14"")"),8.04534934563498)</f>
        <v>8.0453493456349801</v>
      </c>
      <c r="P17" s="54">
        <f ca="1">IFERROR(__xludf.DUMMYFUNCTION("""COMPUTED_VALUE"""),8.19335793597158)</f>
        <v>8.19335793597158</v>
      </c>
      <c r="Q17" s="54">
        <f ca="1">IFERROR(__xludf.DUMMYFUNCTION("""COMPUTED_VALUE"""),8.13022815985949)</f>
        <v>8.1302281598594899</v>
      </c>
      <c r="R17" s="54">
        <f ca="1">IFERROR(__xludf.DUMMYFUNCTION("""COMPUTED_VALUE"""),7.99409712836609)</f>
        <v>7.9940971283660902</v>
      </c>
      <c r="S17" s="54">
        <f ca="1">IFERROR(__xludf.DUMMYFUNCTION("""COMPUTED_VALUE"""),8.02621750429891)</f>
        <v>8.0262175042989092</v>
      </c>
      <c r="T17" s="54"/>
      <c r="U17" s="54"/>
      <c r="V17" s="54"/>
      <c r="W17" s="54"/>
      <c r="X17" s="54"/>
      <c r="Y17" s="54"/>
      <c r="Z17" s="54"/>
    </row>
    <row r="18" spans="1:26" ht="14.5" hidden="1" x14ac:dyDescent="0.35">
      <c r="A18" s="10" t="s">
        <v>150</v>
      </c>
      <c r="B18" s="176">
        <f ca="1">IFERROR(__xludf.DUMMYFUNCTION("IMPORTRANGE(""https://docs.google.com/spreadsheets/d/15DATFXlrV_2m6DgF3D4RmzewL4LTELVJeEZLGqbYM2M/edit?usp=drive_link"",""stec_tsr!C15:N15"")"),8.19850487911314)</f>
        <v>8.1985048791131394</v>
      </c>
      <c r="C18" s="54">
        <f ca="1">IFERROR(__xludf.DUMMYFUNCTION("""COMPUTED_VALUE"""),7.45762003243052)</f>
        <v>7.45762003243052</v>
      </c>
      <c r="D18" s="54">
        <f ca="1">IFERROR(__xludf.DUMMYFUNCTION("""COMPUTED_VALUE"""),9.66291412767389)</f>
        <v>9.6629141276738899</v>
      </c>
      <c r="E18" s="54">
        <f ca="1">IFERROR(__xludf.DUMMYFUNCTION("""COMPUTED_VALUE"""),6.2035742336278)</f>
        <v>6.2035742336278004</v>
      </c>
      <c r="F18" s="54">
        <f ca="1">IFERROR(__xludf.DUMMYFUNCTION("""COMPUTED_VALUE"""),8.62769082015605)</f>
        <v>8.6276908201560492</v>
      </c>
      <c r="G18" s="54"/>
      <c r="H18" s="54"/>
      <c r="I18" s="54"/>
      <c r="J18" s="54"/>
      <c r="K18" s="54"/>
      <c r="L18" s="54"/>
      <c r="M18" s="54"/>
      <c r="N18" s="10" t="s">
        <v>150</v>
      </c>
      <c r="O18" s="176">
        <f ca="1">IFERROR(__xludf.DUMMYFUNCTION("IMPORTRANGE(""https://docs.google.com/spreadsheets/d/15DATFXlrV_2m6DgF3D4RmzewL4LTELVJeEZLGqbYM2M/edit?usp=drive_link"",""stec_tsr!O15:Z15"")"),8.19850487911314)</f>
        <v>8.1985048791131394</v>
      </c>
      <c r="P18" s="54">
        <f ca="1">IFERROR(__xludf.DUMMYFUNCTION("""COMPUTED_VALUE"""),7.78388839297162)</f>
        <v>7.7838883929716198</v>
      </c>
      <c r="Q18" s="54">
        <f ca="1">IFERROR(__xludf.DUMMYFUNCTION("""COMPUTED_VALUE"""),8.57475515295773)</f>
        <v>8.5747551529577297</v>
      </c>
      <c r="R18" s="54">
        <f ca="1">IFERROR(__xludf.DUMMYFUNCTION("""COMPUTED_VALUE"""),7.77677990782623)</f>
        <v>7.7767799078262296</v>
      </c>
      <c r="S18" s="54">
        <f ca="1">IFERROR(__xludf.DUMMYFUNCTION("""COMPUTED_VALUE"""),7.89929165591414)</f>
        <v>7.8992916559141397</v>
      </c>
      <c r="T18" s="54"/>
      <c r="U18" s="54"/>
      <c r="V18" s="54"/>
      <c r="W18" s="54"/>
      <c r="X18" s="54"/>
      <c r="Y18" s="54"/>
      <c r="Z18" s="54"/>
    </row>
    <row r="19" spans="1:26" ht="14.5" hidden="1" x14ac:dyDescent="0.35">
      <c r="A19" s="10" t="s">
        <v>151</v>
      </c>
      <c r="B19" s="176">
        <f ca="1">IFERROR(__xludf.DUMMYFUNCTION("IMPORTRANGE(""https://docs.google.com/spreadsheets/d/15DATFXlrV_2m6DgF3D4RmzewL4LTELVJeEZLGqbYM2M/edit?usp=drive_link"",""stec_tsr!C16:N16"")"),14.3637675366233)</f>
        <v>14.3637675366233</v>
      </c>
      <c r="C19" s="54">
        <f ca="1">IFERROR(__xludf.DUMMYFUNCTION("""COMPUTED_VALUE"""),13.868805404047)</f>
        <v>13.868805404047</v>
      </c>
      <c r="D19" s="54">
        <f ca="1">IFERROR(__xludf.DUMMYFUNCTION("""COMPUTED_VALUE"""),15.1796066045883)</f>
        <v>15.179606604588299</v>
      </c>
      <c r="E19" s="54">
        <f ca="1">IFERROR(__xludf.DUMMYFUNCTION("""COMPUTED_VALUE"""),12.1331803944403)</f>
        <v>12.1331803944403</v>
      </c>
      <c r="F19" s="54">
        <f ca="1">IFERROR(__xludf.DUMMYFUNCTION("""COMPUTED_VALUE"""),15.3279361104729)</f>
        <v>15.3279361104729</v>
      </c>
      <c r="G19" s="54"/>
      <c r="H19" s="54"/>
      <c r="I19" s="54"/>
      <c r="J19" s="54"/>
      <c r="K19" s="54"/>
      <c r="L19" s="54"/>
      <c r="M19" s="54"/>
      <c r="N19" s="10" t="s">
        <v>151</v>
      </c>
      <c r="O19" s="176">
        <f ca="1">IFERROR(__xludf.DUMMYFUNCTION("IMPORTRANGE(""https://docs.google.com/spreadsheets/d/15DATFXlrV_2m6DgF3D4RmzewL4LTELVJeEZLGqbYM2M/edit?usp=drive_link"",""stec_tsr!O16:Z16"")"),14.3637675366233)</f>
        <v>14.3637675366233</v>
      </c>
      <c r="P19" s="54">
        <f ca="1">IFERROR(__xludf.DUMMYFUNCTION("""COMPUTED_VALUE"""),14.143219494096)</f>
        <v>14.143219494096</v>
      </c>
      <c r="Q19" s="54">
        <f ca="1">IFERROR(__xludf.DUMMYFUNCTION("""COMPUTED_VALUE"""),14.4862846684291)</f>
        <v>14.4862846684291</v>
      </c>
      <c r="R19" s="54">
        <f ca="1">IFERROR(__xludf.DUMMYFUNCTION("""COMPUTED_VALUE"""),13.9019229220855)</f>
        <v>13.9019229220855</v>
      </c>
      <c r="S19" s="54">
        <f ca="1">IFERROR(__xludf.DUMMYFUNCTION("""COMPUTED_VALUE"""),14.1740376942004)</f>
        <v>14.1740376942004</v>
      </c>
      <c r="T19" s="54"/>
      <c r="U19" s="54"/>
      <c r="V19" s="54"/>
      <c r="W19" s="54"/>
      <c r="X19" s="54"/>
      <c r="Y19" s="54"/>
      <c r="Z19" s="54"/>
    </row>
    <row r="20" spans="1:26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4" customHeight="1" x14ac:dyDescent="0.35">
      <c r="A21" s="220" t="s">
        <v>211</v>
      </c>
      <c r="B21" s="218" t="s">
        <v>106</v>
      </c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20" t="s">
        <v>211</v>
      </c>
      <c r="O21" s="218" t="s">
        <v>106</v>
      </c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</row>
    <row r="22" spans="1:26" ht="24" customHeight="1" x14ac:dyDescent="0.35">
      <c r="A22" s="216"/>
      <c r="B22" s="174" t="s">
        <v>4</v>
      </c>
      <c r="C22" s="174" t="s">
        <v>5</v>
      </c>
      <c r="D22" s="174" t="s">
        <v>6</v>
      </c>
      <c r="E22" s="174" t="s">
        <v>7</v>
      </c>
      <c r="F22" s="174" t="s">
        <v>8</v>
      </c>
      <c r="G22" s="174" t="s">
        <v>9</v>
      </c>
      <c r="H22" s="174" t="s">
        <v>10</v>
      </c>
      <c r="I22" s="174" t="s">
        <v>11</v>
      </c>
      <c r="J22" s="174" t="s">
        <v>12</v>
      </c>
      <c r="K22" s="174" t="s">
        <v>13</v>
      </c>
      <c r="L22" s="174" t="s">
        <v>14</v>
      </c>
      <c r="M22" s="174" t="s">
        <v>15</v>
      </c>
      <c r="N22" s="216"/>
      <c r="O22" s="174" t="s">
        <v>4</v>
      </c>
      <c r="P22" s="174" t="s">
        <v>5</v>
      </c>
      <c r="Q22" s="174" t="s">
        <v>6</v>
      </c>
      <c r="R22" s="174" t="s">
        <v>7</v>
      </c>
      <c r="S22" s="174" t="s">
        <v>8</v>
      </c>
      <c r="T22" s="174" t="s">
        <v>9</v>
      </c>
      <c r="U22" s="174" t="s">
        <v>10</v>
      </c>
      <c r="V22" s="174" t="s">
        <v>11</v>
      </c>
      <c r="W22" s="174" t="s">
        <v>12</v>
      </c>
      <c r="X22" s="174" t="s">
        <v>13</v>
      </c>
      <c r="Y22" s="174" t="s">
        <v>14</v>
      </c>
      <c r="Z22" s="174" t="s">
        <v>15</v>
      </c>
    </row>
    <row r="23" spans="1:26" ht="14.5" x14ac:dyDescent="0.35">
      <c r="A23" s="10" t="s">
        <v>145</v>
      </c>
      <c r="B23" s="175">
        <f t="shared" ref="B23:M23" si="0">B33*$B$30*(1-B43/100)</f>
        <v>280.81784593474447</v>
      </c>
      <c r="C23" s="175">
        <f t="shared" si="0"/>
        <v>241.42858674078775</v>
      </c>
      <c r="D23" s="175">
        <f t="shared" si="0"/>
        <v>0</v>
      </c>
      <c r="E23" s="175">
        <f t="shared" si="0"/>
        <v>284.03590139774593</v>
      </c>
      <c r="F23" s="175">
        <f t="shared" si="0"/>
        <v>265.0638847982371</v>
      </c>
      <c r="G23" s="175">
        <f t="shared" si="0"/>
        <v>256.65367036654277</v>
      </c>
      <c r="H23" s="175">
        <f t="shared" si="0"/>
        <v>269.36431897923683</v>
      </c>
      <c r="I23" s="175">
        <f t="shared" si="0"/>
        <v>260.01064986885058</v>
      </c>
      <c r="J23" s="175">
        <f t="shared" si="0"/>
        <v>256.65367036654277</v>
      </c>
      <c r="K23" s="175">
        <f t="shared" si="0"/>
        <v>256.65367036654277</v>
      </c>
      <c r="L23" s="175">
        <f t="shared" si="0"/>
        <v>269.36431897923683</v>
      </c>
      <c r="M23" s="175">
        <f t="shared" si="0"/>
        <v>256.65367036654277</v>
      </c>
      <c r="N23" s="10" t="s">
        <v>145</v>
      </c>
      <c r="O23" s="175">
        <f t="shared" ref="O23:Z23" si="1">O33*$B$30*(1-O43/100)</f>
        <v>280.81784593474447</v>
      </c>
      <c r="P23" s="175">
        <f t="shared" si="1"/>
        <v>276.10761746807464</v>
      </c>
      <c r="Q23" s="175">
        <f t="shared" si="1"/>
        <v>276.10761746807464</v>
      </c>
      <c r="R23" s="175">
        <f t="shared" si="1"/>
        <v>277.74636328870668</v>
      </c>
      <c r="S23" s="175">
        <f t="shared" si="1"/>
        <v>272.81579634987094</v>
      </c>
      <c r="T23" s="175">
        <f t="shared" si="1"/>
        <v>267.80604826789244</v>
      </c>
      <c r="U23" s="175">
        <f t="shared" si="1"/>
        <v>268.19533079392988</v>
      </c>
      <c r="V23" s="175">
        <f t="shared" si="1"/>
        <v>266.84874335898132</v>
      </c>
      <c r="W23" s="175">
        <f t="shared" si="1"/>
        <v>265.13851309753608</v>
      </c>
      <c r="X23" s="175">
        <f t="shared" si="1"/>
        <v>263.92601889495222</v>
      </c>
      <c r="Y23" s="175">
        <f t="shared" si="1"/>
        <v>264.61442805398764</v>
      </c>
      <c r="Z23" s="175">
        <f t="shared" si="1"/>
        <v>263.70623634898192</v>
      </c>
    </row>
    <row r="24" spans="1:26" ht="14.5" x14ac:dyDescent="0.35">
      <c r="A24" s="10" t="s">
        <v>146</v>
      </c>
      <c r="B24" s="175">
        <f t="shared" ref="B24:M24" si="2">B34*$B$30*(1-B44/100)</f>
        <v>260.33051829990688</v>
      </c>
      <c r="C24" s="175">
        <f t="shared" si="2"/>
        <v>262.55767365889795</v>
      </c>
      <c r="D24" s="175">
        <f t="shared" si="2"/>
        <v>249.92414542844892</v>
      </c>
      <c r="E24" s="175">
        <f t="shared" si="2"/>
        <v>259.92798939451791</v>
      </c>
      <c r="F24" s="175">
        <f t="shared" si="2"/>
        <v>259.66817057752633</v>
      </c>
      <c r="G24" s="175">
        <f t="shared" si="2"/>
        <v>279.87437208618371</v>
      </c>
      <c r="H24" s="175">
        <f t="shared" si="2"/>
        <v>266.40742422404406</v>
      </c>
      <c r="I24" s="175">
        <f t="shared" si="2"/>
        <v>266.40742422404406</v>
      </c>
      <c r="J24" s="175">
        <f t="shared" si="2"/>
        <v>266.40742422404406</v>
      </c>
      <c r="K24" s="175">
        <f t="shared" si="2"/>
        <v>266.40742422404406</v>
      </c>
      <c r="L24" s="175">
        <f t="shared" si="2"/>
        <v>266.40742422404406</v>
      </c>
      <c r="M24" s="175">
        <f t="shared" si="2"/>
        <v>267.77718803039062</v>
      </c>
      <c r="N24" s="10" t="s">
        <v>146</v>
      </c>
      <c r="O24" s="175">
        <f t="shared" ref="O24:Z24" si="3">O34*$B$30*(1-O44/100)</f>
        <v>260.33051829990688</v>
      </c>
      <c r="P24" s="175">
        <f t="shared" si="3"/>
        <v>261.31632880374679</v>
      </c>
      <c r="Q24" s="175">
        <f t="shared" si="3"/>
        <v>257.3850104467906</v>
      </c>
      <c r="R24" s="175">
        <f t="shared" si="3"/>
        <v>257.9987721366582</v>
      </c>
      <c r="S24" s="175">
        <f t="shared" si="3"/>
        <v>258.27176065352603</v>
      </c>
      <c r="T24" s="175">
        <f t="shared" si="3"/>
        <v>259.92259307644633</v>
      </c>
      <c r="U24" s="175">
        <f t="shared" si="3"/>
        <v>261.02004889626801</v>
      </c>
      <c r="V24" s="175">
        <f t="shared" si="3"/>
        <v>261.81343225693729</v>
      </c>
      <c r="W24" s="175">
        <f t="shared" si="3"/>
        <v>262.3905699124328</v>
      </c>
      <c r="X24" s="175">
        <f t="shared" si="3"/>
        <v>262.80452405963587</v>
      </c>
      <c r="Y24" s="175">
        <f t="shared" si="3"/>
        <v>263.13373780173981</v>
      </c>
      <c r="Z24" s="175">
        <f t="shared" si="3"/>
        <v>263.52169760682898</v>
      </c>
    </row>
    <row r="25" spans="1:26" ht="14.5" x14ac:dyDescent="0.35">
      <c r="A25" s="10" t="s">
        <v>147</v>
      </c>
      <c r="B25" s="175">
        <f t="shared" ref="B25:M25" si="4">B35*$B$30*(1-B45/100)</f>
        <v>283.37417669610181</v>
      </c>
      <c r="C25" s="175">
        <f t="shared" si="4"/>
        <v>276.24900483552375</v>
      </c>
      <c r="D25" s="175">
        <f t="shared" si="4"/>
        <v>268.42896357011949</v>
      </c>
      <c r="E25" s="175">
        <f t="shared" si="4"/>
        <v>287.19473155104174</v>
      </c>
      <c r="F25" s="175">
        <f t="shared" si="4"/>
        <v>279.76106857654941</v>
      </c>
      <c r="G25" s="175">
        <f t="shared" si="4"/>
        <v>270.76174490628426</v>
      </c>
      <c r="H25" s="175">
        <f t="shared" si="4"/>
        <v>270.76174490628426</v>
      </c>
      <c r="I25" s="175">
        <f t="shared" si="4"/>
        <v>270.76174490628426</v>
      </c>
      <c r="J25" s="175">
        <f t="shared" si="4"/>
        <v>270.76174490628426</v>
      </c>
      <c r="K25" s="175">
        <f t="shared" si="4"/>
        <v>270.76174490628426</v>
      </c>
      <c r="L25" s="175">
        <f t="shared" si="4"/>
        <v>270.76174490628426</v>
      </c>
      <c r="M25" s="175">
        <f t="shared" si="4"/>
        <v>272.36089536287778</v>
      </c>
      <c r="N25" s="10" t="s">
        <v>147</v>
      </c>
      <c r="O25" s="175">
        <f t="shared" ref="O25:Z25" si="5">O35*$B$30*(1-O45/100)</f>
        <v>283.37417669610181</v>
      </c>
      <c r="P25" s="175">
        <f t="shared" si="5"/>
        <v>279.43597635624081</v>
      </c>
      <c r="Q25" s="175">
        <f t="shared" si="5"/>
        <v>274.88901766227309</v>
      </c>
      <c r="R25" s="175">
        <f t="shared" si="5"/>
        <v>277.66908954751119</v>
      </c>
      <c r="S25" s="175">
        <f t="shared" si="5"/>
        <v>278.03017319652099</v>
      </c>
      <c r="T25" s="175">
        <f t="shared" si="5"/>
        <v>276.459125767611</v>
      </c>
      <c r="U25" s="175">
        <f t="shared" si="5"/>
        <v>275.45505596372436</v>
      </c>
      <c r="V25" s="175">
        <f t="shared" si="5"/>
        <v>274.69402175668125</v>
      </c>
      <c r="W25" s="175">
        <f t="shared" si="5"/>
        <v>274.17593688207211</v>
      </c>
      <c r="X25" s="175">
        <f t="shared" si="5"/>
        <v>273.77130887604778</v>
      </c>
      <c r="Y25" s="175">
        <f t="shared" si="5"/>
        <v>273.52853207243322</v>
      </c>
      <c r="Z25" s="175">
        <f t="shared" si="5"/>
        <v>273.39905877845297</v>
      </c>
    </row>
    <row r="26" spans="1:26" ht="14.5" x14ac:dyDescent="0.35">
      <c r="A26" s="10" t="s">
        <v>148</v>
      </c>
      <c r="B26" s="175">
        <f t="shared" ref="B26:M26" si="6">B36*$B$30*(1-B46/100)</f>
        <v>286.03423561762014</v>
      </c>
      <c r="C26" s="175">
        <f t="shared" si="6"/>
        <v>285.84042824389491</v>
      </c>
      <c r="D26" s="175">
        <f t="shared" si="6"/>
        <v>288.44261333145909</v>
      </c>
      <c r="E26" s="175">
        <f t="shared" si="6"/>
        <v>285.82130629975137</v>
      </c>
      <c r="F26" s="175">
        <f t="shared" si="6"/>
        <v>289.61231080191214</v>
      </c>
      <c r="G26" s="175">
        <f t="shared" si="6"/>
        <v>294.53314903232399</v>
      </c>
      <c r="H26" s="175">
        <f t="shared" si="6"/>
        <v>295.46742134385329</v>
      </c>
      <c r="I26" s="175">
        <f t="shared" si="6"/>
        <v>302.11283848251895</v>
      </c>
      <c r="J26" s="175">
        <f t="shared" si="6"/>
        <v>296.16762955714461</v>
      </c>
      <c r="K26" s="175">
        <f t="shared" si="6"/>
        <v>296.04567085174011</v>
      </c>
      <c r="L26" s="175">
        <f t="shared" si="6"/>
        <v>297.89006144009102</v>
      </c>
      <c r="M26" s="175">
        <f t="shared" si="6"/>
        <v>298.84866990008157</v>
      </c>
      <c r="N26" s="10" t="s">
        <v>148</v>
      </c>
      <c r="O26" s="175">
        <f t="shared" ref="O26:Z26" si="7">O36*$B$30*(1-O46/100)</f>
        <v>286.03423561762014</v>
      </c>
      <c r="P26" s="175">
        <f t="shared" si="7"/>
        <v>285.96968108438381</v>
      </c>
      <c r="Q26" s="175">
        <f t="shared" si="7"/>
        <v>286.6472017579319</v>
      </c>
      <c r="R26" s="175">
        <f t="shared" si="7"/>
        <v>286.4030447237626</v>
      </c>
      <c r="S26" s="175">
        <f t="shared" si="7"/>
        <v>287.11038412825337</v>
      </c>
      <c r="T26" s="175">
        <f t="shared" si="7"/>
        <v>288.24177061587847</v>
      </c>
      <c r="U26" s="175">
        <f t="shared" si="7"/>
        <v>289.24228440909991</v>
      </c>
      <c r="V26" s="175">
        <f t="shared" si="7"/>
        <v>289.7534873008043</v>
      </c>
      <c r="W26" s="175">
        <f t="shared" si="7"/>
        <v>290.53609719519932</v>
      </c>
      <c r="X26" s="175">
        <f t="shared" si="7"/>
        <v>291.16218511071531</v>
      </c>
      <c r="Y26" s="175">
        <f t="shared" si="7"/>
        <v>291.50184643132371</v>
      </c>
      <c r="Z26" s="175">
        <f t="shared" si="7"/>
        <v>291.87298467652721</v>
      </c>
    </row>
    <row r="27" spans="1:26" ht="14.5" x14ac:dyDescent="0.35">
      <c r="A27" s="10" t="s">
        <v>149</v>
      </c>
      <c r="B27" s="175">
        <f t="shared" ref="B27:M27" si="8">B37*$B$30*(1-B47/100)</f>
        <v>286.61005055216731</v>
      </c>
      <c r="C27" s="175">
        <f t="shared" si="8"/>
        <v>286.96131922834354</v>
      </c>
      <c r="D27" s="175">
        <f t="shared" si="8"/>
        <v>287.79279311834938</v>
      </c>
      <c r="E27" s="175">
        <f t="shared" si="8"/>
        <v>289.58097765133311</v>
      </c>
      <c r="F27" s="175">
        <f t="shared" si="8"/>
        <v>290.25713726419536</v>
      </c>
      <c r="G27" s="175">
        <f t="shared" si="8"/>
        <v>292.939557837687</v>
      </c>
      <c r="H27" s="175">
        <f t="shared" si="8"/>
        <v>292.939557837687</v>
      </c>
      <c r="I27" s="175">
        <f t="shared" si="8"/>
        <v>292.939557837687</v>
      </c>
      <c r="J27" s="175">
        <f t="shared" si="8"/>
        <v>292.939557837687</v>
      </c>
      <c r="K27" s="175">
        <f t="shared" si="8"/>
        <v>292.939557837687</v>
      </c>
      <c r="L27" s="175">
        <f t="shared" si="8"/>
        <v>293.86948817392954</v>
      </c>
      <c r="M27" s="175">
        <f t="shared" si="8"/>
        <v>293.86948817392954</v>
      </c>
      <c r="N27" s="10" t="s">
        <v>149</v>
      </c>
      <c r="O27" s="175">
        <f t="shared" ref="O27:Z27" si="9">O37*$B$30*(1-O47/100)</f>
        <v>286.61005055216731</v>
      </c>
      <c r="P27" s="175">
        <f t="shared" si="9"/>
        <v>286.78966263803471</v>
      </c>
      <c r="Q27" s="175">
        <f t="shared" si="9"/>
        <v>287.15320003025283</v>
      </c>
      <c r="R27" s="175">
        <f t="shared" si="9"/>
        <v>287.76717258867745</v>
      </c>
      <c r="S27" s="175">
        <f t="shared" si="9"/>
        <v>287.99468059178042</v>
      </c>
      <c r="T27" s="175">
        <f t="shared" si="9"/>
        <v>288.84565982330611</v>
      </c>
      <c r="U27" s="175">
        <f t="shared" si="9"/>
        <v>289.1327573636222</v>
      </c>
      <c r="V27" s="175">
        <f t="shared" si="9"/>
        <v>289.72735876960866</v>
      </c>
      <c r="W27" s="175">
        <f t="shared" si="9"/>
        <v>289.95147370593133</v>
      </c>
      <c r="X27" s="175">
        <f t="shared" si="9"/>
        <v>290.32689641681515</v>
      </c>
      <c r="Y27" s="175">
        <f t="shared" si="9"/>
        <v>290.60846344997805</v>
      </c>
      <c r="Z27" s="175">
        <f t="shared" si="9"/>
        <v>290.94785639242298</v>
      </c>
    </row>
    <row r="28" spans="1:26" ht="14.5" x14ac:dyDescent="0.35">
      <c r="A28" s="10" t="s">
        <v>150</v>
      </c>
      <c r="B28" s="175">
        <f t="shared" ref="B28:M28" si="10">B38*$B$30*(1-B48/100)</f>
        <v>329.43342880054564</v>
      </c>
      <c r="C28" s="175">
        <f t="shared" si="10"/>
        <v>336.52394153830517</v>
      </c>
      <c r="D28" s="175">
        <f t="shared" si="10"/>
        <v>319.25842666075698</v>
      </c>
      <c r="E28" s="175">
        <f t="shared" si="10"/>
        <v>342.63437556300067</v>
      </c>
      <c r="F28" s="175">
        <f t="shared" si="10"/>
        <v>333.58287150981965</v>
      </c>
      <c r="G28" s="175">
        <f t="shared" si="10"/>
        <v>326.08809499354328</v>
      </c>
      <c r="H28" s="175">
        <f t="shared" si="10"/>
        <v>310.23361664990159</v>
      </c>
      <c r="I28" s="175">
        <f t="shared" si="10"/>
        <v>310.23361664990159</v>
      </c>
      <c r="J28" s="175">
        <f t="shared" si="10"/>
        <v>310.23361664990159</v>
      </c>
      <c r="K28" s="175">
        <f t="shared" si="10"/>
        <v>310.23361664990159</v>
      </c>
      <c r="L28" s="175">
        <f t="shared" si="10"/>
        <v>310.23361664990159</v>
      </c>
      <c r="M28" s="175">
        <f t="shared" si="10"/>
        <v>310.23361664990159</v>
      </c>
      <c r="N28" s="10" t="s">
        <v>150</v>
      </c>
      <c r="O28" s="175">
        <f t="shared" ref="O28:Z28" si="11">O38*$B$30*(1-O48/100)</f>
        <v>329.43342880054564</v>
      </c>
      <c r="P28" s="175">
        <f t="shared" si="11"/>
        <v>333.41562398933837</v>
      </c>
      <c r="Q28" s="175">
        <f t="shared" si="11"/>
        <v>327.40456656458269</v>
      </c>
      <c r="R28" s="175">
        <f t="shared" si="11"/>
        <v>332.44330907314458</v>
      </c>
      <c r="S28" s="175">
        <f t="shared" si="11"/>
        <v>332.6286625347222</v>
      </c>
      <c r="T28" s="175">
        <f t="shared" si="11"/>
        <v>330.67786958951058</v>
      </c>
      <c r="U28" s="175">
        <f t="shared" si="11"/>
        <v>326.62580981381961</v>
      </c>
      <c r="V28" s="175">
        <f t="shared" si="11"/>
        <v>324.03140769299449</v>
      </c>
      <c r="W28" s="175">
        <f t="shared" si="11"/>
        <v>322.07580311071018</v>
      </c>
      <c r="X28" s="175">
        <f t="shared" si="11"/>
        <v>320.51008490533098</v>
      </c>
      <c r="Y28" s="175">
        <f t="shared" si="11"/>
        <v>319.36780993221851</v>
      </c>
      <c r="Z28" s="175">
        <f t="shared" si="11"/>
        <v>318.52510249908681</v>
      </c>
    </row>
    <row r="29" spans="1:26" ht="14.5" x14ac:dyDescent="0.35">
      <c r="A29" s="10" t="s">
        <v>151</v>
      </c>
      <c r="B29" s="175">
        <f t="shared" ref="B29:M29" si="12">B39*$B$30*(1-B49/100)</f>
        <v>278.92611535535355</v>
      </c>
      <c r="C29" s="175">
        <f t="shared" si="12"/>
        <v>278.95348034308773</v>
      </c>
      <c r="D29" s="175">
        <f t="shared" si="12"/>
        <v>272.75953278489726</v>
      </c>
      <c r="E29" s="175">
        <f t="shared" si="12"/>
        <v>284.5046813697615</v>
      </c>
      <c r="F29" s="175">
        <f t="shared" si="12"/>
        <v>276.57841986125027</v>
      </c>
      <c r="G29" s="175">
        <f t="shared" si="12"/>
        <v>283.14599774759029</v>
      </c>
      <c r="H29" s="175">
        <f t="shared" si="12"/>
        <v>277.76858116666392</v>
      </c>
      <c r="I29" s="175">
        <f t="shared" si="12"/>
        <v>276.39720709133678</v>
      </c>
      <c r="J29" s="175">
        <f t="shared" si="12"/>
        <v>276.57688627174497</v>
      </c>
      <c r="K29" s="175">
        <f t="shared" si="12"/>
        <v>277.32148231627872</v>
      </c>
      <c r="L29" s="175">
        <f t="shared" si="12"/>
        <v>278.1592439232561</v>
      </c>
      <c r="M29" s="175">
        <f t="shared" si="12"/>
        <v>277.44981500306443</v>
      </c>
      <c r="N29" s="10" t="s">
        <v>151</v>
      </c>
      <c r="O29" s="175">
        <f t="shared" ref="O29:Z29" si="13">O39*$B$30*(1-O49/100)</f>
        <v>278.92611535535355</v>
      </c>
      <c r="P29" s="175">
        <f t="shared" si="13"/>
        <v>278.98427673733994</v>
      </c>
      <c r="Q29" s="175">
        <f t="shared" si="13"/>
        <v>276.8634949804063</v>
      </c>
      <c r="R29" s="175">
        <f t="shared" si="13"/>
        <v>278.7737915777451</v>
      </c>
      <c r="S29" s="175">
        <f t="shared" si="13"/>
        <v>278.39319300228112</v>
      </c>
      <c r="T29" s="175">
        <f t="shared" si="13"/>
        <v>279.23356171141739</v>
      </c>
      <c r="U29" s="175">
        <f t="shared" si="13"/>
        <v>278.96468513141036</v>
      </c>
      <c r="V29" s="175">
        <f t="shared" si="13"/>
        <v>278.58747003779234</v>
      </c>
      <c r="W29" s="175">
        <f t="shared" si="13"/>
        <v>278.4042923563253</v>
      </c>
      <c r="X29" s="175">
        <f t="shared" si="13"/>
        <v>278.23515660376574</v>
      </c>
      <c r="Y29" s="175">
        <f t="shared" si="13"/>
        <v>278.19881053249139</v>
      </c>
      <c r="Z29" s="175">
        <f t="shared" si="13"/>
        <v>278.11611171842105</v>
      </c>
    </row>
    <row r="30" spans="1:26" ht="38.5" x14ac:dyDescent="0.35">
      <c r="A30" s="177" t="s">
        <v>212</v>
      </c>
      <c r="B30" s="178">
        <f>'CO2 Estimate'!B11</f>
        <v>9.5849344077770807E-2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217" t="s">
        <v>213</v>
      </c>
      <c r="B31" s="218" t="s">
        <v>106</v>
      </c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7" t="s">
        <v>213</v>
      </c>
      <c r="O31" s="218" t="s">
        <v>107</v>
      </c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</row>
    <row r="32" spans="1:26" ht="14.5" x14ac:dyDescent="0.35">
      <c r="A32" s="216"/>
      <c r="B32" s="174" t="s">
        <v>4</v>
      </c>
      <c r="C32" s="174" t="s">
        <v>5</v>
      </c>
      <c r="D32" s="174" t="s">
        <v>6</v>
      </c>
      <c r="E32" s="174" t="s">
        <v>7</v>
      </c>
      <c r="F32" s="174" t="s">
        <v>8</v>
      </c>
      <c r="G32" s="174" t="s">
        <v>9</v>
      </c>
      <c r="H32" s="174" t="s">
        <v>10</v>
      </c>
      <c r="I32" s="174" t="s">
        <v>11</v>
      </c>
      <c r="J32" s="174" t="s">
        <v>12</v>
      </c>
      <c r="K32" s="174" t="s">
        <v>13</v>
      </c>
      <c r="L32" s="174" t="s">
        <v>14</v>
      </c>
      <c r="M32" s="174" t="s">
        <v>15</v>
      </c>
      <c r="N32" s="216"/>
      <c r="O32" s="174" t="s">
        <v>4</v>
      </c>
      <c r="P32" s="174" t="s">
        <v>5</v>
      </c>
      <c r="Q32" s="174" t="s">
        <v>6</v>
      </c>
      <c r="R32" s="174" t="s">
        <v>7</v>
      </c>
      <c r="S32" s="174" t="s">
        <v>8</v>
      </c>
      <c r="T32" s="174" t="s">
        <v>9</v>
      </c>
      <c r="U32" s="174" t="s">
        <v>10</v>
      </c>
      <c r="V32" s="174" t="s">
        <v>11</v>
      </c>
      <c r="W32" s="174" t="s">
        <v>12</v>
      </c>
      <c r="X32" s="174" t="s">
        <v>13</v>
      </c>
      <c r="Y32" s="174" t="s">
        <v>14</v>
      </c>
      <c r="Z32" s="174" t="s">
        <v>15</v>
      </c>
    </row>
    <row r="33" spans="1:26" ht="14.5" x14ac:dyDescent="0.35">
      <c r="A33" s="10" t="s">
        <v>145</v>
      </c>
      <c r="B33" s="179">
        <v>3361</v>
      </c>
      <c r="C33" s="179">
        <v>3323</v>
      </c>
      <c r="D33" s="179">
        <v>0</v>
      </c>
      <c r="E33" s="179">
        <v>3497</v>
      </c>
      <c r="F33" s="179">
        <v>3370</v>
      </c>
      <c r="G33" s="179">
        <v>3307</v>
      </c>
      <c r="H33" s="179">
        <v>3307</v>
      </c>
      <c r="I33" s="179">
        <v>3342</v>
      </c>
      <c r="J33" s="179">
        <v>3307</v>
      </c>
      <c r="K33" s="179">
        <v>3307</v>
      </c>
      <c r="L33" s="179">
        <v>3307</v>
      </c>
      <c r="M33" s="179">
        <v>3307</v>
      </c>
      <c r="N33" s="180" t="s">
        <v>145</v>
      </c>
      <c r="O33" s="179">
        <v>3361</v>
      </c>
      <c r="P33" s="179">
        <v>3357</v>
      </c>
      <c r="Q33" s="179">
        <v>3357</v>
      </c>
      <c r="R33" s="179">
        <v>3386</v>
      </c>
      <c r="S33" s="179">
        <v>3380</v>
      </c>
      <c r="T33" s="179">
        <v>3357</v>
      </c>
      <c r="U33" s="179">
        <v>3345</v>
      </c>
      <c r="V33" s="179">
        <v>3345</v>
      </c>
      <c r="W33" s="179">
        <v>3338</v>
      </c>
      <c r="X33" s="179">
        <v>3334</v>
      </c>
      <c r="Y33" s="179">
        <v>3331</v>
      </c>
      <c r="Z33" s="179">
        <v>3328</v>
      </c>
    </row>
    <row r="34" spans="1:26" ht="14.5" x14ac:dyDescent="0.35">
      <c r="A34" s="10" t="s">
        <v>146</v>
      </c>
      <c r="B34" s="179">
        <v>3401</v>
      </c>
      <c r="C34" s="179">
        <v>3371</v>
      </c>
      <c r="D34" s="179">
        <v>3371</v>
      </c>
      <c r="E34" s="179">
        <v>3370</v>
      </c>
      <c r="F34" s="179">
        <v>3403</v>
      </c>
      <c r="G34" s="179">
        <v>3484</v>
      </c>
      <c r="H34" s="179">
        <v>3356</v>
      </c>
      <c r="I34" s="179">
        <v>3356</v>
      </c>
      <c r="J34" s="179">
        <v>3356</v>
      </c>
      <c r="K34" s="179">
        <v>3356</v>
      </c>
      <c r="L34" s="179">
        <v>3356</v>
      </c>
      <c r="M34" s="179">
        <v>3370</v>
      </c>
      <c r="N34" s="180" t="s">
        <v>146</v>
      </c>
      <c r="O34" s="179">
        <v>3401</v>
      </c>
      <c r="P34" s="179">
        <v>3388</v>
      </c>
      <c r="Q34" s="179">
        <v>3382</v>
      </c>
      <c r="R34" s="179">
        <v>3379</v>
      </c>
      <c r="S34" s="179">
        <v>3383</v>
      </c>
      <c r="T34" s="179">
        <v>3391</v>
      </c>
      <c r="U34" s="179">
        <v>3385</v>
      </c>
      <c r="V34" s="179">
        <v>3381</v>
      </c>
      <c r="W34" s="179">
        <v>3378</v>
      </c>
      <c r="X34" s="179">
        <v>3375</v>
      </c>
      <c r="Y34" s="179">
        <v>3373</v>
      </c>
      <c r="Z34" s="179">
        <v>3373</v>
      </c>
    </row>
    <row r="35" spans="1:26" ht="14.5" x14ac:dyDescent="0.35">
      <c r="A35" s="10" t="s">
        <v>147</v>
      </c>
      <c r="B35" s="179">
        <v>3620</v>
      </c>
      <c r="C35" s="179">
        <v>3436</v>
      </c>
      <c r="D35" s="179">
        <v>3330</v>
      </c>
      <c r="E35" s="179">
        <v>3340</v>
      </c>
      <c r="F35" s="179">
        <v>3517</v>
      </c>
      <c r="G35" s="179">
        <v>3347</v>
      </c>
      <c r="H35" s="179">
        <v>3347</v>
      </c>
      <c r="I35" s="179">
        <v>3347</v>
      </c>
      <c r="J35" s="179">
        <v>3347</v>
      </c>
      <c r="K35" s="179">
        <v>3347</v>
      </c>
      <c r="L35" s="179">
        <v>3347</v>
      </c>
      <c r="M35" s="179">
        <v>3360</v>
      </c>
      <c r="N35" s="180" t="s">
        <v>147</v>
      </c>
      <c r="O35" s="179">
        <v>3620</v>
      </c>
      <c r="P35" s="179">
        <v>3518</v>
      </c>
      <c r="Q35" s="179">
        <v>3440</v>
      </c>
      <c r="R35" s="179">
        <v>3417</v>
      </c>
      <c r="S35" s="179">
        <v>3434</v>
      </c>
      <c r="T35" s="179">
        <v>3415</v>
      </c>
      <c r="U35" s="179">
        <v>3403</v>
      </c>
      <c r="V35" s="179">
        <v>3394</v>
      </c>
      <c r="W35" s="179">
        <v>3388</v>
      </c>
      <c r="X35" s="179">
        <v>3383</v>
      </c>
      <c r="Y35" s="179">
        <v>3380</v>
      </c>
      <c r="Z35" s="179">
        <v>3378</v>
      </c>
    </row>
    <row r="36" spans="1:26" ht="14.5" x14ac:dyDescent="0.35">
      <c r="A36" s="10" t="s">
        <v>148</v>
      </c>
      <c r="B36" s="179">
        <v>3249</v>
      </c>
      <c r="C36" s="179">
        <v>3261</v>
      </c>
      <c r="D36" s="179">
        <v>3281</v>
      </c>
      <c r="E36" s="179">
        <v>3259</v>
      </c>
      <c r="F36" s="179">
        <v>3269</v>
      </c>
      <c r="G36" s="179">
        <v>3260</v>
      </c>
      <c r="H36" s="179">
        <v>3261</v>
      </c>
      <c r="I36" s="179">
        <v>3356</v>
      </c>
      <c r="J36" s="179">
        <v>3267</v>
      </c>
      <c r="K36" s="179">
        <v>3266</v>
      </c>
      <c r="L36" s="179">
        <v>3286</v>
      </c>
      <c r="M36" s="179">
        <v>3282</v>
      </c>
      <c r="N36" s="180" t="s">
        <v>148</v>
      </c>
      <c r="O36" s="179">
        <v>3249</v>
      </c>
      <c r="P36" s="179">
        <v>3255</v>
      </c>
      <c r="Q36" s="179">
        <v>3262</v>
      </c>
      <c r="R36" s="179">
        <v>3261</v>
      </c>
      <c r="S36" s="179">
        <v>3263</v>
      </c>
      <c r="T36" s="179">
        <v>3262</v>
      </c>
      <c r="U36" s="179">
        <v>3262</v>
      </c>
      <c r="V36" s="179">
        <v>3266</v>
      </c>
      <c r="W36" s="179">
        <v>3266</v>
      </c>
      <c r="X36" s="179">
        <v>3266</v>
      </c>
      <c r="Y36" s="179">
        <v>3267</v>
      </c>
      <c r="Z36" s="179">
        <v>3268</v>
      </c>
    </row>
    <row r="37" spans="1:26" ht="14.5" x14ac:dyDescent="0.35">
      <c r="A37" s="10" t="s">
        <v>149</v>
      </c>
      <c r="B37" s="179">
        <v>3252</v>
      </c>
      <c r="C37" s="179">
        <v>3267</v>
      </c>
      <c r="D37" s="179">
        <v>3264</v>
      </c>
      <c r="E37" s="179">
        <v>3269</v>
      </c>
      <c r="F37" s="179">
        <v>3302</v>
      </c>
      <c r="G37" s="179">
        <v>3260</v>
      </c>
      <c r="H37" s="179">
        <v>3260</v>
      </c>
      <c r="I37" s="179">
        <v>3260</v>
      </c>
      <c r="J37" s="179">
        <v>3260</v>
      </c>
      <c r="K37" s="179">
        <v>3260</v>
      </c>
      <c r="L37" s="179">
        <v>3270</v>
      </c>
      <c r="M37" s="179">
        <v>3270</v>
      </c>
      <c r="N37" s="180" t="s">
        <v>149</v>
      </c>
      <c r="O37" s="179">
        <v>3252</v>
      </c>
      <c r="P37" s="179">
        <v>3259</v>
      </c>
      <c r="Q37" s="179">
        <v>3261</v>
      </c>
      <c r="R37" s="179">
        <v>3263</v>
      </c>
      <c r="S37" s="179">
        <v>3267</v>
      </c>
      <c r="T37" s="179">
        <v>3266</v>
      </c>
      <c r="U37" s="179">
        <v>3265</v>
      </c>
      <c r="V37" s="179">
        <v>3265</v>
      </c>
      <c r="W37" s="179">
        <v>3264</v>
      </c>
      <c r="X37" s="179">
        <v>3264</v>
      </c>
      <c r="Y37" s="179">
        <v>3264</v>
      </c>
      <c r="Z37" s="179">
        <v>3265</v>
      </c>
    </row>
    <row r="38" spans="1:26" ht="14.5" x14ac:dyDescent="0.35">
      <c r="A38" s="10" t="s">
        <v>150</v>
      </c>
      <c r="B38" s="179">
        <v>3744</v>
      </c>
      <c r="C38" s="179">
        <v>3794</v>
      </c>
      <c r="D38" s="179">
        <v>3687</v>
      </c>
      <c r="E38" s="179">
        <v>3811</v>
      </c>
      <c r="F38" s="179">
        <v>3809</v>
      </c>
      <c r="G38" s="179">
        <v>3670</v>
      </c>
      <c r="H38" s="179">
        <v>3542</v>
      </c>
      <c r="I38" s="179">
        <v>3542</v>
      </c>
      <c r="J38" s="179">
        <v>3542</v>
      </c>
      <c r="K38" s="179">
        <v>3542</v>
      </c>
      <c r="L38" s="179">
        <v>3542</v>
      </c>
      <c r="M38" s="179">
        <v>3542</v>
      </c>
      <c r="N38" s="180" t="s">
        <v>150</v>
      </c>
      <c r="O38" s="179">
        <v>3744</v>
      </c>
      <c r="P38" s="179">
        <v>3772</v>
      </c>
      <c r="Q38" s="179">
        <v>3736</v>
      </c>
      <c r="R38" s="179">
        <v>3761</v>
      </c>
      <c r="S38" s="179">
        <v>3768</v>
      </c>
      <c r="T38" s="179">
        <v>3739</v>
      </c>
      <c r="U38" s="179">
        <v>3700</v>
      </c>
      <c r="V38" s="179">
        <v>3675</v>
      </c>
      <c r="W38" s="179">
        <v>3656</v>
      </c>
      <c r="X38" s="179">
        <v>3641</v>
      </c>
      <c r="Y38" s="179">
        <v>3630</v>
      </c>
      <c r="Z38" s="179">
        <v>3622</v>
      </c>
    </row>
    <row r="39" spans="1:26" ht="14.5" x14ac:dyDescent="0.35">
      <c r="A39" s="10" t="s">
        <v>151</v>
      </c>
      <c r="B39" s="179">
        <v>3398</v>
      </c>
      <c r="C39" s="179">
        <v>3379</v>
      </c>
      <c r="D39" s="179">
        <v>3355</v>
      </c>
      <c r="E39" s="179">
        <v>3378</v>
      </c>
      <c r="F39" s="179">
        <v>3408</v>
      </c>
      <c r="G39" s="179">
        <v>3373</v>
      </c>
      <c r="H39" s="179">
        <v>3346</v>
      </c>
      <c r="I39" s="179">
        <v>3357</v>
      </c>
      <c r="J39" s="179">
        <v>3344</v>
      </c>
      <c r="K39" s="179">
        <v>3341</v>
      </c>
      <c r="L39" s="179">
        <v>3348</v>
      </c>
      <c r="M39" s="179">
        <v>3353</v>
      </c>
      <c r="N39" s="180" t="s">
        <v>151</v>
      </c>
      <c r="O39" s="179">
        <v>3398</v>
      </c>
      <c r="P39" s="179">
        <v>3390</v>
      </c>
      <c r="Q39" s="179">
        <v>3378</v>
      </c>
      <c r="R39" s="179">
        <v>3378</v>
      </c>
      <c r="S39" s="179">
        <v>3384</v>
      </c>
      <c r="T39" s="179">
        <v>3382</v>
      </c>
      <c r="U39" s="179">
        <v>3376</v>
      </c>
      <c r="V39" s="179">
        <v>3373</v>
      </c>
      <c r="W39" s="179">
        <v>3370</v>
      </c>
      <c r="X39" s="179">
        <v>3366</v>
      </c>
      <c r="Y39" s="179">
        <v>3364</v>
      </c>
      <c r="Z39" s="179">
        <v>3363</v>
      </c>
    </row>
    <row r="40" spans="1:26" ht="14.5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217" t="s">
        <v>214</v>
      </c>
      <c r="B41" s="218" t="s">
        <v>106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7" t="s">
        <v>214</v>
      </c>
      <c r="O41" s="218" t="s">
        <v>107</v>
      </c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</row>
    <row r="42" spans="1:26" ht="14.5" x14ac:dyDescent="0.35">
      <c r="A42" s="216"/>
      <c r="B42" s="174" t="s">
        <v>4</v>
      </c>
      <c r="C42" s="174" t="s">
        <v>5</v>
      </c>
      <c r="D42" s="174" t="s">
        <v>6</v>
      </c>
      <c r="E42" s="174" t="s">
        <v>7</v>
      </c>
      <c r="F42" s="174" t="s">
        <v>8</v>
      </c>
      <c r="G42" s="174" t="s">
        <v>9</v>
      </c>
      <c r="H42" s="174" t="s">
        <v>10</v>
      </c>
      <c r="I42" s="174" t="s">
        <v>11</v>
      </c>
      <c r="J42" s="174" t="s">
        <v>12</v>
      </c>
      <c r="K42" s="174" t="s">
        <v>13</v>
      </c>
      <c r="L42" s="174" t="s">
        <v>14</v>
      </c>
      <c r="M42" s="174" t="s">
        <v>15</v>
      </c>
      <c r="N42" s="216"/>
      <c r="O42" s="174" t="s">
        <v>4</v>
      </c>
      <c r="P42" s="174" t="s">
        <v>5</v>
      </c>
      <c r="Q42" s="174" t="s">
        <v>6</v>
      </c>
      <c r="R42" s="174" t="s">
        <v>7</v>
      </c>
      <c r="S42" s="174" t="s">
        <v>8</v>
      </c>
      <c r="T42" s="174" t="s">
        <v>9</v>
      </c>
      <c r="U42" s="174" t="s">
        <v>10</v>
      </c>
      <c r="V42" s="174" t="s">
        <v>11</v>
      </c>
      <c r="W42" s="174" t="s">
        <v>12</v>
      </c>
      <c r="X42" s="174" t="s">
        <v>13</v>
      </c>
      <c r="Y42" s="174" t="s">
        <v>14</v>
      </c>
      <c r="Z42" s="174" t="s">
        <v>15</v>
      </c>
    </row>
    <row r="43" spans="1:26" ht="14.5" x14ac:dyDescent="0.35">
      <c r="A43" s="10" t="s">
        <v>145</v>
      </c>
      <c r="B43" s="181">
        <v>12.83</v>
      </c>
      <c r="C43" s="181">
        <v>24.2</v>
      </c>
      <c r="D43" s="181">
        <v>0</v>
      </c>
      <c r="E43" s="181">
        <v>15.26</v>
      </c>
      <c r="F43" s="181">
        <v>17.940000000000001</v>
      </c>
      <c r="G43" s="181">
        <v>19.03</v>
      </c>
      <c r="H43" s="181">
        <v>15.02</v>
      </c>
      <c r="I43" s="181">
        <v>18.829999999999998</v>
      </c>
      <c r="J43" s="181">
        <v>19.03</v>
      </c>
      <c r="K43" s="181">
        <v>19.03</v>
      </c>
      <c r="L43" s="181">
        <v>15.02</v>
      </c>
      <c r="M43" s="181">
        <v>19.03</v>
      </c>
      <c r="N43" s="180" t="s">
        <v>145</v>
      </c>
      <c r="O43" s="181">
        <v>12.83</v>
      </c>
      <c r="P43" s="181">
        <v>14.19</v>
      </c>
      <c r="Q43" s="181">
        <v>14.19</v>
      </c>
      <c r="R43" s="181">
        <v>14.42</v>
      </c>
      <c r="S43" s="181">
        <v>15.79</v>
      </c>
      <c r="T43" s="181">
        <v>16.77</v>
      </c>
      <c r="U43" s="181">
        <v>16.350000000000001</v>
      </c>
      <c r="V43" s="181">
        <v>16.77</v>
      </c>
      <c r="W43" s="181">
        <v>17.13</v>
      </c>
      <c r="X43" s="181">
        <v>17.41</v>
      </c>
      <c r="Y43" s="181">
        <v>17.12</v>
      </c>
      <c r="Z43" s="181">
        <v>17.329999999999998</v>
      </c>
    </row>
    <row r="44" spans="1:26" ht="14.5" x14ac:dyDescent="0.35">
      <c r="A44" s="10" t="s">
        <v>146</v>
      </c>
      <c r="B44" s="181">
        <v>20.14</v>
      </c>
      <c r="C44" s="181">
        <v>18.739999999999998</v>
      </c>
      <c r="D44" s="181">
        <v>22.65</v>
      </c>
      <c r="E44" s="181">
        <v>19.53</v>
      </c>
      <c r="F44" s="181">
        <v>20.39</v>
      </c>
      <c r="G44" s="181">
        <v>16.190000000000001</v>
      </c>
      <c r="H44" s="181">
        <v>17.18</v>
      </c>
      <c r="I44" s="181">
        <v>17.18</v>
      </c>
      <c r="J44" s="181">
        <v>17.18</v>
      </c>
      <c r="K44" s="181">
        <v>17.18</v>
      </c>
      <c r="L44" s="181">
        <v>17.18</v>
      </c>
      <c r="M44" s="181">
        <v>17.100000000000001</v>
      </c>
      <c r="N44" s="180" t="s">
        <v>146</v>
      </c>
      <c r="O44" s="181">
        <v>20.14</v>
      </c>
      <c r="P44" s="181">
        <v>19.53</v>
      </c>
      <c r="Q44" s="181">
        <v>20.6</v>
      </c>
      <c r="R44" s="181">
        <v>20.34</v>
      </c>
      <c r="S44" s="181">
        <v>20.350000000000001</v>
      </c>
      <c r="T44" s="181">
        <v>20.03</v>
      </c>
      <c r="U44" s="181">
        <v>19.55</v>
      </c>
      <c r="V44" s="181">
        <v>19.21</v>
      </c>
      <c r="W44" s="181">
        <v>18.96</v>
      </c>
      <c r="X44" s="181">
        <v>18.760000000000002</v>
      </c>
      <c r="Y44" s="181">
        <v>18.61</v>
      </c>
      <c r="Z44" s="181">
        <v>18.489999999999998</v>
      </c>
    </row>
    <row r="45" spans="1:26" ht="14.5" x14ac:dyDescent="0.35">
      <c r="A45" s="10" t="s">
        <v>147</v>
      </c>
      <c r="B45" s="181">
        <v>18.329999999999998</v>
      </c>
      <c r="C45" s="181">
        <v>16.12</v>
      </c>
      <c r="D45" s="181">
        <v>15.9</v>
      </c>
      <c r="E45" s="181">
        <v>10.29</v>
      </c>
      <c r="F45" s="181">
        <v>17.010000000000002</v>
      </c>
      <c r="G45" s="181">
        <v>15.6</v>
      </c>
      <c r="H45" s="181">
        <v>15.6</v>
      </c>
      <c r="I45" s="181">
        <v>15.6</v>
      </c>
      <c r="J45" s="181">
        <v>15.6</v>
      </c>
      <c r="K45" s="181">
        <v>15.6</v>
      </c>
      <c r="L45" s="181">
        <v>15.6</v>
      </c>
      <c r="M45" s="181">
        <v>15.43</v>
      </c>
      <c r="N45" s="180" t="s">
        <v>147</v>
      </c>
      <c r="O45" s="181">
        <v>18.329999999999998</v>
      </c>
      <c r="P45" s="181">
        <v>17.13</v>
      </c>
      <c r="Q45" s="181">
        <v>16.63</v>
      </c>
      <c r="R45" s="181">
        <v>15.22</v>
      </c>
      <c r="S45" s="181">
        <v>15.53</v>
      </c>
      <c r="T45" s="181">
        <v>15.54</v>
      </c>
      <c r="U45" s="181">
        <v>15.55</v>
      </c>
      <c r="V45" s="181">
        <v>15.56</v>
      </c>
      <c r="W45" s="181">
        <v>15.57</v>
      </c>
      <c r="X45" s="181">
        <v>15.57</v>
      </c>
      <c r="Y45" s="181">
        <v>15.57</v>
      </c>
      <c r="Z45" s="181">
        <v>15.56</v>
      </c>
    </row>
    <row r="46" spans="1:26" ht="14.5" x14ac:dyDescent="0.35">
      <c r="A46" s="10" t="s">
        <v>148</v>
      </c>
      <c r="B46" s="181">
        <v>8.15</v>
      </c>
      <c r="C46" s="181">
        <v>8.5500000000000007</v>
      </c>
      <c r="D46" s="181">
        <v>8.2799999999999994</v>
      </c>
      <c r="E46" s="181">
        <v>8.5</v>
      </c>
      <c r="F46" s="181">
        <v>7.57</v>
      </c>
      <c r="G46" s="181">
        <v>5.74</v>
      </c>
      <c r="H46" s="181">
        <v>5.47</v>
      </c>
      <c r="I46" s="181">
        <v>6.08</v>
      </c>
      <c r="J46" s="181">
        <v>5.42</v>
      </c>
      <c r="K46" s="181">
        <v>5.43</v>
      </c>
      <c r="L46" s="181">
        <v>5.42</v>
      </c>
      <c r="M46" s="181">
        <v>5</v>
      </c>
      <c r="N46" s="180" t="s">
        <v>148</v>
      </c>
      <c r="O46" s="181">
        <v>8.15</v>
      </c>
      <c r="P46" s="181">
        <v>8.34</v>
      </c>
      <c r="Q46" s="181">
        <v>8.32</v>
      </c>
      <c r="R46" s="181">
        <v>8.3699999999999992</v>
      </c>
      <c r="S46" s="181">
        <v>8.1999999999999993</v>
      </c>
      <c r="T46" s="181">
        <v>7.81</v>
      </c>
      <c r="U46" s="181">
        <v>7.49</v>
      </c>
      <c r="V46" s="181">
        <v>7.44</v>
      </c>
      <c r="W46" s="181">
        <v>7.19</v>
      </c>
      <c r="X46" s="181">
        <v>6.99</v>
      </c>
      <c r="Y46" s="181">
        <v>6.91</v>
      </c>
      <c r="Z46" s="181">
        <v>6.82</v>
      </c>
    </row>
    <row r="47" spans="1:26" ht="14.5" x14ac:dyDescent="0.35">
      <c r="A47" s="10" t="s">
        <v>149</v>
      </c>
      <c r="B47" s="181">
        <v>8.0500000000000007</v>
      </c>
      <c r="C47" s="181">
        <v>8.36</v>
      </c>
      <c r="D47" s="181">
        <v>8.01</v>
      </c>
      <c r="E47" s="181">
        <v>7.58</v>
      </c>
      <c r="F47" s="181">
        <v>8.2899999999999991</v>
      </c>
      <c r="G47" s="181">
        <v>6.25</v>
      </c>
      <c r="H47" s="181">
        <v>6.25</v>
      </c>
      <c r="I47" s="181">
        <v>6.25</v>
      </c>
      <c r="J47" s="181">
        <v>6.25</v>
      </c>
      <c r="K47" s="181">
        <v>6.25</v>
      </c>
      <c r="L47" s="181">
        <v>6.24</v>
      </c>
      <c r="M47" s="181">
        <v>6.24</v>
      </c>
      <c r="N47" s="180" t="s">
        <v>149</v>
      </c>
      <c r="O47" s="181">
        <v>8.0500000000000007</v>
      </c>
      <c r="P47" s="181">
        <v>8.19</v>
      </c>
      <c r="Q47" s="181">
        <v>8.1300000000000008</v>
      </c>
      <c r="R47" s="181">
        <v>7.99</v>
      </c>
      <c r="S47" s="181">
        <v>8.0299999999999994</v>
      </c>
      <c r="T47" s="181">
        <v>7.73</v>
      </c>
      <c r="U47" s="181">
        <v>7.61</v>
      </c>
      <c r="V47" s="181">
        <v>7.42</v>
      </c>
      <c r="W47" s="181">
        <v>7.32</v>
      </c>
      <c r="X47" s="181">
        <v>7.2</v>
      </c>
      <c r="Y47" s="181">
        <v>7.11</v>
      </c>
      <c r="Z47" s="181">
        <v>7.03</v>
      </c>
    </row>
    <row r="48" spans="1:26" ht="14.5" x14ac:dyDescent="0.35">
      <c r="A48" s="10" t="s">
        <v>150</v>
      </c>
      <c r="B48" s="181">
        <v>8.1999999999999993</v>
      </c>
      <c r="C48" s="181">
        <v>7.46</v>
      </c>
      <c r="D48" s="181">
        <v>9.66</v>
      </c>
      <c r="E48" s="181">
        <v>6.2</v>
      </c>
      <c r="F48" s="181">
        <v>8.6300000000000008</v>
      </c>
      <c r="G48" s="181">
        <v>7.3</v>
      </c>
      <c r="H48" s="181">
        <v>8.6199999999999992</v>
      </c>
      <c r="I48" s="181">
        <v>8.6199999999999992</v>
      </c>
      <c r="J48" s="181">
        <v>8.6199999999999992</v>
      </c>
      <c r="K48" s="181">
        <v>8.6199999999999992</v>
      </c>
      <c r="L48" s="181">
        <v>8.6199999999999992</v>
      </c>
      <c r="M48" s="181">
        <v>8.6199999999999992</v>
      </c>
      <c r="N48" s="180" t="s">
        <v>150</v>
      </c>
      <c r="O48" s="181">
        <v>8.1999999999999993</v>
      </c>
      <c r="P48" s="181">
        <v>7.78</v>
      </c>
      <c r="Q48" s="181">
        <v>8.57</v>
      </c>
      <c r="R48" s="181">
        <v>7.78</v>
      </c>
      <c r="S48" s="181">
        <v>7.9</v>
      </c>
      <c r="T48" s="181">
        <v>7.73</v>
      </c>
      <c r="U48" s="181">
        <v>7.9</v>
      </c>
      <c r="V48" s="181">
        <v>8.01</v>
      </c>
      <c r="W48" s="181">
        <v>8.09</v>
      </c>
      <c r="X48" s="181">
        <v>8.16</v>
      </c>
      <c r="Y48" s="181">
        <v>8.2100000000000009</v>
      </c>
      <c r="Z48" s="181">
        <v>8.25</v>
      </c>
    </row>
    <row r="49" spans="1:26" ht="14.5" x14ac:dyDescent="0.35">
      <c r="A49" s="10" t="s">
        <v>151</v>
      </c>
      <c r="B49" s="181">
        <v>14.36</v>
      </c>
      <c r="C49" s="181">
        <v>13.87</v>
      </c>
      <c r="D49" s="181">
        <v>15.18</v>
      </c>
      <c r="E49" s="181">
        <v>12.13</v>
      </c>
      <c r="F49" s="181">
        <v>15.33</v>
      </c>
      <c r="G49" s="181">
        <v>12.42</v>
      </c>
      <c r="H49" s="181">
        <v>13.39</v>
      </c>
      <c r="I49" s="181">
        <v>14.1</v>
      </c>
      <c r="J49" s="181">
        <v>13.71</v>
      </c>
      <c r="K49" s="181">
        <v>13.4</v>
      </c>
      <c r="L49" s="181">
        <v>13.32</v>
      </c>
      <c r="M49" s="181">
        <v>13.67</v>
      </c>
      <c r="N49" s="180" t="s">
        <v>151</v>
      </c>
      <c r="O49" s="181">
        <v>14.36</v>
      </c>
      <c r="P49" s="181">
        <v>14.14</v>
      </c>
      <c r="Q49" s="181">
        <v>14.49</v>
      </c>
      <c r="R49" s="181">
        <v>13.9</v>
      </c>
      <c r="S49" s="181">
        <v>14.17</v>
      </c>
      <c r="T49" s="181">
        <v>13.86</v>
      </c>
      <c r="U49" s="181">
        <v>13.79</v>
      </c>
      <c r="V49" s="181">
        <v>13.83</v>
      </c>
      <c r="W49" s="181">
        <v>13.81</v>
      </c>
      <c r="X49" s="181">
        <v>13.76</v>
      </c>
      <c r="Y49" s="181">
        <v>13.72</v>
      </c>
      <c r="Z49" s="181">
        <v>13.72</v>
      </c>
    </row>
    <row r="50" spans="1:26" ht="14.5" x14ac:dyDescent="0.35">
      <c r="A50" s="10" t="s">
        <v>215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5" x14ac:dyDescent="0.35">
      <c r="A51" s="10" t="s">
        <v>145</v>
      </c>
      <c r="B51" s="54">
        <f t="shared" ref="B51:M51" ca="1" si="14">IF(B13-B43=0,"",B13-B43)</f>
        <v>-1.7012499057003083E-3</v>
      </c>
      <c r="C51" s="54">
        <f t="shared" ca="1" si="14"/>
        <v>-4.512831193999034E-4</v>
      </c>
      <c r="D51" s="54" t="str">
        <f t="shared" ca="1" si="14"/>
        <v/>
      </c>
      <c r="E51" s="54">
        <f t="shared" ca="1" si="14"/>
        <v>3.4261797643004854E-3</v>
      </c>
      <c r="F51" s="54">
        <f t="shared" ca="1" si="14"/>
        <v>1.4965012471996886E-3</v>
      </c>
      <c r="G51" s="54">
        <f t="shared" si="14"/>
        <v>-19.03</v>
      </c>
      <c r="H51" s="54">
        <f t="shared" si="14"/>
        <v>-15.02</v>
      </c>
      <c r="I51" s="54">
        <f t="shared" si="14"/>
        <v>-18.829999999999998</v>
      </c>
      <c r="J51" s="54">
        <f t="shared" si="14"/>
        <v>-19.03</v>
      </c>
      <c r="K51" s="54">
        <f t="shared" si="14"/>
        <v>-19.03</v>
      </c>
      <c r="L51" s="54">
        <f t="shared" si="14"/>
        <v>-15.02</v>
      </c>
      <c r="M51" s="54">
        <f t="shared" si="14"/>
        <v>-19.03</v>
      </c>
      <c r="N51" s="10" t="s">
        <v>145</v>
      </c>
      <c r="O51" s="54">
        <f t="shared" ref="O51:Z51" ca="1" si="15">IF(O13-O43=0,"",O13-O43)</f>
        <v>-1.7012499057003083E-3</v>
      </c>
      <c r="P51" s="54">
        <f t="shared" ca="1" si="15"/>
        <v>-4.1510643432989269E-3</v>
      </c>
      <c r="Q51" s="54">
        <f t="shared" ca="1" si="15"/>
        <v>-4.1510643432989269E-3</v>
      </c>
      <c r="R51" s="54">
        <f t="shared" ca="1" si="15"/>
        <v>-2.5239386331996627E-3</v>
      </c>
      <c r="S51" s="54">
        <f t="shared" ca="1" si="15"/>
        <v>-1.1917407465986685E-3</v>
      </c>
      <c r="T51" s="54">
        <f t="shared" si="15"/>
        <v>-16.77</v>
      </c>
      <c r="U51" s="54">
        <f t="shared" si="15"/>
        <v>-16.350000000000001</v>
      </c>
      <c r="V51" s="54">
        <f t="shared" si="15"/>
        <v>-16.77</v>
      </c>
      <c r="W51" s="54">
        <f t="shared" si="15"/>
        <v>-17.13</v>
      </c>
      <c r="X51" s="54">
        <f t="shared" si="15"/>
        <v>-17.41</v>
      </c>
      <c r="Y51" s="54">
        <f t="shared" si="15"/>
        <v>-17.12</v>
      </c>
      <c r="Z51" s="54">
        <f t="shared" si="15"/>
        <v>-17.329999999999998</v>
      </c>
    </row>
    <row r="52" spans="1:26" ht="14.5" x14ac:dyDescent="0.35">
      <c r="A52" s="10" t="s">
        <v>146</v>
      </c>
      <c r="B52" s="54">
        <f t="shared" ref="B52:M52" ca="1" si="16">IF(B14-B44=0,"",B14-B44)</f>
        <v>8.9525783659993863E-4</v>
      </c>
      <c r="C52" s="54">
        <f t="shared" ca="1" si="16"/>
        <v>-1.2106598081977893E-3</v>
      </c>
      <c r="D52" s="54">
        <f t="shared" ca="1" si="16"/>
        <v>1.7079511375008849E-3</v>
      </c>
      <c r="E52" s="54">
        <f t="shared" ca="1" si="16"/>
        <v>-2.1975483012006691E-3</v>
      </c>
      <c r="F52" s="54">
        <f t="shared" ca="1" si="16"/>
        <v>3.6313440608992664E-3</v>
      </c>
      <c r="G52" s="54">
        <f t="shared" si="16"/>
        <v>-16.190000000000001</v>
      </c>
      <c r="H52" s="54">
        <f t="shared" si="16"/>
        <v>-17.18</v>
      </c>
      <c r="I52" s="54">
        <f t="shared" si="16"/>
        <v>-17.18</v>
      </c>
      <c r="J52" s="54">
        <f t="shared" si="16"/>
        <v>-17.18</v>
      </c>
      <c r="K52" s="54">
        <f t="shared" si="16"/>
        <v>-17.18</v>
      </c>
      <c r="L52" s="54">
        <f t="shared" si="16"/>
        <v>-17.18</v>
      </c>
      <c r="M52" s="54">
        <f t="shared" si="16"/>
        <v>-17.100000000000001</v>
      </c>
      <c r="N52" s="10" t="s">
        <v>146</v>
      </c>
      <c r="O52" s="54">
        <f t="shared" ref="O52:Z52" ca="1" si="17">IF(O14-O44=0,"",O14-O44)</f>
        <v>8.9525783659993863E-4</v>
      </c>
      <c r="P52" s="54">
        <f t="shared" ca="1" si="17"/>
        <v>-2.237691307101386E-3</v>
      </c>
      <c r="Q52" s="54">
        <f t="shared" ca="1" si="17"/>
        <v>8.6345243419927442E-4</v>
      </c>
      <c r="R52" s="54">
        <f t="shared" ca="1" si="17"/>
        <v>-3.3747372100378925E-5</v>
      </c>
      <c r="S52" s="54">
        <f t="shared" ca="1" si="17"/>
        <v>8.9995769798179026E-5</v>
      </c>
      <c r="T52" s="54">
        <f t="shared" si="17"/>
        <v>-20.03</v>
      </c>
      <c r="U52" s="54">
        <f t="shared" si="17"/>
        <v>-19.55</v>
      </c>
      <c r="V52" s="54">
        <f t="shared" si="17"/>
        <v>-19.21</v>
      </c>
      <c r="W52" s="54">
        <f t="shared" si="17"/>
        <v>-18.96</v>
      </c>
      <c r="X52" s="54">
        <f t="shared" si="17"/>
        <v>-18.760000000000002</v>
      </c>
      <c r="Y52" s="54">
        <f t="shared" si="17"/>
        <v>-18.61</v>
      </c>
      <c r="Z52" s="54">
        <f t="shared" si="17"/>
        <v>-18.489999999999998</v>
      </c>
    </row>
    <row r="53" spans="1:26" ht="14.5" x14ac:dyDescent="0.35">
      <c r="A53" s="10" t="s">
        <v>147</v>
      </c>
      <c r="B53" s="54">
        <f t="shared" ref="B53:M53" ca="1" si="18">IF(B15-B45=0,"",B15-B45)</f>
        <v>1.5294343743015304E-3</v>
      </c>
      <c r="C53" s="54">
        <f t="shared" ca="1" si="18"/>
        <v>-6.8385741030141389E-4</v>
      </c>
      <c r="D53" s="54">
        <f t="shared" ca="1" si="18"/>
        <v>-4.6284677049968082E-4</v>
      </c>
      <c r="E53" s="54">
        <f t="shared" ca="1" si="18"/>
        <v>-3.8077193380985364E-3</v>
      </c>
      <c r="F53" s="54">
        <f t="shared" ca="1" si="18"/>
        <v>-8.1610471140081131E-4</v>
      </c>
      <c r="G53" s="54">
        <f t="shared" si="18"/>
        <v>-15.6</v>
      </c>
      <c r="H53" s="54">
        <f t="shared" si="18"/>
        <v>-15.6</v>
      </c>
      <c r="I53" s="54">
        <f t="shared" si="18"/>
        <v>-15.6</v>
      </c>
      <c r="J53" s="54">
        <f t="shared" si="18"/>
        <v>-15.6</v>
      </c>
      <c r="K53" s="54">
        <f t="shared" si="18"/>
        <v>-15.6</v>
      </c>
      <c r="L53" s="54">
        <f t="shared" si="18"/>
        <v>-15.6</v>
      </c>
      <c r="M53" s="54">
        <f t="shared" si="18"/>
        <v>-15.43</v>
      </c>
      <c r="N53" s="10" t="s">
        <v>147</v>
      </c>
      <c r="O53" s="54">
        <f t="shared" ref="O53:Z53" ca="1" si="19">IF(O15-O45=0,"",O15-O45)</f>
        <v>1.5294343743015304E-3</v>
      </c>
      <c r="P53" s="54">
        <f t="shared" ca="1" si="19"/>
        <v>-1.9584545358988237E-3</v>
      </c>
      <c r="Q53" s="54">
        <f t="shared" ca="1" si="19"/>
        <v>2.7997905351000441E-3</v>
      </c>
      <c r="R53" s="54">
        <f t="shared" ca="1" si="19"/>
        <v>-2.1579703672003347E-3</v>
      </c>
      <c r="S53" s="54">
        <f t="shared" ca="1" si="19"/>
        <v>-2.3544217731998884E-3</v>
      </c>
      <c r="T53" s="54">
        <f t="shared" si="19"/>
        <v>-15.54</v>
      </c>
      <c r="U53" s="54">
        <f t="shared" si="19"/>
        <v>-15.55</v>
      </c>
      <c r="V53" s="54">
        <f t="shared" si="19"/>
        <v>-15.56</v>
      </c>
      <c r="W53" s="54">
        <f t="shared" si="19"/>
        <v>-15.57</v>
      </c>
      <c r="X53" s="54">
        <f t="shared" si="19"/>
        <v>-15.57</v>
      </c>
      <c r="Y53" s="54">
        <f t="shared" si="19"/>
        <v>-15.57</v>
      </c>
      <c r="Z53" s="54">
        <f t="shared" si="19"/>
        <v>-15.56</v>
      </c>
    </row>
    <row r="54" spans="1:26" ht="14.5" x14ac:dyDescent="0.35">
      <c r="A54" s="10" t="s">
        <v>148</v>
      </c>
      <c r="B54" s="54">
        <f t="shared" ref="B54:M54" ca="1" si="20">IF(B16-B46=0,"",B16-B46)</f>
        <v>4.6463364185491685E-3</v>
      </c>
      <c r="C54" s="54">
        <f t="shared" ca="1" si="20"/>
        <v>3.2912115931793551E-3</v>
      </c>
      <c r="D54" s="54">
        <f t="shared" ca="1" si="20"/>
        <v>-1.4949670182495822E-3</v>
      </c>
      <c r="E54" s="54">
        <f t="shared" ca="1" si="20"/>
        <v>4.1214153828050826E-4</v>
      </c>
      <c r="F54" s="54">
        <f t="shared" ca="1" si="20"/>
        <v>-3.8971906506901632E-3</v>
      </c>
      <c r="G54" s="54">
        <f t="shared" si="20"/>
        <v>-5.74</v>
      </c>
      <c r="H54" s="54">
        <f t="shared" si="20"/>
        <v>-5.47</v>
      </c>
      <c r="I54" s="54">
        <f t="shared" si="20"/>
        <v>-6.08</v>
      </c>
      <c r="J54" s="54">
        <f t="shared" si="20"/>
        <v>-5.42</v>
      </c>
      <c r="K54" s="54">
        <f t="shared" si="20"/>
        <v>-5.43</v>
      </c>
      <c r="L54" s="54">
        <f t="shared" si="20"/>
        <v>-5.42</v>
      </c>
      <c r="M54" s="54">
        <f t="shared" si="20"/>
        <v>-5</v>
      </c>
      <c r="N54" s="10" t="s">
        <v>148</v>
      </c>
      <c r="O54" s="54">
        <f t="shared" ref="O54:Z54" ca="1" si="21">IF(O16-O46=0,"",O16-O46)</f>
        <v>4.6463364185491685E-3</v>
      </c>
      <c r="P54" s="54">
        <f t="shared" ca="1" si="21"/>
        <v>1.9266836246210062E-3</v>
      </c>
      <c r="Q54" s="54">
        <f t="shared" ca="1" si="21"/>
        <v>4.5958207943392893E-3</v>
      </c>
      <c r="R54" s="54">
        <f t="shared" ca="1" si="21"/>
        <v>1.5066967674908227E-3</v>
      </c>
      <c r="S54" s="54">
        <f t="shared" ca="1" si="21"/>
        <v>-1.1377081098089548E-3</v>
      </c>
      <c r="T54" s="54">
        <f t="shared" si="21"/>
        <v>-7.81</v>
      </c>
      <c r="U54" s="54">
        <f t="shared" si="21"/>
        <v>-7.49</v>
      </c>
      <c r="V54" s="54">
        <f t="shared" si="21"/>
        <v>-7.44</v>
      </c>
      <c r="W54" s="54">
        <f t="shared" si="21"/>
        <v>-7.19</v>
      </c>
      <c r="X54" s="54">
        <f t="shared" si="21"/>
        <v>-6.99</v>
      </c>
      <c r="Y54" s="54">
        <f t="shared" si="21"/>
        <v>-6.91</v>
      </c>
      <c r="Z54" s="54">
        <f t="shared" si="21"/>
        <v>-6.82</v>
      </c>
    </row>
    <row r="55" spans="1:26" ht="14.5" x14ac:dyDescent="0.35">
      <c r="A55" s="10" t="s">
        <v>149</v>
      </c>
      <c r="B55" s="54">
        <f t="shared" ref="B55:M55" ca="1" si="22">IF(B17-B47=0,"",B17-B47)</f>
        <v>-4.6506543650206567E-3</v>
      </c>
      <c r="C55" s="54">
        <f t="shared" ca="1" si="22"/>
        <v>2.6741504616403233E-3</v>
      </c>
      <c r="D55" s="54">
        <f t="shared" ca="1" si="22"/>
        <v>2.5096825299293357E-3</v>
      </c>
      <c r="E55" s="54">
        <f t="shared" ca="1" si="22"/>
        <v>1.6243703069029891E-4</v>
      </c>
      <c r="F55" s="54">
        <f t="shared" ca="1" si="22"/>
        <v>-2.9100661875283151E-3</v>
      </c>
      <c r="G55" s="54">
        <f t="shared" si="22"/>
        <v>-6.25</v>
      </c>
      <c r="H55" s="54">
        <f t="shared" si="22"/>
        <v>-6.25</v>
      </c>
      <c r="I55" s="54">
        <f t="shared" si="22"/>
        <v>-6.25</v>
      </c>
      <c r="J55" s="54">
        <f t="shared" si="22"/>
        <v>-6.25</v>
      </c>
      <c r="K55" s="54">
        <f t="shared" si="22"/>
        <v>-6.25</v>
      </c>
      <c r="L55" s="54">
        <f t="shared" si="22"/>
        <v>-6.24</v>
      </c>
      <c r="M55" s="54">
        <f t="shared" si="22"/>
        <v>-6.24</v>
      </c>
      <c r="N55" s="10" t="s">
        <v>149</v>
      </c>
      <c r="O55" s="54">
        <f t="shared" ref="O55:Z55" ca="1" si="23">IF(O17-O47=0,"",O17-O47)</f>
        <v>-4.6506543650206567E-3</v>
      </c>
      <c r="P55" s="54">
        <f t="shared" ca="1" si="23"/>
        <v>3.3579359715805168E-3</v>
      </c>
      <c r="Q55" s="54">
        <f t="shared" ca="1" si="23"/>
        <v>2.2815985948909656E-4</v>
      </c>
      <c r="R55" s="54">
        <f t="shared" ca="1" si="23"/>
        <v>4.0971283660899971E-3</v>
      </c>
      <c r="S55" s="54">
        <f t="shared" ca="1" si="23"/>
        <v>-3.7824957010901272E-3</v>
      </c>
      <c r="T55" s="54">
        <f t="shared" si="23"/>
        <v>-7.73</v>
      </c>
      <c r="U55" s="54">
        <f t="shared" si="23"/>
        <v>-7.61</v>
      </c>
      <c r="V55" s="54">
        <f t="shared" si="23"/>
        <v>-7.42</v>
      </c>
      <c r="W55" s="54">
        <f t="shared" si="23"/>
        <v>-7.32</v>
      </c>
      <c r="X55" s="54">
        <f t="shared" si="23"/>
        <v>-7.2</v>
      </c>
      <c r="Y55" s="54">
        <f t="shared" si="23"/>
        <v>-7.11</v>
      </c>
      <c r="Z55" s="54">
        <f t="shared" si="23"/>
        <v>-7.03</v>
      </c>
    </row>
    <row r="56" spans="1:26" ht="14.5" x14ac:dyDescent="0.35">
      <c r="A56" s="10" t="s">
        <v>150</v>
      </c>
      <c r="B56" s="54">
        <f t="shared" ref="B56:M56" ca="1" si="24">IF(B18-B48=0,"",B18-B48)</f>
        <v>-1.4951208868598798E-3</v>
      </c>
      <c r="C56" s="54">
        <f t="shared" ca="1" si="24"/>
        <v>-2.3799675694800015E-3</v>
      </c>
      <c r="D56" s="54">
        <f t="shared" ca="1" si="24"/>
        <v>2.9141276738897659E-3</v>
      </c>
      <c r="E56" s="54">
        <f t="shared" ca="1" si="24"/>
        <v>3.5742336278001829E-3</v>
      </c>
      <c r="F56" s="54">
        <f t="shared" ca="1" si="24"/>
        <v>-2.3091798439516253E-3</v>
      </c>
      <c r="G56" s="54">
        <f t="shared" si="24"/>
        <v>-7.3</v>
      </c>
      <c r="H56" s="54">
        <f t="shared" si="24"/>
        <v>-8.6199999999999992</v>
      </c>
      <c r="I56" s="54">
        <f t="shared" si="24"/>
        <v>-8.6199999999999992</v>
      </c>
      <c r="J56" s="54">
        <f t="shared" si="24"/>
        <v>-8.6199999999999992</v>
      </c>
      <c r="K56" s="54">
        <f t="shared" si="24"/>
        <v>-8.6199999999999992</v>
      </c>
      <c r="L56" s="54">
        <f t="shared" si="24"/>
        <v>-8.6199999999999992</v>
      </c>
      <c r="M56" s="54">
        <f t="shared" si="24"/>
        <v>-8.6199999999999992</v>
      </c>
      <c r="N56" s="10" t="s">
        <v>150</v>
      </c>
      <c r="O56" s="54">
        <f t="shared" ref="O56:Z56" ca="1" si="25">IF(O18-O48=0,"",O18-O48)</f>
        <v>-1.4951208868598798E-3</v>
      </c>
      <c r="P56" s="54">
        <f t="shared" ca="1" si="25"/>
        <v>3.8883929716195809E-3</v>
      </c>
      <c r="Q56" s="54">
        <f t="shared" ca="1" si="25"/>
        <v>4.755152957729436E-3</v>
      </c>
      <c r="R56" s="54">
        <f t="shared" ca="1" si="25"/>
        <v>-3.2200921737706167E-3</v>
      </c>
      <c r="S56" s="54">
        <f t="shared" ca="1" si="25"/>
        <v>-7.0834408586062381E-4</v>
      </c>
      <c r="T56" s="54">
        <f t="shared" si="25"/>
        <v>-7.73</v>
      </c>
      <c r="U56" s="54">
        <f t="shared" si="25"/>
        <v>-7.9</v>
      </c>
      <c r="V56" s="54">
        <f t="shared" si="25"/>
        <v>-8.01</v>
      </c>
      <c r="W56" s="54">
        <f t="shared" si="25"/>
        <v>-8.09</v>
      </c>
      <c r="X56" s="54">
        <f t="shared" si="25"/>
        <v>-8.16</v>
      </c>
      <c r="Y56" s="54">
        <f t="shared" si="25"/>
        <v>-8.2100000000000009</v>
      </c>
      <c r="Z56" s="54">
        <f t="shared" si="25"/>
        <v>-8.25</v>
      </c>
    </row>
    <row r="57" spans="1:26" ht="14.5" x14ac:dyDescent="0.35">
      <c r="A57" s="10" t="s">
        <v>151</v>
      </c>
      <c r="B57" s="54">
        <f t="shared" ref="B57:M57" ca="1" si="26">IF(B19-B49=0,"",B19-B49)</f>
        <v>3.767536623300316E-3</v>
      </c>
      <c r="C57" s="54">
        <f t="shared" ca="1" si="26"/>
        <v>-1.194595952998867E-3</v>
      </c>
      <c r="D57" s="54">
        <f t="shared" ca="1" si="26"/>
        <v>-3.9339541170058112E-4</v>
      </c>
      <c r="E57" s="54">
        <f t="shared" ca="1" si="26"/>
        <v>3.1803944402994944E-3</v>
      </c>
      <c r="F57" s="54">
        <f t="shared" ca="1" si="26"/>
        <v>-2.0638895271005708E-3</v>
      </c>
      <c r="G57" s="54">
        <f t="shared" si="26"/>
        <v>-12.42</v>
      </c>
      <c r="H57" s="54">
        <f t="shared" si="26"/>
        <v>-13.39</v>
      </c>
      <c r="I57" s="54">
        <f t="shared" si="26"/>
        <v>-14.1</v>
      </c>
      <c r="J57" s="54">
        <f t="shared" si="26"/>
        <v>-13.71</v>
      </c>
      <c r="K57" s="54">
        <f t="shared" si="26"/>
        <v>-13.4</v>
      </c>
      <c r="L57" s="54">
        <f t="shared" si="26"/>
        <v>-13.32</v>
      </c>
      <c r="M57" s="54">
        <f t="shared" si="26"/>
        <v>-13.67</v>
      </c>
      <c r="N57" s="10" t="s">
        <v>151</v>
      </c>
      <c r="O57" s="54">
        <f t="shared" ref="O57:Z57" ca="1" si="27">IF(O19-O49=0,"",O19-O49)</f>
        <v>3.767536623300316E-3</v>
      </c>
      <c r="P57" s="54">
        <f t="shared" ca="1" si="27"/>
        <v>3.219494095999309E-3</v>
      </c>
      <c r="Q57" s="54">
        <f t="shared" ca="1" si="27"/>
        <v>-3.7153315709002044E-3</v>
      </c>
      <c r="R57" s="54">
        <f t="shared" ca="1" si="27"/>
        <v>1.922922085499934E-3</v>
      </c>
      <c r="S57" s="54">
        <f t="shared" ca="1" si="27"/>
        <v>4.0376942004005656E-3</v>
      </c>
      <c r="T57" s="54">
        <f t="shared" si="27"/>
        <v>-13.86</v>
      </c>
      <c r="U57" s="54">
        <f t="shared" si="27"/>
        <v>-13.79</v>
      </c>
      <c r="V57" s="54">
        <f t="shared" si="27"/>
        <v>-13.83</v>
      </c>
      <c r="W57" s="54">
        <f t="shared" si="27"/>
        <v>-13.81</v>
      </c>
      <c r="X57" s="54">
        <f t="shared" si="27"/>
        <v>-13.76</v>
      </c>
      <c r="Y57" s="54">
        <f t="shared" si="27"/>
        <v>-13.72</v>
      </c>
      <c r="Z57" s="54">
        <f t="shared" si="27"/>
        <v>-13.72</v>
      </c>
    </row>
    <row r="58" spans="1:26" ht="14.5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5" x14ac:dyDescent="0.35">
      <c r="A61" s="9"/>
      <c r="B61" s="17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5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5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5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5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5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5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5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5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5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5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5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5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5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5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5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5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5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5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5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5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5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5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5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5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5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5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5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5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5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5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5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5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5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5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5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5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5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5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5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5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5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5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5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5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5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5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5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5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5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5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5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5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5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5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5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5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5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5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5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5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5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5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5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5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5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5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5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5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5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5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5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5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5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5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5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5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5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5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5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5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5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5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5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5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5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5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5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5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5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5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5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5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5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5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5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5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5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5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5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5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5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5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5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5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5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5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5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5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5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5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5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5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5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5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5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5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5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5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5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5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5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5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5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5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5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5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5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5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5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5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5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5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5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5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5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5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5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5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5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5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5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5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5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5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5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5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5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5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5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5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5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5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5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5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5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5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5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5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5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5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5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5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5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5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5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5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5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5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5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5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5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5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5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5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5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5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5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5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5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5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5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5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5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5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5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5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5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5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5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5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5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5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5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5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5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5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5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5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5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5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5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5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5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5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5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5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5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5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5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5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5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5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5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5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5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5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5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5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5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5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5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5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5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5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5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5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5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5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5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5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5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5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5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5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5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5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5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5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5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5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5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5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5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5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5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5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5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5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5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5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5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5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5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5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5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5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5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5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5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5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5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5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5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5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5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5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5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5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5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5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5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5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5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5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5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5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5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5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5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5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5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5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5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5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5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5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5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5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5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5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5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5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5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5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5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5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5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5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5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5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5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5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5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5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5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5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5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5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5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5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5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5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5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5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5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5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5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5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5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5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5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5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5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5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5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5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5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5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5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5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5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5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5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5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5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5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5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5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5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5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5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5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5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5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5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5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5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5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5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5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5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5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5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5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5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5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5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5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5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5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5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5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5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5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5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5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5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5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5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5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5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5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5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5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5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5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5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5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5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5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5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5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5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5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5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5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5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5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5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5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5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5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5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5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5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5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5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5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5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5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5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5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5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5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5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5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5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5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5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5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5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5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5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5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5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5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5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5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5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5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5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5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5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5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5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5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5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5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5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5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5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5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5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5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5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5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5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5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5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5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5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5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5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5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5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5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5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5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5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5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5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5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5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5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5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5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5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5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5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5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5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5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5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5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5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5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5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5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5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5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5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5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5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5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5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5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5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5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5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5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5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5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5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5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5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5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5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5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5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5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5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5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5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5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5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5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5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5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5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5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5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5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5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5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5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5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5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5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5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5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5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5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5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5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5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5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5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5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5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5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5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5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5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5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5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5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5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5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5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5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5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5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5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5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5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5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5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5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5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5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5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5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5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5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5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5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5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5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5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5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5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5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5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5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5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5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5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5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5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5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5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5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5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5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5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5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5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5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5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5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5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5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5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5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5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5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5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5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5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5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5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5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5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5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5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5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5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5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5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5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5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5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5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5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5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5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5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5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5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5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5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5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5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5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5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5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5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5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5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5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5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5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5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5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5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5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5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5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5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5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5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5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5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5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5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5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5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5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5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5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5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5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5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5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5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5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5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5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5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5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5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5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5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5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5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5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5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5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5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5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5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5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5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5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5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5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5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5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5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5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5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5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5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5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5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5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5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5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5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5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5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5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5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5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5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5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5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5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5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5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5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5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5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5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5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5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5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5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5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5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5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5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5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5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5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5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5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5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5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5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5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5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5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5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5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5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5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5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5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5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5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5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5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5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5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5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5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5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5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5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5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5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5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5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5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5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5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5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5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5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5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5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5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5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5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5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5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5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5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5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5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5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5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5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5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5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5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5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5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5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5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5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5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5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5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5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5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5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5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5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5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5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5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5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5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5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5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5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5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5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5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5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5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5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5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5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5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5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5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5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5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5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5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5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5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5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5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5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5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5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5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5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5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5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5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5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5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5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5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5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5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5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5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5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5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5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5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5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5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5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5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5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5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5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5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5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5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5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5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5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5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5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5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5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5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5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5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5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5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5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5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5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5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5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5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5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5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5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5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5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5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5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5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5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5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5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5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5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5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5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5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5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5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5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5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5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5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5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5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5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5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5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5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5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5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5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5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5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5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5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0">
    <mergeCell ref="A21:A22"/>
    <mergeCell ref="B21:M21"/>
    <mergeCell ref="N21:N22"/>
    <mergeCell ref="O21:Z21"/>
    <mergeCell ref="A1:A2"/>
    <mergeCell ref="B1:M1"/>
    <mergeCell ref="N1:N2"/>
    <mergeCell ref="O1:Z1"/>
    <mergeCell ref="B11:M11"/>
    <mergeCell ref="N11:N12"/>
    <mergeCell ref="O11:Z11"/>
    <mergeCell ref="A11:A12"/>
    <mergeCell ref="A31:A32"/>
    <mergeCell ref="N31:N32"/>
    <mergeCell ref="B31:M31"/>
    <mergeCell ref="O31:Z31"/>
    <mergeCell ref="A41:A42"/>
    <mergeCell ref="B41:M41"/>
    <mergeCell ref="N41:N42"/>
    <mergeCell ref="O41:Z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C1021"/>
  <sheetViews>
    <sheetView workbookViewId="0"/>
  </sheetViews>
  <sheetFormatPr defaultColWidth="12.6328125" defaultRowHeight="15.75" customHeight="1" x14ac:dyDescent="0.25"/>
  <cols>
    <col min="1" max="1" width="51.7265625" customWidth="1"/>
    <col min="16" max="16" width="48.6328125" customWidth="1"/>
  </cols>
  <sheetData>
    <row r="1" spans="1:29" ht="15.75" customHeight="1" x14ac:dyDescent="0.25">
      <c r="A1" s="171" t="s">
        <v>216</v>
      </c>
      <c r="B1" s="172">
        <v>0.53100000000000003</v>
      </c>
      <c r="C1" s="182" t="s">
        <v>217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83"/>
      <c r="Q1" s="120"/>
      <c r="R1" s="120"/>
      <c r="S1" s="120"/>
      <c r="W1" s="120"/>
      <c r="X1" s="120"/>
      <c r="Y1" s="120"/>
      <c r="Z1" s="120"/>
      <c r="AA1" s="120"/>
      <c r="AB1" s="120"/>
      <c r="AC1" s="120"/>
    </row>
    <row r="2" spans="1:29" ht="15.75" customHeight="1" x14ac:dyDescent="0.3">
      <c r="A2" s="184" t="s">
        <v>218</v>
      </c>
      <c r="B2" s="117" t="s">
        <v>4</v>
      </c>
      <c r="C2" s="117" t="s">
        <v>5</v>
      </c>
      <c r="D2" s="117" t="s">
        <v>6</v>
      </c>
      <c r="E2" s="117" t="s">
        <v>7</v>
      </c>
      <c r="F2" s="117" t="s">
        <v>8</v>
      </c>
      <c r="G2" s="117" t="s">
        <v>9</v>
      </c>
      <c r="H2" s="117" t="s">
        <v>10</v>
      </c>
      <c r="I2" s="117" t="s">
        <v>11</v>
      </c>
      <c r="J2" s="117" t="s">
        <v>12</v>
      </c>
      <c r="K2" s="117" t="s">
        <v>13</v>
      </c>
      <c r="L2" s="117" t="s">
        <v>14</v>
      </c>
      <c r="M2" s="117" t="s">
        <v>15</v>
      </c>
      <c r="N2" s="120"/>
      <c r="O2" s="120"/>
      <c r="P2" s="182" t="s">
        <v>218</v>
      </c>
      <c r="Q2" s="117" t="s">
        <v>4</v>
      </c>
      <c r="R2" s="117" t="s">
        <v>5</v>
      </c>
      <c r="S2" s="117" t="s">
        <v>6</v>
      </c>
      <c r="T2" s="117" t="s">
        <v>7</v>
      </c>
      <c r="U2" s="117" t="s">
        <v>8</v>
      </c>
      <c r="V2" s="117" t="s">
        <v>9</v>
      </c>
      <c r="W2" s="117" t="s">
        <v>10</v>
      </c>
      <c r="X2" s="117" t="s">
        <v>11</v>
      </c>
      <c r="Y2" s="117" t="s">
        <v>12</v>
      </c>
      <c r="Z2" s="117" t="s">
        <v>13</v>
      </c>
      <c r="AA2" s="117" t="s">
        <v>14</v>
      </c>
      <c r="AB2" s="117" t="s">
        <v>15</v>
      </c>
      <c r="AC2" s="117"/>
    </row>
    <row r="3" spans="1:29" ht="15.75" customHeight="1" x14ac:dyDescent="0.25">
      <c r="A3" s="182" t="s">
        <v>145</v>
      </c>
      <c r="B3" s="138" t="e">
        <f>'CF Monitor Dashboard'!B3/100*$B$1*1000</f>
        <v>#REF!</v>
      </c>
      <c r="C3" s="138" t="e">
        <f>'CF Monitor Dashboard'!C3/100*$B$1*1000</f>
        <v>#REF!</v>
      </c>
      <c r="D3" s="138" t="e">
        <f>'CF Monitor Dashboard'!D3/100*$B$1*1000</f>
        <v>#REF!</v>
      </c>
      <c r="E3" s="138" t="e">
        <f>'CF Monitor Dashboard'!E3/100*$B$1*1000</f>
        <v>#REF!</v>
      </c>
      <c r="F3" s="138" t="e">
        <f>'CF Monitor Dashboard'!F3/100*$B$1*1000</f>
        <v>#REF!</v>
      </c>
      <c r="G3" s="138" t="e">
        <f>'CF Monitor Dashboard'!G3/100*$B$1*1000</f>
        <v>#REF!</v>
      </c>
      <c r="H3" s="138" t="e">
        <f>'CF Monitor Dashboard'!H3/100*$B$1*1000</f>
        <v>#REF!</v>
      </c>
      <c r="I3" s="138" t="e">
        <f>'CF Monitor Dashboard'!I3/100*$B$1*1000</f>
        <v>#REF!</v>
      </c>
      <c r="J3" s="138" t="e">
        <f>'CF Monitor Dashboard'!J3/100*$B$1*1000</f>
        <v>#REF!</v>
      </c>
      <c r="K3" s="138" t="e">
        <f>'CF Monitor Dashboard'!K3/100*$B$1*1000</f>
        <v>#REF!</v>
      </c>
      <c r="L3" s="138" t="e">
        <f>'CF Monitor Dashboard'!L3/100*$B$1*1000</f>
        <v>#REF!</v>
      </c>
      <c r="M3" s="138" t="e">
        <f>'CF Monitor Dashboard'!M3/100*$B$1*1000</f>
        <v>#REF!</v>
      </c>
      <c r="P3" s="185" t="s">
        <v>145</v>
      </c>
      <c r="Q3" s="138" t="e">
        <f>'CF Monitor Dashboard'!B34/100*$B$1*1000</f>
        <v>#REF!</v>
      </c>
      <c r="R3" s="138" t="e">
        <f>'CF Monitor Dashboard'!C34/100*$B$1*1000</f>
        <v>#REF!</v>
      </c>
      <c r="S3" s="138" t="e">
        <f>'CF Monitor Dashboard'!D34/100*$B$1*1000</f>
        <v>#REF!</v>
      </c>
      <c r="T3" s="138" t="e">
        <f>'CF Monitor Dashboard'!E34/100*$B$1*1000</f>
        <v>#REF!</v>
      </c>
      <c r="U3" s="138" t="e">
        <f>'CF Monitor Dashboard'!F34/100*$B$1*1000</f>
        <v>#REF!</v>
      </c>
      <c r="V3" s="138" t="e">
        <f>'CF Monitor Dashboard'!G34/100*$B$1*1000</f>
        <v>#REF!</v>
      </c>
      <c r="W3" s="138" t="e">
        <f>'CF Monitor Dashboard'!H34/100*$B$1*1000</f>
        <v>#REF!</v>
      </c>
      <c r="X3" s="138" t="e">
        <f>'CF Monitor Dashboard'!I34/100*$B$1*1000</f>
        <v>#REF!</v>
      </c>
      <c r="Y3" s="138" t="e">
        <f>'CF Monitor Dashboard'!J34/100*$B$1*1000</f>
        <v>#REF!</v>
      </c>
      <c r="Z3" s="138" t="e">
        <f>'CF Monitor Dashboard'!K34/100*$B$1*1000</f>
        <v>#REF!</v>
      </c>
      <c r="AA3" s="138" t="e">
        <f>'CF Monitor Dashboard'!L34/100*$B$1*1000</f>
        <v>#REF!</v>
      </c>
      <c r="AB3" s="138" t="e">
        <f>'CF Monitor Dashboard'!M34/100*$B$1*1000</f>
        <v>#REF!</v>
      </c>
      <c r="AC3" s="138"/>
    </row>
    <row r="4" spans="1:29" ht="15.75" customHeight="1" x14ac:dyDescent="0.25">
      <c r="A4" s="182" t="s">
        <v>146</v>
      </c>
      <c r="B4" s="138" t="e">
        <f>'CF Monitor Dashboard'!B11/100*$B$1*1000</f>
        <v>#REF!</v>
      </c>
      <c r="C4" s="138" t="e">
        <f>'CF Monitor Dashboard'!C11/100*$B$1*1000</f>
        <v>#REF!</v>
      </c>
      <c r="D4" s="138" t="e">
        <f>'CF Monitor Dashboard'!D11/100*$B$1*1000</f>
        <v>#REF!</v>
      </c>
      <c r="E4" s="138" t="e">
        <f>'CF Monitor Dashboard'!E11/100*$B$1*1000</f>
        <v>#REF!</v>
      </c>
      <c r="F4" s="138" t="e">
        <f>'CF Monitor Dashboard'!F11/100*$B$1*1000</f>
        <v>#REF!</v>
      </c>
      <c r="G4" s="138" t="e">
        <f>'CF Monitor Dashboard'!G11/100*$B$1*1000</f>
        <v>#REF!</v>
      </c>
      <c r="H4" s="138" t="e">
        <f>'CF Monitor Dashboard'!H11/100*$B$1*1000</f>
        <v>#REF!</v>
      </c>
      <c r="I4" s="138" t="e">
        <f>'CF Monitor Dashboard'!I11/100*$B$1*1000</f>
        <v>#REF!</v>
      </c>
      <c r="J4" s="138" t="e">
        <f>'CF Monitor Dashboard'!J11/100*$B$1*1000</f>
        <v>#REF!</v>
      </c>
      <c r="K4" s="138" t="e">
        <f>'CF Monitor Dashboard'!K11/100*$B$1*1000</f>
        <v>#REF!</v>
      </c>
      <c r="L4" s="138" t="e">
        <f>'CF Monitor Dashboard'!L11/100*$B$1*1000</f>
        <v>#REF!</v>
      </c>
      <c r="M4" s="138" t="e">
        <f>'CF Monitor Dashboard'!M11/100*$B$1*1000</f>
        <v>#REF!</v>
      </c>
      <c r="P4" s="185" t="s">
        <v>146</v>
      </c>
      <c r="Q4" s="138" t="e">
        <f>'CF Monitor Dashboard'!B42/100*$B$1*1000</f>
        <v>#REF!</v>
      </c>
      <c r="R4" s="138" t="e">
        <f>'CF Monitor Dashboard'!C42/100*$B$1*1000</f>
        <v>#REF!</v>
      </c>
      <c r="S4" s="138" t="e">
        <f>'CF Monitor Dashboard'!D42/100*$B$1*1000</f>
        <v>#REF!</v>
      </c>
      <c r="T4" s="138" t="e">
        <f>'CF Monitor Dashboard'!E42/100*$B$1*1000</f>
        <v>#REF!</v>
      </c>
      <c r="U4" s="138" t="e">
        <f>'CF Monitor Dashboard'!F42/100*$B$1*1000</f>
        <v>#REF!</v>
      </c>
      <c r="V4" s="138" t="e">
        <f>'CF Monitor Dashboard'!G42/100*$B$1*1000</f>
        <v>#REF!</v>
      </c>
      <c r="W4" s="138" t="e">
        <f>'CF Monitor Dashboard'!H42/100*$B$1*1000</f>
        <v>#REF!</v>
      </c>
      <c r="X4" s="138" t="e">
        <f>'CF Monitor Dashboard'!I42/100*$B$1*1000</f>
        <v>#REF!</v>
      </c>
      <c r="Y4" s="138" t="e">
        <f>'CF Monitor Dashboard'!J42/100*$B$1*1000</f>
        <v>#REF!</v>
      </c>
      <c r="Z4" s="138" t="e">
        <f>'CF Monitor Dashboard'!K42/100*$B$1*1000</f>
        <v>#REF!</v>
      </c>
      <c r="AA4" s="138" t="e">
        <f>'CF Monitor Dashboard'!L42/100*$B$1*1000</f>
        <v>#REF!</v>
      </c>
      <c r="AB4" s="138" t="e">
        <f>'CF Monitor Dashboard'!M42/100*$B$1*1000</f>
        <v>#REF!</v>
      </c>
      <c r="AC4" s="138"/>
    </row>
    <row r="5" spans="1:29" ht="15.75" customHeight="1" x14ac:dyDescent="0.25">
      <c r="A5" s="182" t="s">
        <v>147</v>
      </c>
      <c r="B5" s="138" t="e">
        <f>'CF Monitor Dashboard'!B15/100*$B$1*1000</f>
        <v>#REF!</v>
      </c>
      <c r="C5" s="138" t="e">
        <f>'CF Monitor Dashboard'!C15/100*$B$1*1000</f>
        <v>#REF!</v>
      </c>
      <c r="D5" s="138" t="e">
        <f>'CF Monitor Dashboard'!D15/100*$B$1*1000</f>
        <v>#REF!</v>
      </c>
      <c r="E5" s="138" t="e">
        <f>'CF Monitor Dashboard'!E15/100*$B$1*1000</f>
        <v>#REF!</v>
      </c>
      <c r="F5" s="138" t="e">
        <f>'CF Monitor Dashboard'!F15/100*$B$1*1000</f>
        <v>#REF!</v>
      </c>
      <c r="G5" s="138" t="e">
        <f>'CF Monitor Dashboard'!G15/100*$B$1*1000</f>
        <v>#REF!</v>
      </c>
      <c r="H5" s="138" t="e">
        <f>'CF Monitor Dashboard'!H15/100*$B$1*1000</f>
        <v>#REF!</v>
      </c>
      <c r="I5" s="138" t="e">
        <f>'CF Monitor Dashboard'!I15/100*$B$1*1000</f>
        <v>#REF!</v>
      </c>
      <c r="J5" s="138" t="e">
        <f>'CF Monitor Dashboard'!J15/100*$B$1*1000</f>
        <v>#REF!</v>
      </c>
      <c r="K5" s="138" t="e">
        <f>'CF Monitor Dashboard'!K15/100*$B$1*1000</f>
        <v>#REF!</v>
      </c>
      <c r="L5" s="138" t="e">
        <f>'CF Monitor Dashboard'!L15/100*$B$1*1000</f>
        <v>#REF!</v>
      </c>
      <c r="M5" s="138" t="e">
        <f>'CF Monitor Dashboard'!M15/100*$B$1*1000</f>
        <v>#REF!</v>
      </c>
      <c r="P5" s="185" t="s">
        <v>147</v>
      </c>
      <c r="Q5" s="138" t="e">
        <f>'CF Monitor Dashboard'!B46/100*$B$1*1000</f>
        <v>#REF!</v>
      </c>
      <c r="R5" s="138" t="e">
        <f>'CF Monitor Dashboard'!C46/100*$B$1*1000</f>
        <v>#REF!</v>
      </c>
      <c r="S5" s="138" t="e">
        <f>'CF Monitor Dashboard'!D46/100*$B$1*1000</f>
        <v>#REF!</v>
      </c>
      <c r="T5" s="138" t="e">
        <f>'CF Monitor Dashboard'!E46/100*$B$1*1000</f>
        <v>#REF!</v>
      </c>
      <c r="U5" s="138" t="e">
        <f>'CF Monitor Dashboard'!F46/100*$B$1*1000</f>
        <v>#REF!</v>
      </c>
      <c r="V5" s="138" t="e">
        <f>'CF Monitor Dashboard'!G46/100*$B$1*1000</f>
        <v>#REF!</v>
      </c>
      <c r="W5" s="138" t="e">
        <f>'CF Monitor Dashboard'!H46/100*$B$1*1000</f>
        <v>#REF!</v>
      </c>
      <c r="X5" s="138" t="e">
        <f>'CF Monitor Dashboard'!I46/100*$B$1*1000</f>
        <v>#REF!</v>
      </c>
      <c r="Y5" s="138" t="e">
        <f>'CF Monitor Dashboard'!J46/100*$B$1*1000</f>
        <v>#REF!</v>
      </c>
      <c r="Z5" s="138" t="e">
        <f>'CF Monitor Dashboard'!K46/100*$B$1*1000</f>
        <v>#REF!</v>
      </c>
      <c r="AA5" s="138" t="e">
        <f>'CF Monitor Dashboard'!L46/100*$B$1*1000</f>
        <v>#REF!</v>
      </c>
      <c r="AB5" s="138" t="e">
        <f>'CF Monitor Dashboard'!M46/100*$B$1*1000</f>
        <v>#REF!</v>
      </c>
      <c r="AC5" s="138"/>
    </row>
    <row r="6" spans="1:29" ht="15.75" customHeight="1" x14ac:dyDescent="0.25">
      <c r="A6" s="182" t="s">
        <v>148</v>
      </c>
      <c r="B6" s="138" t="e">
        <f>'CF Monitor Dashboard'!B16/100*$B$1*1000</f>
        <v>#REF!</v>
      </c>
      <c r="C6" s="138" t="e">
        <f>'CF Monitor Dashboard'!C16/100*$B$1*1000</f>
        <v>#REF!</v>
      </c>
      <c r="D6" s="138" t="e">
        <f>'CF Monitor Dashboard'!D16/100*$B$1*1000</f>
        <v>#REF!</v>
      </c>
      <c r="E6" s="138" t="e">
        <f>'CF Monitor Dashboard'!E16/100*$B$1*1000</f>
        <v>#REF!</v>
      </c>
      <c r="F6" s="138" t="e">
        <f>'CF Monitor Dashboard'!F16/100*$B$1*1000</f>
        <v>#REF!</v>
      </c>
      <c r="G6" s="138" t="e">
        <f>'CF Monitor Dashboard'!G16/100*$B$1*1000</f>
        <v>#REF!</v>
      </c>
      <c r="H6" s="138" t="e">
        <f>'CF Monitor Dashboard'!H16/100*$B$1*1000</f>
        <v>#REF!</v>
      </c>
      <c r="I6" s="138" t="e">
        <f>'CF Monitor Dashboard'!I16/100*$B$1*1000</f>
        <v>#REF!</v>
      </c>
      <c r="J6" s="138" t="e">
        <f>'CF Monitor Dashboard'!J16/100*$B$1*1000</f>
        <v>#REF!</v>
      </c>
      <c r="K6" s="138" t="e">
        <f>'CF Monitor Dashboard'!K16/100*$B$1*1000</f>
        <v>#REF!</v>
      </c>
      <c r="L6" s="138" t="e">
        <f>'CF Monitor Dashboard'!L16/100*$B$1*1000</f>
        <v>#REF!</v>
      </c>
      <c r="M6" s="138" t="e">
        <f>'CF Monitor Dashboard'!M16/100*$B$1*1000</f>
        <v>#REF!</v>
      </c>
      <c r="P6" s="185" t="s">
        <v>148</v>
      </c>
      <c r="Q6" s="138" t="e">
        <f>'CF Monitor Dashboard'!B47/100*$B$1*1000</f>
        <v>#REF!</v>
      </c>
      <c r="R6" s="138" t="e">
        <f>'CF Monitor Dashboard'!C47/100*$B$1*1000</f>
        <v>#REF!</v>
      </c>
      <c r="S6" s="138" t="e">
        <f>'CF Monitor Dashboard'!D47/100*$B$1*1000</f>
        <v>#REF!</v>
      </c>
      <c r="T6" s="138" t="e">
        <f>'CF Monitor Dashboard'!E47/100*$B$1*1000</f>
        <v>#REF!</v>
      </c>
      <c r="U6" s="138" t="e">
        <f>'CF Monitor Dashboard'!F47/100*$B$1*1000</f>
        <v>#REF!</v>
      </c>
      <c r="V6" s="138" t="e">
        <f>'CF Monitor Dashboard'!G47/100*$B$1*1000</f>
        <v>#REF!</v>
      </c>
      <c r="W6" s="138" t="e">
        <f>'CF Monitor Dashboard'!H47/100*$B$1*1000</f>
        <v>#REF!</v>
      </c>
      <c r="X6" s="138" t="e">
        <f>'CF Monitor Dashboard'!I47/100*$B$1*1000</f>
        <v>#REF!</v>
      </c>
      <c r="Y6" s="138" t="e">
        <f>'CF Monitor Dashboard'!J47/100*$B$1*1000</f>
        <v>#REF!</v>
      </c>
      <c r="Z6" s="138" t="e">
        <f>'CF Monitor Dashboard'!K47/100*$B$1*1000</f>
        <v>#REF!</v>
      </c>
      <c r="AA6" s="138" t="e">
        <f>'CF Monitor Dashboard'!L47/100*$B$1*1000</f>
        <v>#REF!</v>
      </c>
      <c r="AB6" s="138" t="e">
        <f>'CF Monitor Dashboard'!M47/100*$B$1*1000</f>
        <v>#REF!</v>
      </c>
      <c r="AC6" s="138"/>
    </row>
    <row r="7" spans="1:29" ht="15.75" customHeight="1" x14ac:dyDescent="0.25">
      <c r="A7" s="182" t="s">
        <v>149</v>
      </c>
      <c r="B7" s="138" t="e">
        <f>'CF Monitor Dashboard'!B21/100*$B$1*1000</f>
        <v>#REF!</v>
      </c>
      <c r="C7" s="138" t="e">
        <f>'CF Monitor Dashboard'!C21/100*$B$1*1000</f>
        <v>#REF!</v>
      </c>
      <c r="D7" s="138" t="e">
        <f>'CF Monitor Dashboard'!D21/100*$B$1*1000</f>
        <v>#REF!</v>
      </c>
      <c r="E7" s="138" t="e">
        <f>'CF Monitor Dashboard'!E21/100*$B$1*1000</f>
        <v>#REF!</v>
      </c>
      <c r="F7" s="138" t="e">
        <f>'CF Monitor Dashboard'!F21/100*$B$1*1000</f>
        <v>#REF!</v>
      </c>
      <c r="G7" s="138" t="e">
        <f>'CF Monitor Dashboard'!G21/100*$B$1*1000</f>
        <v>#REF!</v>
      </c>
      <c r="H7" s="138" t="e">
        <f>'CF Monitor Dashboard'!H21/100*$B$1*1000</f>
        <v>#REF!</v>
      </c>
      <c r="I7" s="138" t="e">
        <f>'CF Monitor Dashboard'!I21/100*$B$1*1000</f>
        <v>#REF!</v>
      </c>
      <c r="J7" s="138" t="e">
        <f>'CF Monitor Dashboard'!J21/100*$B$1*1000</f>
        <v>#REF!</v>
      </c>
      <c r="K7" s="138" t="e">
        <f>'CF Monitor Dashboard'!K21/100*$B$1*1000</f>
        <v>#REF!</v>
      </c>
      <c r="L7" s="138" t="e">
        <f>'CF Monitor Dashboard'!L21/100*$B$1*1000</f>
        <v>#REF!</v>
      </c>
      <c r="M7" s="138" t="e">
        <f>'CF Monitor Dashboard'!M21/100*$B$1*1000</f>
        <v>#REF!</v>
      </c>
      <c r="P7" s="185" t="s">
        <v>149</v>
      </c>
      <c r="Q7" s="138" t="e">
        <f>'CF Monitor Dashboard'!B52/100*$B$1*1000</f>
        <v>#REF!</v>
      </c>
      <c r="R7" s="138" t="e">
        <f>'CF Monitor Dashboard'!C52/100*$B$1*1000</f>
        <v>#REF!</v>
      </c>
      <c r="S7" s="138" t="e">
        <f>'CF Monitor Dashboard'!D52/100*$B$1*1000</f>
        <v>#REF!</v>
      </c>
      <c r="T7" s="138" t="e">
        <f>'CF Monitor Dashboard'!E52/100*$B$1*1000</f>
        <v>#REF!</v>
      </c>
      <c r="U7" s="138" t="e">
        <f>'CF Monitor Dashboard'!F52/100*$B$1*1000</f>
        <v>#REF!</v>
      </c>
      <c r="V7" s="138" t="e">
        <f>'CF Monitor Dashboard'!G52/100*$B$1*1000</f>
        <v>#REF!</v>
      </c>
      <c r="W7" s="138" t="e">
        <f>'CF Monitor Dashboard'!H52/100*$B$1*1000</f>
        <v>#REF!</v>
      </c>
      <c r="X7" s="138" t="e">
        <f>'CF Monitor Dashboard'!I52/100*$B$1*1000</f>
        <v>#REF!</v>
      </c>
      <c r="Y7" s="138" t="e">
        <f>'CF Monitor Dashboard'!J52/100*$B$1*1000</f>
        <v>#REF!</v>
      </c>
      <c r="Z7" s="138" t="e">
        <f>'CF Monitor Dashboard'!K52/100*$B$1*1000</f>
        <v>#REF!</v>
      </c>
      <c r="AA7" s="138" t="e">
        <f>'CF Monitor Dashboard'!L52/100*$B$1*1000</f>
        <v>#REF!</v>
      </c>
      <c r="AB7" s="138" t="e">
        <f>'CF Monitor Dashboard'!M52/100*$B$1*1000</f>
        <v>#REF!</v>
      </c>
      <c r="AC7" s="138"/>
    </row>
    <row r="8" spans="1:29" ht="15.75" customHeight="1" x14ac:dyDescent="0.25">
      <c r="A8" s="182" t="s">
        <v>150</v>
      </c>
      <c r="B8" s="138" t="e">
        <f>'CF Monitor Dashboard'!B27/100*$B$1*1000</f>
        <v>#REF!</v>
      </c>
      <c r="C8" s="138" t="e">
        <f>'CF Monitor Dashboard'!C27/100*$B$1*1000</f>
        <v>#REF!</v>
      </c>
      <c r="D8" s="138" t="e">
        <f>'CF Monitor Dashboard'!D27/100*$B$1*1000</f>
        <v>#REF!</v>
      </c>
      <c r="E8" s="138" t="e">
        <f>'CF Monitor Dashboard'!E27/100*$B$1*1000</f>
        <v>#REF!</v>
      </c>
      <c r="F8" s="138" t="e">
        <f>'CF Monitor Dashboard'!F27/100*$B$1*1000</f>
        <v>#REF!</v>
      </c>
      <c r="G8" s="138" t="e">
        <f>'CF Monitor Dashboard'!G27/100*$B$1*1000</f>
        <v>#REF!</v>
      </c>
      <c r="H8" s="138" t="e">
        <f>'CF Monitor Dashboard'!H27/100*$B$1*1000</f>
        <v>#REF!</v>
      </c>
      <c r="I8" s="138" t="e">
        <f>'CF Monitor Dashboard'!I27/100*$B$1*1000</f>
        <v>#REF!</v>
      </c>
      <c r="J8" s="138" t="e">
        <f>'CF Monitor Dashboard'!J27/100*$B$1*1000</f>
        <v>#REF!</v>
      </c>
      <c r="K8" s="138" t="e">
        <f>'CF Monitor Dashboard'!K27/100*$B$1*1000</f>
        <v>#REF!</v>
      </c>
      <c r="L8" s="138" t="e">
        <f>'CF Monitor Dashboard'!L27/100*$B$1*1000</f>
        <v>#REF!</v>
      </c>
      <c r="M8" s="138" t="e">
        <f>'CF Monitor Dashboard'!M27/100*$B$1*1000</f>
        <v>#REF!</v>
      </c>
      <c r="P8" s="185" t="s">
        <v>150</v>
      </c>
      <c r="Q8" s="138" t="e">
        <f>'CF Monitor Dashboard'!B58/100*$B$1*1000</f>
        <v>#REF!</v>
      </c>
      <c r="R8" s="138" t="e">
        <f>'CF Monitor Dashboard'!C58/100*$B$1*1000</f>
        <v>#REF!</v>
      </c>
      <c r="S8" s="138" t="e">
        <f>'CF Monitor Dashboard'!D58/100*$B$1*1000</f>
        <v>#REF!</v>
      </c>
      <c r="T8" s="138" t="e">
        <f>'CF Monitor Dashboard'!E58/100*$B$1*1000</f>
        <v>#REF!</v>
      </c>
      <c r="U8" s="138" t="e">
        <f>'CF Monitor Dashboard'!F58/100*$B$1*1000</f>
        <v>#REF!</v>
      </c>
      <c r="V8" s="138" t="e">
        <f>'CF Monitor Dashboard'!G58/100*$B$1*1000</f>
        <v>#REF!</v>
      </c>
      <c r="W8" s="138" t="e">
        <f>'CF Monitor Dashboard'!H58/100*$B$1*1000</f>
        <v>#REF!</v>
      </c>
      <c r="X8" s="138" t="e">
        <f>'CF Monitor Dashboard'!I58/100*$B$1*1000</f>
        <v>#REF!</v>
      </c>
      <c r="Y8" s="138" t="e">
        <f>'CF Monitor Dashboard'!J58/100*$B$1*1000</f>
        <v>#REF!</v>
      </c>
      <c r="Z8" s="138" t="e">
        <f>'CF Monitor Dashboard'!K58/100*$B$1*1000</f>
        <v>#REF!</v>
      </c>
      <c r="AA8" s="138" t="e">
        <f>'CF Monitor Dashboard'!L58/100*$B$1*1000</f>
        <v>#REF!</v>
      </c>
      <c r="AB8" s="138" t="e">
        <f>'CF Monitor Dashboard'!M58/100*$B$1*1000</f>
        <v>#REF!</v>
      </c>
      <c r="AC8" s="138"/>
    </row>
    <row r="9" spans="1:29" ht="15.75" customHeight="1" x14ac:dyDescent="0.25">
      <c r="A9" s="182" t="s">
        <v>151</v>
      </c>
      <c r="B9" s="138" t="e">
        <f>'CF Monitor Dashboard'!B30/100*$B$1*1000</f>
        <v>#REF!</v>
      </c>
      <c r="C9" s="138" t="e">
        <f>'CF Monitor Dashboard'!C30/100*$B$1*1000</f>
        <v>#REF!</v>
      </c>
      <c r="D9" s="138" t="e">
        <f>'CF Monitor Dashboard'!D30/100*$B$1*1000</f>
        <v>#REF!</v>
      </c>
      <c r="E9" s="138" t="e">
        <f>'CF Monitor Dashboard'!E30/100*$B$1*1000</f>
        <v>#REF!</v>
      </c>
      <c r="F9" s="138" t="e">
        <f>'CF Monitor Dashboard'!F30/100*$B$1*1000</f>
        <v>#REF!</v>
      </c>
      <c r="G9" s="138" t="e">
        <f>'CF Monitor Dashboard'!G30/100*$B$1*1000</f>
        <v>#REF!</v>
      </c>
      <c r="H9" s="138" t="e">
        <f>'CF Monitor Dashboard'!H30/100*$B$1*1000</f>
        <v>#REF!</v>
      </c>
      <c r="I9" s="138" t="e">
        <f>'CF Monitor Dashboard'!I30/100*$B$1*1000</f>
        <v>#REF!</v>
      </c>
      <c r="J9" s="138" t="e">
        <f>'CF Monitor Dashboard'!J30/100*$B$1*1000</f>
        <v>#REF!</v>
      </c>
      <c r="K9" s="138" t="e">
        <f>'CF Monitor Dashboard'!K30/100*$B$1*1000</f>
        <v>#REF!</v>
      </c>
      <c r="L9" s="138" t="e">
        <f>'CF Monitor Dashboard'!L30/100*$B$1*1000</f>
        <v>#REF!</v>
      </c>
      <c r="M9" s="138" t="e">
        <f>'CF Monitor Dashboard'!M30/100*$B$1*1000</f>
        <v>#REF!</v>
      </c>
      <c r="P9" s="185" t="s">
        <v>151</v>
      </c>
      <c r="Q9" s="138" t="e">
        <f>'CF Monitor Dashboard'!B61/100*$B$1*1000</f>
        <v>#REF!</v>
      </c>
      <c r="R9" s="138" t="e">
        <f>'CF Monitor Dashboard'!C61/100*$B$1*1000</f>
        <v>#REF!</v>
      </c>
      <c r="S9" s="138" t="e">
        <f>'CF Monitor Dashboard'!D61/100*$B$1*1000</f>
        <v>#REF!</v>
      </c>
      <c r="T9" s="138" t="e">
        <f>'CF Monitor Dashboard'!E61/100*$B$1*1000</f>
        <v>#REF!</v>
      </c>
      <c r="U9" s="138" t="e">
        <f>'CF Monitor Dashboard'!F61/100*$B$1*1000</f>
        <v>#REF!</v>
      </c>
      <c r="V9" s="138" t="e">
        <f>'CF Monitor Dashboard'!G61/100*$B$1*1000</f>
        <v>#REF!</v>
      </c>
      <c r="W9" s="138" t="e">
        <f>'CF Monitor Dashboard'!H61/100*$B$1*1000</f>
        <v>#REF!</v>
      </c>
      <c r="X9" s="138" t="e">
        <f>'CF Monitor Dashboard'!I61/100*$B$1*1000</f>
        <v>#REF!</v>
      </c>
      <c r="Y9" s="138" t="e">
        <f>'CF Monitor Dashboard'!J61/100*$B$1*1000</f>
        <v>#REF!</v>
      </c>
      <c r="Z9" s="138" t="e">
        <f>'CF Monitor Dashboard'!K61/100*$B$1*1000</f>
        <v>#REF!</v>
      </c>
      <c r="AA9" s="138" t="e">
        <f>'CF Monitor Dashboard'!L61/100*$B$1*1000</f>
        <v>#REF!</v>
      </c>
      <c r="AB9" s="138" t="e">
        <f>'CF Monitor Dashboard'!M61/100*$B$1*1000</f>
        <v>#REF!</v>
      </c>
      <c r="AC9" s="138"/>
    </row>
    <row r="10" spans="1:29" ht="15.75" customHeight="1" x14ac:dyDescent="0.25">
      <c r="A10" s="186"/>
      <c r="P10" s="187"/>
    </row>
    <row r="11" spans="1:29" ht="15.75" customHeight="1" x14ac:dyDescent="0.25">
      <c r="A11" s="171" t="s">
        <v>212</v>
      </c>
      <c r="B11" s="188">
        <v>9.5849344077770807E-2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89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</row>
    <row r="12" spans="1:29" ht="15.75" customHeight="1" x14ac:dyDescent="0.25">
      <c r="A12" s="182" t="s">
        <v>219</v>
      </c>
      <c r="B12" s="117" t="s">
        <v>4</v>
      </c>
      <c r="C12" s="117" t="s">
        <v>5</v>
      </c>
      <c r="D12" s="117" t="s">
        <v>6</v>
      </c>
      <c r="E12" s="117" t="s">
        <v>7</v>
      </c>
      <c r="F12" s="117" t="s">
        <v>8</v>
      </c>
      <c r="G12" s="117" t="s">
        <v>9</v>
      </c>
      <c r="H12" s="117" t="s">
        <v>10</v>
      </c>
      <c r="I12" s="117" t="s">
        <v>11</v>
      </c>
      <c r="J12" s="117" t="s">
        <v>12</v>
      </c>
      <c r="K12" s="117" t="s">
        <v>13</v>
      </c>
      <c r="L12" s="117" t="s">
        <v>14</v>
      </c>
      <c r="M12" s="117" t="s">
        <v>15</v>
      </c>
      <c r="N12" s="120"/>
      <c r="O12" s="120"/>
      <c r="P12" s="182" t="s">
        <v>219</v>
      </c>
      <c r="Q12" s="117" t="s">
        <v>4</v>
      </c>
      <c r="R12" s="117" t="s">
        <v>5</v>
      </c>
      <c r="S12" s="117" t="s">
        <v>6</v>
      </c>
      <c r="T12" s="117" t="s">
        <v>7</v>
      </c>
      <c r="U12" s="117" t="s">
        <v>8</v>
      </c>
      <c r="V12" s="117" t="s">
        <v>9</v>
      </c>
      <c r="W12" s="117" t="s">
        <v>10</v>
      </c>
      <c r="X12" s="117" t="s">
        <v>11</v>
      </c>
      <c r="Y12" s="117" t="s">
        <v>12</v>
      </c>
      <c r="Z12" s="117" t="s">
        <v>13</v>
      </c>
      <c r="AA12" s="117" t="s">
        <v>14</v>
      </c>
      <c r="AB12" s="117" t="s">
        <v>15</v>
      </c>
      <c r="AC12" s="117"/>
    </row>
    <row r="13" spans="1:29" ht="15.75" customHeight="1" x14ac:dyDescent="0.25">
      <c r="A13" s="182" t="s">
        <v>145</v>
      </c>
      <c r="B13" s="138">
        <f>'STEC TSR'!B23</f>
        <v>280.81784593474447</v>
      </c>
      <c r="C13" s="138">
        <f>'STEC TSR'!C23</f>
        <v>241.42858674078775</v>
      </c>
      <c r="D13" s="138">
        <f>'STEC TSR'!D23</f>
        <v>0</v>
      </c>
      <c r="E13" s="138">
        <f>'STEC TSR'!E23</f>
        <v>284.03590139774593</v>
      </c>
      <c r="F13" s="138">
        <f>'STEC TSR'!F23</f>
        <v>265.0638847982371</v>
      </c>
      <c r="G13" s="138">
        <f>'STEC TSR'!G23</f>
        <v>256.65367036654277</v>
      </c>
      <c r="H13" s="138">
        <f>'STEC TSR'!H23</f>
        <v>269.36431897923683</v>
      </c>
      <c r="I13" s="138">
        <f>'STEC TSR'!I23</f>
        <v>260.01064986885058</v>
      </c>
      <c r="J13" s="138">
        <f>'STEC TSR'!J23</f>
        <v>256.65367036654277</v>
      </c>
      <c r="K13" s="138">
        <f>'STEC TSR'!K23</f>
        <v>256.65367036654277</v>
      </c>
      <c r="L13" s="138">
        <f>'STEC TSR'!L23</f>
        <v>269.36431897923683</v>
      </c>
      <c r="M13" s="138">
        <f>'STEC TSR'!M23</f>
        <v>256.65367036654277</v>
      </c>
      <c r="P13" s="185" t="s">
        <v>145</v>
      </c>
      <c r="Q13" s="138">
        <f>'STEC TSR'!O23</f>
        <v>280.81784593474447</v>
      </c>
      <c r="R13" s="138">
        <f>'STEC TSR'!P23</f>
        <v>276.10761746807464</v>
      </c>
      <c r="S13" s="138">
        <f>'STEC TSR'!Q23</f>
        <v>276.10761746807464</v>
      </c>
      <c r="T13" s="138">
        <f>'STEC TSR'!R23</f>
        <v>277.74636328870668</v>
      </c>
      <c r="U13" s="138">
        <f>'STEC TSR'!S23</f>
        <v>272.81579634987094</v>
      </c>
      <c r="V13" s="138">
        <f>'STEC TSR'!T23</f>
        <v>267.80604826789244</v>
      </c>
      <c r="W13" s="138">
        <f>'STEC TSR'!U23</f>
        <v>268.19533079392988</v>
      </c>
      <c r="X13" s="138">
        <f>'STEC TSR'!V23</f>
        <v>266.84874335898132</v>
      </c>
      <c r="Y13" s="138">
        <f>'STEC TSR'!W23</f>
        <v>265.13851309753608</v>
      </c>
      <c r="Z13" s="138">
        <f>'STEC TSR'!X23</f>
        <v>263.92601889495222</v>
      </c>
      <c r="AA13" s="138">
        <f>'STEC TSR'!Y23</f>
        <v>264.61442805398764</v>
      </c>
      <c r="AB13" s="138">
        <f>'STEC TSR'!Z23</f>
        <v>263.70623634898192</v>
      </c>
      <c r="AC13" s="138"/>
    </row>
    <row r="14" spans="1:29" ht="15.75" customHeight="1" x14ac:dyDescent="0.25">
      <c r="A14" s="182" t="s">
        <v>146</v>
      </c>
      <c r="B14" s="138">
        <f>'STEC TSR'!B24</f>
        <v>260.33051829990688</v>
      </c>
      <c r="C14" s="138">
        <f>'STEC TSR'!C24</f>
        <v>262.55767365889795</v>
      </c>
      <c r="D14" s="138">
        <f>'STEC TSR'!D24</f>
        <v>249.92414542844892</v>
      </c>
      <c r="E14" s="138">
        <f>'STEC TSR'!E24</f>
        <v>259.92798939451791</v>
      </c>
      <c r="F14" s="138">
        <f>'STEC TSR'!F24</f>
        <v>259.66817057752633</v>
      </c>
      <c r="G14" s="138">
        <f>'STEC TSR'!G24</f>
        <v>279.87437208618371</v>
      </c>
      <c r="H14" s="138">
        <f>'STEC TSR'!H24</f>
        <v>266.40742422404406</v>
      </c>
      <c r="I14" s="138">
        <f>'STEC TSR'!I24</f>
        <v>266.40742422404406</v>
      </c>
      <c r="J14" s="138">
        <f>'STEC TSR'!J24</f>
        <v>266.40742422404406</v>
      </c>
      <c r="K14" s="138">
        <f>'STEC TSR'!K24</f>
        <v>266.40742422404406</v>
      </c>
      <c r="L14" s="138">
        <f>'STEC TSR'!L24</f>
        <v>266.40742422404406</v>
      </c>
      <c r="M14" s="138">
        <f>'STEC TSR'!M24</f>
        <v>267.77718803039062</v>
      </c>
      <c r="P14" s="185" t="s">
        <v>146</v>
      </c>
      <c r="Q14" s="138">
        <f>'STEC TSR'!O24</f>
        <v>260.33051829990688</v>
      </c>
      <c r="R14" s="138">
        <f>'STEC TSR'!P24</f>
        <v>261.31632880374679</v>
      </c>
      <c r="S14" s="138">
        <f>'STEC TSR'!Q24</f>
        <v>257.3850104467906</v>
      </c>
      <c r="T14" s="138">
        <f>'STEC TSR'!R24</f>
        <v>257.9987721366582</v>
      </c>
      <c r="U14" s="138">
        <f>'STEC TSR'!S24</f>
        <v>258.27176065352603</v>
      </c>
      <c r="V14" s="138">
        <f>'STEC TSR'!T24</f>
        <v>259.92259307644633</v>
      </c>
      <c r="W14" s="138">
        <f>'STEC TSR'!U24</f>
        <v>261.02004889626801</v>
      </c>
      <c r="X14" s="138">
        <f>'STEC TSR'!V24</f>
        <v>261.81343225693729</v>
      </c>
      <c r="Y14" s="138">
        <f>'STEC TSR'!W24</f>
        <v>262.3905699124328</v>
      </c>
      <c r="Z14" s="138">
        <f>'STEC TSR'!X24</f>
        <v>262.80452405963587</v>
      </c>
      <c r="AA14" s="138">
        <f>'STEC TSR'!Y24</f>
        <v>263.13373780173981</v>
      </c>
      <c r="AB14" s="138">
        <f>'STEC TSR'!Z24</f>
        <v>263.52169760682898</v>
      </c>
      <c r="AC14" s="138"/>
    </row>
    <row r="15" spans="1:29" ht="15.75" customHeight="1" x14ac:dyDescent="0.25">
      <c r="A15" s="182" t="s">
        <v>147</v>
      </c>
      <c r="B15" s="138">
        <f>'STEC TSR'!B25</f>
        <v>283.37417669610181</v>
      </c>
      <c r="C15" s="138">
        <f>'STEC TSR'!C25</f>
        <v>276.24900483552375</v>
      </c>
      <c r="D15" s="138">
        <f>'STEC TSR'!D25</f>
        <v>268.42896357011949</v>
      </c>
      <c r="E15" s="138">
        <f>'STEC TSR'!E25</f>
        <v>287.19473155104174</v>
      </c>
      <c r="F15" s="138">
        <f>'STEC TSR'!F25</f>
        <v>279.76106857654941</v>
      </c>
      <c r="G15" s="138">
        <f>'STEC TSR'!G25</f>
        <v>270.76174490628426</v>
      </c>
      <c r="H15" s="138">
        <f>'STEC TSR'!H25</f>
        <v>270.76174490628426</v>
      </c>
      <c r="I15" s="138">
        <f>'STEC TSR'!I25</f>
        <v>270.76174490628426</v>
      </c>
      <c r="J15" s="138">
        <f>'STEC TSR'!J25</f>
        <v>270.76174490628426</v>
      </c>
      <c r="K15" s="138">
        <f>'STEC TSR'!K25</f>
        <v>270.76174490628426</v>
      </c>
      <c r="L15" s="138">
        <f>'STEC TSR'!L25</f>
        <v>270.76174490628426</v>
      </c>
      <c r="M15" s="138">
        <f>'STEC TSR'!M25</f>
        <v>272.36089536287778</v>
      </c>
      <c r="P15" s="185" t="s">
        <v>147</v>
      </c>
      <c r="Q15" s="138">
        <f>'STEC TSR'!O25</f>
        <v>283.37417669610181</v>
      </c>
      <c r="R15" s="138">
        <f>'STEC TSR'!P25</f>
        <v>279.43597635624081</v>
      </c>
      <c r="S15" s="138">
        <f>'STEC TSR'!Q25</f>
        <v>274.88901766227309</v>
      </c>
      <c r="T15" s="138">
        <f>'STEC TSR'!R25</f>
        <v>277.66908954751119</v>
      </c>
      <c r="U15" s="138">
        <f>'STEC TSR'!S25</f>
        <v>278.03017319652099</v>
      </c>
      <c r="V15" s="138">
        <f>'STEC TSR'!T25</f>
        <v>276.459125767611</v>
      </c>
      <c r="W15" s="138">
        <f>'STEC TSR'!U25</f>
        <v>275.45505596372436</v>
      </c>
      <c r="X15" s="138">
        <f>'STEC TSR'!V25</f>
        <v>274.69402175668125</v>
      </c>
      <c r="Y15" s="138">
        <f>'STEC TSR'!W25</f>
        <v>274.17593688207211</v>
      </c>
      <c r="Z15" s="138">
        <f>'STEC TSR'!X25</f>
        <v>273.77130887604778</v>
      </c>
      <c r="AA15" s="138">
        <f>'STEC TSR'!Y25</f>
        <v>273.52853207243322</v>
      </c>
      <c r="AB15" s="138">
        <f>'STEC TSR'!Z25</f>
        <v>273.39905877845297</v>
      </c>
      <c r="AC15" s="138"/>
    </row>
    <row r="16" spans="1:29" ht="15.75" customHeight="1" x14ac:dyDescent="0.25">
      <c r="A16" s="182" t="s">
        <v>148</v>
      </c>
      <c r="B16" s="138">
        <f>'STEC TSR'!B26</f>
        <v>286.03423561762014</v>
      </c>
      <c r="C16" s="138">
        <f>'STEC TSR'!C26</f>
        <v>285.84042824389491</v>
      </c>
      <c r="D16" s="138">
        <f>'STEC TSR'!D26</f>
        <v>288.44261333145909</v>
      </c>
      <c r="E16" s="138">
        <f>'STEC TSR'!E26</f>
        <v>285.82130629975137</v>
      </c>
      <c r="F16" s="138">
        <f>'STEC TSR'!F26</f>
        <v>289.61231080191214</v>
      </c>
      <c r="G16" s="138">
        <f>'STEC TSR'!G26</f>
        <v>294.53314903232399</v>
      </c>
      <c r="H16" s="138">
        <f>'STEC TSR'!H26</f>
        <v>295.46742134385329</v>
      </c>
      <c r="I16" s="138">
        <f>'STEC TSR'!I26</f>
        <v>302.11283848251895</v>
      </c>
      <c r="J16" s="138">
        <f>'STEC TSR'!J26</f>
        <v>296.16762955714461</v>
      </c>
      <c r="K16" s="138">
        <f>'STEC TSR'!K26</f>
        <v>296.04567085174011</v>
      </c>
      <c r="L16" s="138">
        <f>'STEC TSR'!L26</f>
        <v>297.89006144009102</v>
      </c>
      <c r="M16" s="138">
        <f>'STEC TSR'!M26</f>
        <v>298.84866990008157</v>
      </c>
      <c r="P16" s="185" t="s">
        <v>148</v>
      </c>
      <c r="Q16" s="138">
        <f>'STEC TSR'!O26</f>
        <v>286.03423561762014</v>
      </c>
      <c r="R16" s="138">
        <f>'STEC TSR'!P26</f>
        <v>285.96968108438381</v>
      </c>
      <c r="S16" s="138">
        <f>'STEC TSR'!Q26</f>
        <v>286.6472017579319</v>
      </c>
      <c r="T16" s="138">
        <f>'STEC TSR'!R26</f>
        <v>286.4030447237626</v>
      </c>
      <c r="U16" s="138">
        <f>'STEC TSR'!S26</f>
        <v>287.11038412825337</v>
      </c>
      <c r="V16" s="138">
        <f>'STEC TSR'!T26</f>
        <v>288.24177061587847</v>
      </c>
      <c r="W16" s="138">
        <f>'STEC TSR'!U26</f>
        <v>289.24228440909991</v>
      </c>
      <c r="X16" s="138">
        <f>'STEC TSR'!V26</f>
        <v>289.7534873008043</v>
      </c>
      <c r="Y16" s="138">
        <f>'STEC TSR'!W26</f>
        <v>290.53609719519932</v>
      </c>
      <c r="Z16" s="138">
        <f>'STEC TSR'!X26</f>
        <v>291.16218511071531</v>
      </c>
      <c r="AA16" s="138">
        <f>'STEC TSR'!Y26</f>
        <v>291.50184643132371</v>
      </c>
      <c r="AB16" s="138">
        <f>'STEC TSR'!Z26</f>
        <v>291.87298467652721</v>
      </c>
      <c r="AC16" s="138"/>
    </row>
    <row r="17" spans="1:29" ht="15.75" customHeight="1" x14ac:dyDescent="0.25">
      <c r="A17" s="182" t="s">
        <v>149</v>
      </c>
      <c r="B17" s="138">
        <f>'STEC TSR'!B27</f>
        <v>286.61005055216731</v>
      </c>
      <c r="C17" s="138">
        <f>'STEC TSR'!C27</f>
        <v>286.96131922834354</v>
      </c>
      <c r="D17" s="138">
        <f>'STEC TSR'!D27</f>
        <v>287.79279311834938</v>
      </c>
      <c r="E17" s="138">
        <f>'STEC TSR'!E27</f>
        <v>289.58097765133311</v>
      </c>
      <c r="F17" s="138">
        <f>'STEC TSR'!F27</f>
        <v>290.25713726419536</v>
      </c>
      <c r="G17" s="138">
        <f>'STEC TSR'!G27</f>
        <v>292.939557837687</v>
      </c>
      <c r="H17" s="138">
        <f>'STEC TSR'!H27</f>
        <v>292.939557837687</v>
      </c>
      <c r="I17" s="138">
        <f>'STEC TSR'!I27</f>
        <v>292.939557837687</v>
      </c>
      <c r="J17" s="138">
        <f>'STEC TSR'!J27</f>
        <v>292.939557837687</v>
      </c>
      <c r="K17" s="138">
        <f>'STEC TSR'!K27</f>
        <v>292.939557837687</v>
      </c>
      <c r="L17" s="138">
        <f>'STEC TSR'!L27</f>
        <v>293.86948817392954</v>
      </c>
      <c r="M17" s="138">
        <f>'STEC TSR'!M27</f>
        <v>293.86948817392954</v>
      </c>
      <c r="P17" s="185" t="s">
        <v>149</v>
      </c>
      <c r="Q17" s="138">
        <f>'STEC TSR'!O27</f>
        <v>286.61005055216731</v>
      </c>
      <c r="R17" s="138">
        <f>'STEC TSR'!P27</f>
        <v>286.78966263803471</v>
      </c>
      <c r="S17" s="138">
        <f>'STEC TSR'!Q27</f>
        <v>287.15320003025283</v>
      </c>
      <c r="T17" s="138">
        <f>'STEC TSR'!R27</f>
        <v>287.76717258867745</v>
      </c>
      <c r="U17" s="138">
        <f>'STEC TSR'!S27</f>
        <v>287.99468059178042</v>
      </c>
      <c r="V17" s="138">
        <f>'STEC TSR'!T27</f>
        <v>288.84565982330611</v>
      </c>
      <c r="W17" s="138">
        <f>'STEC TSR'!U27</f>
        <v>289.1327573636222</v>
      </c>
      <c r="X17" s="138">
        <f>'STEC TSR'!V27</f>
        <v>289.72735876960866</v>
      </c>
      <c r="Y17" s="138">
        <f>'STEC TSR'!W27</f>
        <v>289.95147370593133</v>
      </c>
      <c r="Z17" s="138">
        <f>'STEC TSR'!X27</f>
        <v>290.32689641681515</v>
      </c>
      <c r="AA17" s="138">
        <f>'STEC TSR'!Y27</f>
        <v>290.60846344997805</v>
      </c>
      <c r="AB17" s="138">
        <f>'STEC TSR'!Z27</f>
        <v>290.94785639242298</v>
      </c>
      <c r="AC17" s="138"/>
    </row>
    <row r="18" spans="1:29" ht="15.75" customHeight="1" x14ac:dyDescent="0.25">
      <c r="A18" s="182" t="s">
        <v>150</v>
      </c>
      <c r="B18" s="138">
        <f>'STEC TSR'!B28</f>
        <v>329.43342880054564</v>
      </c>
      <c r="C18" s="138">
        <f>'STEC TSR'!C28</f>
        <v>336.52394153830517</v>
      </c>
      <c r="D18" s="138">
        <f>'STEC TSR'!D28</f>
        <v>319.25842666075698</v>
      </c>
      <c r="E18" s="138">
        <f>'STEC TSR'!E28</f>
        <v>342.63437556300067</v>
      </c>
      <c r="F18" s="138">
        <f>'STEC TSR'!F28</f>
        <v>333.58287150981965</v>
      </c>
      <c r="G18" s="138">
        <f>'STEC TSR'!G28</f>
        <v>326.08809499354328</v>
      </c>
      <c r="H18" s="138">
        <f>'STEC TSR'!H28</f>
        <v>310.23361664990159</v>
      </c>
      <c r="I18" s="138">
        <f>'STEC TSR'!I28</f>
        <v>310.23361664990159</v>
      </c>
      <c r="J18" s="138">
        <f>'STEC TSR'!J28</f>
        <v>310.23361664990159</v>
      </c>
      <c r="K18" s="138">
        <f>'STEC TSR'!K28</f>
        <v>310.23361664990159</v>
      </c>
      <c r="L18" s="138">
        <f>'STEC TSR'!L28</f>
        <v>310.23361664990159</v>
      </c>
      <c r="M18" s="138">
        <f>'STEC TSR'!M28</f>
        <v>310.23361664990159</v>
      </c>
      <c r="P18" s="185" t="s">
        <v>150</v>
      </c>
      <c r="Q18" s="138">
        <f>'STEC TSR'!O28</f>
        <v>329.43342880054564</v>
      </c>
      <c r="R18" s="138">
        <f>'STEC TSR'!P28</f>
        <v>333.41562398933837</v>
      </c>
      <c r="S18" s="138">
        <f>'STEC TSR'!Q28</f>
        <v>327.40456656458269</v>
      </c>
      <c r="T18" s="138">
        <f>'STEC TSR'!R28</f>
        <v>332.44330907314458</v>
      </c>
      <c r="U18" s="138">
        <f>'STEC TSR'!S28</f>
        <v>332.6286625347222</v>
      </c>
      <c r="V18" s="138">
        <f>'STEC TSR'!T28</f>
        <v>330.67786958951058</v>
      </c>
      <c r="W18" s="138">
        <f>'STEC TSR'!U28</f>
        <v>326.62580981381961</v>
      </c>
      <c r="X18" s="138">
        <f>'STEC TSR'!V28</f>
        <v>324.03140769299449</v>
      </c>
      <c r="Y18" s="138">
        <f>'STEC TSR'!W28</f>
        <v>322.07580311071018</v>
      </c>
      <c r="Z18" s="138">
        <f>'STEC TSR'!X28</f>
        <v>320.51008490533098</v>
      </c>
      <c r="AA18" s="138">
        <f>'STEC TSR'!Y28</f>
        <v>319.36780993221851</v>
      </c>
      <c r="AB18" s="138">
        <f>'STEC TSR'!Z28</f>
        <v>318.52510249908681</v>
      </c>
      <c r="AC18" s="138"/>
    </row>
    <row r="19" spans="1:29" ht="15.75" customHeight="1" x14ac:dyDescent="0.25">
      <c r="A19" s="182" t="s">
        <v>151</v>
      </c>
      <c r="B19" s="138">
        <f>'STEC TSR'!B29</f>
        <v>278.92611535535355</v>
      </c>
      <c r="C19" s="138">
        <f>'STEC TSR'!C29</f>
        <v>278.95348034308773</v>
      </c>
      <c r="D19" s="138">
        <f>'STEC TSR'!D29</f>
        <v>272.75953278489726</v>
      </c>
      <c r="E19" s="138">
        <f>'STEC TSR'!E29</f>
        <v>284.5046813697615</v>
      </c>
      <c r="F19" s="138">
        <f>'STEC TSR'!F29</f>
        <v>276.57841986125027</v>
      </c>
      <c r="G19" s="138">
        <f>'STEC TSR'!G29</f>
        <v>283.14599774759029</v>
      </c>
      <c r="H19" s="138">
        <f>'STEC TSR'!H29</f>
        <v>277.76858116666392</v>
      </c>
      <c r="I19" s="138">
        <f>'STEC TSR'!I29</f>
        <v>276.39720709133678</v>
      </c>
      <c r="J19" s="138">
        <f>'STEC TSR'!J29</f>
        <v>276.57688627174497</v>
      </c>
      <c r="K19" s="138">
        <f>'STEC TSR'!K29</f>
        <v>277.32148231627872</v>
      </c>
      <c r="L19" s="138">
        <f>'STEC TSR'!L29</f>
        <v>278.1592439232561</v>
      </c>
      <c r="M19" s="138">
        <f>'STEC TSR'!M29</f>
        <v>277.44981500306443</v>
      </c>
      <c r="P19" s="185" t="s">
        <v>151</v>
      </c>
      <c r="Q19" s="138">
        <f>'STEC TSR'!O29</f>
        <v>278.92611535535355</v>
      </c>
      <c r="R19" s="138">
        <f>'STEC TSR'!P29</f>
        <v>278.98427673733994</v>
      </c>
      <c r="S19" s="138">
        <f>'STEC TSR'!Q29</f>
        <v>276.8634949804063</v>
      </c>
      <c r="T19" s="138">
        <f>'STEC TSR'!R29</f>
        <v>278.7737915777451</v>
      </c>
      <c r="U19" s="138">
        <f>'STEC TSR'!S29</f>
        <v>278.39319300228112</v>
      </c>
      <c r="V19" s="138">
        <f>'STEC TSR'!T29</f>
        <v>279.23356171141739</v>
      </c>
      <c r="W19" s="138">
        <f>'STEC TSR'!U29</f>
        <v>278.96468513141036</v>
      </c>
      <c r="X19" s="138">
        <f>'STEC TSR'!V29</f>
        <v>278.58747003779234</v>
      </c>
      <c r="Y19" s="138">
        <f>'STEC TSR'!W29</f>
        <v>278.4042923563253</v>
      </c>
      <c r="Z19" s="138">
        <f>'STEC TSR'!X29</f>
        <v>278.23515660376574</v>
      </c>
      <c r="AA19" s="138">
        <f>'STEC TSR'!Y29</f>
        <v>278.19881053249139</v>
      </c>
      <c r="AB19" s="138">
        <f>'STEC TSR'!Z29</f>
        <v>278.11611171842105</v>
      </c>
      <c r="AC19" s="138"/>
    </row>
    <row r="20" spans="1:29" ht="15.75" customHeight="1" x14ac:dyDescent="0.25">
      <c r="A20" s="186"/>
      <c r="P20" s="187"/>
    </row>
    <row r="21" spans="1:29" ht="15.75" customHeight="1" x14ac:dyDescent="0.25">
      <c r="A21" s="186"/>
      <c r="P21" s="187"/>
    </row>
    <row r="22" spans="1:29" ht="13" x14ac:dyDescent="0.3">
      <c r="A22" s="184" t="s">
        <v>220</v>
      </c>
      <c r="B22" s="117" t="s">
        <v>4</v>
      </c>
      <c r="C22" s="117" t="s">
        <v>5</v>
      </c>
      <c r="D22" s="117" t="s">
        <v>6</v>
      </c>
      <c r="E22" s="117" t="s">
        <v>7</v>
      </c>
      <c r="F22" s="117" t="s">
        <v>8</v>
      </c>
      <c r="G22" s="117" t="s">
        <v>9</v>
      </c>
      <c r="H22" s="117" t="s">
        <v>10</v>
      </c>
      <c r="I22" s="117" t="s">
        <v>11</v>
      </c>
      <c r="J22" s="117" t="s">
        <v>12</v>
      </c>
      <c r="K22" s="117" t="s">
        <v>13</v>
      </c>
      <c r="L22" s="117" t="s">
        <v>14</v>
      </c>
      <c r="M22" s="117" t="s">
        <v>15</v>
      </c>
      <c r="N22" s="120"/>
      <c r="O22" s="120"/>
      <c r="P22" s="182" t="s">
        <v>220</v>
      </c>
      <c r="Q22" s="117" t="s">
        <v>4</v>
      </c>
      <c r="R22" s="117" t="s">
        <v>5</v>
      </c>
      <c r="S22" s="117" t="s">
        <v>6</v>
      </c>
      <c r="T22" s="117" t="s">
        <v>7</v>
      </c>
      <c r="U22" s="117" t="s">
        <v>8</v>
      </c>
      <c r="V22" s="117" t="s">
        <v>9</v>
      </c>
      <c r="W22" s="117" t="s">
        <v>10</v>
      </c>
      <c r="X22" s="117" t="s">
        <v>11</v>
      </c>
      <c r="Y22" s="117" t="s">
        <v>12</v>
      </c>
      <c r="Z22" s="117" t="s">
        <v>13</v>
      </c>
      <c r="AA22" s="117" t="s">
        <v>14</v>
      </c>
      <c r="AB22" s="117" t="s">
        <v>15</v>
      </c>
      <c r="AC22" s="117"/>
    </row>
    <row r="23" spans="1:29" ht="12.5" x14ac:dyDescent="0.25">
      <c r="A23" s="182" t="s">
        <v>145</v>
      </c>
      <c r="B23" s="138" t="e">
        <f>B13*'CF Monitor Dashboard'!B3/100</f>
        <v>#REF!</v>
      </c>
      <c r="C23" s="138" t="e">
        <f>C13*'CF Monitor Dashboard'!C3/100</f>
        <v>#REF!</v>
      </c>
      <c r="D23" s="138" t="e">
        <f>D13*'CF Monitor Dashboard'!D3/100</f>
        <v>#REF!</v>
      </c>
      <c r="E23" s="138" t="e">
        <f>E13*'CF Monitor Dashboard'!E3/100</f>
        <v>#REF!</v>
      </c>
      <c r="F23" s="138" t="e">
        <f>F13*'CF Monitor Dashboard'!F3/100</f>
        <v>#REF!</v>
      </c>
      <c r="G23" s="138" t="e">
        <f>G13*'CF Monitor Dashboard'!G3/100</f>
        <v>#REF!</v>
      </c>
      <c r="H23" s="138" t="e">
        <f>H13*'CF Monitor Dashboard'!H3/100</f>
        <v>#REF!</v>
      </c>
      <c r="I23" s="138" t="e">
        <f>I13*'CF Monitor Dashboard'!I3/100</f>
        <v>#REF!</v>
      </c>
      <c r="J23" s="138" t="e">
        <f>J13*'CF Monitor Dashboard'!J3/100</f>
        <v>#REF!</v>
      </c>
      <c r="K23" s="138" t="e">
        <f>K13*'CF Monitor Dashboard'!K3/100</f>
        <v>#REF!</v>
      </c>
      <c r="L23" s="138" t="e">
        <f>L13*'CF Monitor Dashboard'!L3/100</f>
        <v>#REF!</v>
      </c>
      <c r="M23" s="138" t="e">
        <f>M13*'CF Monitor Dashboard'!M3/100</f>
        <v>#REF!</v>
      </c>
      <c r="P23" s="185" t="s">
        <v>145</v>
      </c>
      <c r="Q23" s="138" t="e">
        <f>Q13*'CF Monitor Dashboard'!B34/100</f>
        <v>#REF!</v>
      </c>
      <c r="R23" s="138" t="e">
        <f>R13*'CF Monitor Dashboard'!C34/100</f>
        <v>#REF!</v>
      </c>
      <c r="S23" s="138" t="e">
        <f>S13*'CF Monitor Dashboard'!D34/100</f>
        <v>#REF!</v>
      </c>
      <c r="T23" s="138" t="e">
        <f>T13*'CF Monitor Dashboard'!E34/100</f>
        <v>#REF!</v>
      </c>
      <c r="U23" s="138" t="e">
        <f>U13*'CF Monitor Dashboard'!F34/100</f>
        <v>#REF!</v>
      </c>
      <c r="V23" s="138" t="e">
        <f>V13*'CF Monitor Dashboard'!G34/100</f>
        <v>#REF!</v>
      </c>
      <c r="W23" s="138" t="e">
        <f>W13*'CF Monitor Dashboard'!H34/100</f>
        <v>#REF!</v>
      </c>
      <c r="X23" s="138" t="e">
        <f>X13*'CF Monitor Dashboard'!I34/100</f>
        <v>#REF!</v>
      </c>
      <c r="Y23" s="138" t="e">
        <f>Y13*'CF Monitor Dashboard'!J34/100</f>
        <v>#REF!</v>
      </c>
      <c r="Z23" s="138" t="e">
        <f>Z13*'CF Monitor Dashboard'!K34/100</f>
        <v>#REF!</v>
      </c>
      <c r="AA23" s="138" t="e">
        <f>AA13*'CF Monitor Dashboard'!L34/100</f>
        <v>#REF!</v>
      </c>
      <c r="AB23" s="138" t="e">
        <f>AB13*'CF Monitor Dashboard'!M34/100</f>
        <v>#REF!</v>
      </c>
      <c r="AC23" s="138"/>
    </row>
    <row r="24" spans="1:29" ht="12.5" x14ac:dyDescent="0.25">
      <c r="A24" s="182" t="s">
        <v>146</v>
      </c>
      <c r="B24" s="138" t="e">
        <f>B14*'CF Monitor Dashboard'!B11/100</f>
        <v>#REF!</v>
      </c>
      <c r="C24" s="138" t="e">
        <f>C14*'CF Monitor Dashboard'!C11/100</f>
        <v>#REF!</v>
      </c>
      <c r="D24" s="138" t="e">
        <f>D14*'CF Monitor Dashboard'!D11/100</f>
        <v>#REF!</v>
      </c>
      <c r="E24" s="138" t="e">
        <f>E14*'CF Monitor Dashboard'!E11/100</f>
        <v>#REF!</v>
      </c>
      <c r="F24" s="138" t="e">
        <f>F14*'CF Monitor Dashboard'!F11/100</f>
        <v>#REF!</v>
      </c>
      <c r="G24" s="138" t="e">
        <f>G14*'CF Monitor Dashboard'!G11/100</f>
        <v>#REF!</v>
      </c>
      <c r="H24" s="138" t="e">
        <f>H14*'CF Monitor Dashboard'!H11/100</f>
        <v>#REF!</v>
      </c>
      <c r="I24" s="138" t="e">
        <f>I14*'CF Monitor Dashboard'!I11/100</f>
        <v>#REF!</v>
      </c>
      <c r="J24" s="138" t="e">
        <f>J14*'CF Monitor Dashboard'!J11/100</f>
        <v>#REF!</v>
      </c>
      <c r="K24" s="138" t="e">
        <f>K14*'CF Monitor Dashboard'!K11/100</f>
        <v>#REF!</v>
      </c>
      <c r="L24" s="138" t="e">
        <f>L14*'CF Monitor Dashboard'!L11/100</f>
        <v>#REF!</v>
      </c>
      <c r="M24" s="138" t="e">
        <f>M14*'CF Monitor Dashboard'!M11/100</f>
        <v>#REF!</v>
      </c>
      <c r="P24" s="185" t="s">
        <v>146</v>
      </c>
      <c r="Q24" s="138" t="e">
        <f>Q14*'CF Monitor Dashboard'!B42/100</f>
        <v>#REF!</v>
      </c>
      <c r="R24" s="138" t="e">
        <f>R14*'CF Monitor Dashboard'!C42/100</f>
        <v>#REF!</v>
      </c>
      <c r="S24" s="138" t="e">
        <f>S14*'CF Monitor Dashboard'!D42/100</f>
        <v>#REF!</v>
      </c>
      <c r="T24" s="138" t="e">
        <f>T14*'CF Monitor Dashboard'!E42/100</f>
        <v>#REF!</v>
      </c>
      <c r="U24" s="138" t="e">
        <f>U14*'CF Monitor Dashboard'!F42/100</f>
        <v>#REF!</v>
      </c>
      <c r="V24" s="138" t="e">
        <f>V14*'CF Monitor Dashboard'!G42/100</f>
        <v>#REF!</v>
      </c>
      <c r="W24" s="138" t="e">
        <f>W14*'CF Monitor Dashboard'!H42/100</f>
        <v>#REF!</v>
      </c>
      <c r="X24" s="138" t="e">
        <f>X14*'CF Monitor Dashboard'!I42/100</f>
        <v>#REF!</v>
      </c>
      <c r="Y24" s="138" t="e">
        <f>Y14*'CF Monitor Dashboard'!J42/100</f>
        <v>#REF!</v>
      </c>
      <c r="Z24" s="138" t="e">
        <f>Z14*'CF Monitor Dashboard'!K42/100</f>
        <v>#REF!</v>
      </c>
      <c r="AA24" s="138" t="e">
        <f>AA14*'CF Monitor Dashboard'!L42/100</f>
        <v>#REF!</v>
      </c>
      <c r="AB24" s="138" t="e">
        <f>AB14*'CF Monitor Dashboard'!M42/100</f>
        <v>#REF!</v>
      </c>
      <c r="AC24" s="138"/>
    </row>
    <row r="25" spans="1:29" ht="12.5" x14ac:dyDescent="0.25">
      <c r="A25" s="182" t="s">
        <v>147</v>
      </c>
      <c r="B25" s="138" t="e">
        <f>B15*'CF Monitor Dashboard'!B15/100</f>
        <v>#REF!</v>
      </c>
      <c r="C25" s="138" t="e">
        <f>C15*'CF Monitor Dashboard'!C15/100</f>
        <v>#REF!</v>
      </c>
      <c r="D25" s="138" t="e">
        <f>D15*'CF Monitor Dashboard'!D15/100</f>
        <v>#REF!</v>
      </c>
      <c r="E25" s="138" t="e">
        <f>E15*'CF Monitor Dashboard'!E15/100</f>
        <v>#REF!</v>
      </c>
      <c r="F25" s="138" t="e">
        <f>F15*'CF Monitor Dashboard'!F15/100</f>
        <v>#REF!</v>
      </c>
      <c r="G25" s="138" t="e">
        <f>G15*'CF Monitor Dashboard'!G15/100</f>
        <v>#REF!</v>
      </c>
      <c r="H25" s="138" t="e">
        <f>H15*'CF Monitor Dashboard'!H15/100</f>
        <v>#REF!</v>
      </c>
      <c r="I25" s="138" t="e">
        <f>I15*'CF Monitor Dashboard'!I15/100</f>
        <v>#REF!</v>
      </c>
      <c r="J25" s="138" t="e">
        <f>J15*'CF Monitor Dashboard'!J15/100</f>
        <v>#REF!</v>
      </c>
      <c r="K25" s="138" t="e">
        <f>K15*'CF Monitor Dashboard'!K15/100</f>
        <v>#REF!</v>
      </c>
      <c r="L25" s="138" t="e">
        <f>L15*'CF Monitor Dashboard'!L15/100</f>
        <v>#REF!</v>
      </c>
      <c r="M25" s="138" t="e">
        <f>M15*'CF Monitor Dashboard'!M15/100</f>
        <v>#REF!</v>
      </c>
      <c r="P25" s="185" t="s">
        <v>147</v>
      </c>
      <c r="Q25" s="138" t="e">
        <f>Q15*'CF Monitor Dashboard'!B46/100</f>
        <v>#REF!</v>
      </c>
      <c r="R25" s="138" t="e">
        <f>R15*'CF Monitor Dashboard'!C46/100</f>
        <v>#REF!</v>
      </c>
      <c r="S25" s="138" t="e">
        <f>S15*'CF Monitor Dashboard'!D46/100</f>
        <v>#REF!</v>
      </c>
      <c r="T25" s="138" t="e">
        <f>T15*'CF Monitor Dashboard'!E46/100</f>
        <v>#REF!</v>
      </c>
      <c r="U25" s="138" t="e">
        <f>U15*'CF Monitor Dashboard'!F46/100</f>
        <v>#REF!</v>
      </c>
      <c r="V25" s="138" t="e">
        <f>V15*'CF Monitor Dashboard'!G46/100</f>
        <v>#REF!</v>
      </c>
      <c r="W25" s="138" t="e">
        <f>W15*'CF Monitor Dashboard'!H46/100</f>
        <v>#REF!</v>
      </c>
      <c r="X25" s="138" t="e">
        <f>X15*'CF Monitor Dashboard'!I46/100</f>
        <v>#REF!</v>
      </c>
      <c r="Y25" s="138" t="e">
        <f>Y15*'CF Monitor Dashboard'!J46/100</f>
        <v>#REF!</v>
      </c>
      <c r="Z25" s="138" t="e">
        <f>Z15*'CF Monitor Dashboard'!K46/100</f>
        <v>#REF!</v>
      </c>
      <c r="AA25" s="138" t="e">
        <f>AA15*'CF Monitor Dashboard'!L46/100</f>
        <v>#REF!</v>
      </c>
      <c r="AB25" s="138" t="e">
        <f>AB15*'CF Monitor Dashboard'!M46/100</f>
        <v>#REF!</v>
      </c>
      <c r="AC25" s="138"/>
    </row>
    <row r="26" spans="1:29" ht="12.5" x14ac:dyDescent="0.25">
      <c r="A26" s="182" t="s">
        <v>148</v>
      </c>
      <c r="B26" s="138" t="e">
        <f>B16*'CF Monitor Dashboard'!B16/100</f>
        <v>#REF!</v>
      </c>
      <c r="C26" s="138" t="e">
        <f>C16*'CF Monitor Dashboard'!C16/100</f>
        <v>#REF!</v>
      </c>
      <c r="D26" s="138" t="e">
        <f>D16*'CF Monitor Dashboard'!D16/100</f>
        <v>#REF!</v>
      </c>
      <c r="E26" s="138" t="e">
        <f>E16*'CF Monitor Dashboard'!E16/100</f>
        <v>#REF!</v>
      </c>
      <c r="F26" s="138" t="e">
        <f>F16*'CF Monitor Dashboard'!F16/100</f>
        <v>#REF!</v>
      </c>
      <c r="G26" s="138" t="e">
        <f>G16*'CF Monitor Dashboard'!G16/100</f>
        <v>#REF!</v>
      </c>
      <c r="H26" s="138" t="e">
        <f>H16*'CF Monitor Dashboard'!H16/100</f>
        <v>#REF!</v>
      </c>
      <c r="I26" s="138" t="e">
        <f>I16*'CF Monitor Dashboard'!I16/100</f>
        <v>#REF!</v>
      </c>
      <c r="J26" s="138" t="e">
        <f>J16*'CF Monitor Dashboard'!J16/100</f>
        <v>#REF!</v>
      </c>
      <c r="K26" s="138" t="e">
        <f>K16*'CF Monitor Dashboard'!K16/100</f>
        <v>#REF!</v>
      </c>
      <c r="L26" s="138" t="e">
        <f>L16*'CF Monitor Dashboard'!L16/100</f>
        <v>#REF!</v>
      </c>
      <c r="M26" s="138" t="e">
        <f>M16*'CF Monitor Dashboard'!M16/100</f>
        <v>#REF!</v>
      </c>
      <c r="P26" s="185" t="s">
        <v>148</v>
      </c>
      <c r="Q26" s="138" t="e">
        <f>Q16*'CF Monitor Dashboard'!B47/100</f>
        <v>#REF!</v>
      </c>
      <c r="R26" s="138" t="e">
        <f>R16*'CF Monitor Dashboard'!C47/100</f>
        <v>#REF!</v>
      </c>
      <c r="S26" s="138" t="e">
        <f>S16*'CF Monitor Dashboard'!D47/100</f>
        <v>#REF!</v>
      </c>
      <c r="T26" s="138" t="e">
        <f>T16*'CF Monitor Dashboard'!E47/100</f>
        <v>#REF!</v>
      </c>
      <c r="U26" s="138" t="e">
        <f>U16*'CF Monitor Dashboard'!F47/100</f>
        <v>#REF!</v>
      </c>
      <c r="V26" s="138" t="e">
        <f>V16*'CF Monitor Dashboard'!G47/100</f>
        <v>#REF!</v>
      </c>
      <c r="W26" s="138" t="e">
        <f>W16*'CF Monitor Dashboard'!H47/100</f>
        <v>#REF!</v>
      </c>
      <c r="X26" s="138" t="e">
        <f>X16*'CF Monitor Dashboard'!I47/100</f>
        <v>#REF!</v>
      </c>
      <c r="Y26" s="138" t="e">
        <f>Y16*'CF Monitor Dashboard'!J47/100</f>
        <v>#REF!</v>
      </c>
      <c r="Z26" s="138" t="e">
        <f>Z16*'CF Monitor Dashboard'!K47/100</f>
        <v>#REF!</v>
      </c>
      <c r="AA26" s="138" t="e">
        <f>AA16*'CF Monitor Dashboard'!L47/100</f>
        <v>#REF!</v>
      </c>
      <c r="AB26" s="138" t="e">
        <f>AB16*'CF Monitor Dashboard'!M47/100</f>
        <v>#REF!</v>
      </c>
      <c r="AC26" s="138"/>
    </row>
    <row r="27" spans="1:29" ht="12.5" x14ac:dyDescent="0.25">
      <c r="A27" s="182" t="s">
        <v>149</v>
      </c>
      <c r="B27" s="138" t="e">
        <f>B17*'CF Monitor Dashboard'!B21/100</f>
        <v>#REF!</v>
      </c>
      <c r="C27" s="138" t="e">
        <f>C17*'CF Monitor Dashboard'!C21/100</f>
        <v>#REF!</v>
      </c>
      <c r="D27" s="138" t="e">
        <f>D17*'CF Monitor Dashboard'!D21/100</f>
        <v>#REF!</v>
      </c>
      <c r="E27" s="138" t="e">
        <f>E17*'CF Monitor Dashboard'!E21/100</f>
        <v>#REF!</v>
      </c>
      <c r="F27" s="138" t="e">
        <f>F17*'CF Monitor Dashboard'!F21/100</f>
        <v>#REF!</v>
      </c>
      <c r="G27" s="138" t="e">
        <f>G17*'CF Monitor Dashboard'!G21/100</f>
        <v>#REF!</v>
      </c>
      <c r="H27" s="138" t="e">
        <f>H17*'CF Monitor Dashboard'!H21/100</f>
        <v>#REF!</v>
      </c>
      <c r="I27" s="138" t="e">
        <f>I17*'CF Monitor Dashboard'!I21/100</f>
        <v>#REF!</v>
      </c>
      <c r="J27" s="138" t="e">
        <f>J17*'CF Monitor Dashboard'!J21/100</f>
        <v>#REF!</v>
      </c>
      <c r="K27" s="138" t="e">
        <f>K17*'CF Monitor Dashboard'!K21/100</f>
        <v>#REF!</v>
      </c>
      <c r="L27" s="138" t="e">
        <f>L17*'CF Monitor Dashboard'!L21/100</f>
        <v>#REF!</v>
      </c>
      <c r="M27" s="138" t="e">
        <f>M17*'CF Monitor Dashboard'!M21/100</f>
        <v>#REF!</v>
      </c>
      <c r="P27" s="185" t="s">
        <v>149</v>
      </c>
      <c r="Q27" s="138" t="e">
        <f>Q17*'CF Monitor Dashboard'!B52/100</f>
        <v>#REF!</v>
      </c>
      <c r="R27" s="138" t="e">
        <f>R17*'CF Monitor Dashboard'!C52/100</f>
        <v>#REF!</v>
      </c>
      <c r="S27" s="138" t="e">
        <f>S17*'CF Monitor Dashboard'!D52/100</f>
        <v>#REF!</v>
      </c>
      <c r="T27" s="138" t="e">
        <f>T17*'CF Monitor Dashboard'!E52/100</f>
        <v>#REF!</v>
      </c>
      <c r="U27" s="138" t="e">
        <f>U17*'CF Monitor Dashboard'!F52/100</f>
        <v>#REF!</v>
      </c>
      <c r="V27" s="138" t="e">
        <f>V17*'CF Monitor Dashboard'!G52/100</f>
        <v>#REF!</v>
      </c>
      <c r="W27" s="138" t="e">
        <f>W17*'CF Monitor Dashboard'!H52/100</f>
        <v>#REF!</v>
      </c>
      <c r="X27" s="138" t="e">
        <f>X17*'CF Monitor Dashboard'!I52/100</f>
        <v>#REF!</v>
      </c>
      <c r="Y27" s="138" t="e">
        <f>Y17*'CF Monitor Dashboard'!J52/100</f>
        <v>#REF!</v>
      </c>
      <c r="Z27" s="138" t="e">
        <f>Z17*'CF Monitor Dashboard'!K52/100</f>
        <v>#REF!</v>
      </c>
      <c r="AA27" s="138" t="e">
        <f>AA17*'CF Monitor Dashboard'!L52/100</f>
        <v>#REF!</v>
      </c>
      <c r="AB27" s="138" t="e">
        <f>AB17*'CF Monitor Dashboard'!M52/100</f>
        <v>#REF!</v>
      </c>
      <c r="AC27" s="138"/>
    </row>
    <row r="28" spans="1:29" ht="12.5" x14ac:dyDescent="0.25">
      <c r="A28" s="182" t="s">
        <v>150</v>
      </c>
      <c r="B28" s="138" t="e">
        <f>B18*'CF Monitor Dashboard'!B27/100</f>
        <v>#REF!</v>
      </c>
      <c r="C28" s="138" t="e">
        <f>C18*'CF Monitor Dashboard'!C27/100</f>
        <v>#REF!</v>
      </c>
      <c r="D28" s="138" t="e">
        <f>D18*'CF Monitor Dashboard'!D27/100</f>
        <v>#REF!</v>
      </c>
      <c r="E28" s="138" t="e">
        <f>E18*'CF Monitor Dashboard'!E27/100</f>
        <v>#REF!</v>
      </c>
      <c r="F28" s="138" t="e">
        <f>F18*'CF Monitor Dashboard'!F27/100</f>
        <v>#REF!</v>
      </c>
      <c r="G28" s="138" t="e">
        <f>G18*'CF Monitor Dashboard'!G27/100</f>
        <v>#REF!</v>
      </c>
      <c r="H28" s="138" t="e">
        <f>H18*'CF Monitor Dashboard'!H27/100</f>
        <v>#REF!</v>
      </c>
      <c r="I28" s="138" t="e">
        <f>I18*'CF Monitor Dashboard'!I27/100</f>
        <v>#REF!</v>
      </c>
      <c r="J28" s="138" t="e">
        <f>J18*'CF Monitor Dashboard'!J27/100</f>
        <v>#REF!</v>
      </c>
      <c r="K28" s="138" t="e">
        <f>K18*'CF Monitor Dashboard'!K27/100</f>
        <v>#REF!</v>
      </c>
      <c r="L28" s="138" t="e">
        <f>L18*'CF Monitor Dashboard'!L27/100</f>
        <v>#REF!</v>
      </c>
      <c r="M28" s="138" t="e">
        <f>M18*'CF Monitor Dashboard'!M27/100</f>
        <v>#REF!</v>
      </c>
      <c r="P28" s="185" t="s">
        <v>150</v>
      </c>
      <c r="Q28" s="138" t="e">
        <f>Q18*'CF Monitor Dashboard'!B58/100</f>
        <v>#REF!</v>
      </c>
      <c r="R28" s="138" t="e">
        <f>R18*'CF Monitor Dashboard'!C58/100</f>
        <v>#REF!</v>
      </c>
      <c r="S28" s="138" t="e">
        <f>S18*'CF Monitor Dashboard'!D58/100</f>
        <v>#REF!</v>
      </c>
      <c r="T28" s="138" t="e">
        <f>T18*'CF Monitor Dashboard'!E58/100</f>
        <v>#REF!</v>
      </c>
      <c r="U28" s="138" t="e">
        <f>U18*'CF Monitor Dashboard'!F58/100</f>
        <v>#REF!</v>
      </c>
      <c r="V28" s="138" t="e">
        <f>V18*'CF Monitor Dashboard'!G58/100</f>
        <v>#REF!</v>
      </c>
      <c r="W28" s="138" t="e">
        <f>W18*'CF Monitor Dashboard'!H58/100</f>
        <v>#REF!</v>
      </c>
      <c r="X28" s="138" t="e">
        <f>X18*'CF Monitor Dashboard'!I58/100</f>
        <v>#REF!</v>
      </c>
      <c r="Y28" s="138" t="e">
        <f>Y18*'CF Monitor Dashboard'!J58/100</f>
        <v>#REF!</v>
      </c>
      <c r="Z28" s="138" t="e">
        <f>Z18*'CF Monitor Dashboard'!K58/100</f>
        <v>#REF!</v>
      </c>
      <c r="AA28" s="138" t="e">
        <f>AA18*'CF Monitor Dashboard'!L58/100</f>
        <v>#REF!</v>
      </c>
      <c r="AB28" s="138" t="e">
        <f>AB18*'CF Monitor Dashboard'!M58/100</f>
        <v>#REF!</v>
      </c>
      <c r="AC28" s="138"/>
    </row>
    <row r="29" spans="1:29" ht="12.5" x14ac:dyDescent="0.25">
      <c r="A29" s="182" t="s">
        <v>151</v>
      </c>
      <c r="B29" s="138" t="e">
        <f>B19*'CF Monitor Dashboard'!B30/100</f>
        <v>#REF!</v>
      </c>
      <c r="C29" s="138" t="e">
        <f>C19*'CF Monitor Dashboard'!C30/100</f>
        <v>#REF!</v>
      </c>
      <c r="D29" s="138" t="e">
        <f>D19*'CF Monitor Dashboard'!D30/100</f>
        <v>#REF!</v>
      </c>
      <c r="E29" s="138" t="e">
        <f>E19*'CF Monitor Dashboard'!E30/100</f>
        <v>#REF!</v>
      </c>
      <c r="F29" s="138" t="e">
        <f>F19*'CF Monitor Dashboard'!F30/100</f>
        <v>#REF!</v>
      </c>
      <c r="G29" s="138" t="e">
        <f>G19*'CF Monitor Dashboard'!G30/100</f>
        <v>#REF!</v>
      </c>
      <c r="H29" s="138" t="e">
        <f>H19*'CF Monitor Dashboard'!H30/100</f>
        <v>#REF!</v>
      </c>
      <c r="I29" s="138" t="e">
        <f>I19*'CF Monitor Dashboard'!I30/100</f>
        <v>#REF!</v>
      </c>
      <c r="J29" s="138" t="e">
        <f>J19*'CF Monitor Dashboard'!J30/100</f>
        <v>#REF!</v>
      </c>
      <c r="K29" s="138" t="e">
        <f>K19*'CF Monitor Dashboard'!K30/100</f>
        <v>#REF!</v>
      </c>
      <c r="L29" s="138" t="e">
        <f>L19*'CF Monitor Dashboard'!L30/100</f>
        <v>#REF!</v>
      </c>
      <c r="M29" s="138" t="e">
        <f>M19*'CF Monitor Dashboard'!M30/100</f>
        <v>#REF!</v>
      </c>
      <c r="P29" s="185" t="s">
        <v>151</v>
      </c>
      <c r="Q29" s="138" t="e">
        <f>Q19*'CF Monitor Dashboard'!B61/100</f>
        <v>#REF!</v>
      </c>
      <c r="R29" s="138" t="e">
        <f>R19*'CF Monitor Dashboard'!C61/100</f>
        <v>#REF!</v>
      </c>
      <c r="S29" s="138" t="e">
        <f>S19*'CF Monitor Dashboard'!D61/100</f>
        <v>#REF!</v>
      </c>
      <c r="T29" s="138" t="e">
        <f>T19*'CF Monitor Dashboard'!E61/100</f>
        <v>#REF!</v>
      </c>
      <c r="U29" s="138" t="e">
        <f>U19*'CF Monitor Dashboard'!F61/100</f>
        <v>#REF!</v>
      </c>
      <c r="V29" s="138" t="e">
        <f>V19*'CF Monitor Dashboard'!G61/100</f>
        <v>#REF!</v>
      </c>
      <c r="W29" s="138" t="e">
        <f>W19*'CF Monitor Dashboard'!H61/100</f>
        <v>#REF!</v>
      </c>
      <c r="X29" s="138" t="e">
        <f>X19*'CF Monitor Dashboard'!I61/100</f>
        <v>#REF!</v>
      </c>
      <c r="Y29" s="138" t="e">
        <f>Y19*'CF Monitor Dashboard'!J61/100</f>
        <v>#REF!</v>
      </c>
      <c r="Z29" s="138" t="e">
        <f>Z19*'CF Monitor Dashboard'!K61/100</f>
        <v>#REF!</v>
      </c>
      <c r="AA29" s="138" t="e">
        <f>AA19*'CF Monitor Dashboard'!L61/100</f>
        <v>#REF!</v>
      </c>
      <c r="AB29" s="138" t="e">
        <f>AB19*'CF Monitor Dashboard'!M61/100</f>
        <v>#REF!</v>
      </c>
      <c r="AC29" s="138"/>
    </row>
    <row r="30" spans="1:29" ht="12.5" x14ac:dyDescent="0.25">
      <c r="A30" s="186"/>
      <c r="B30" s="138"/>
      <c r="P30" s="187"/>
    </row>
    <row r="31" spans="1:29" ht="16.5" x14ac:dyDescent="0.35">
      <c r="A31" s="190" t="s">
        <v>106</v>
      </c>
      <c r="P31" s="191" t="s">
        <v>107</v>
      </c>
    </row>
    <row r="32" spans="1:29" ht="18" x14ac:dyDescent="0.4">
      <c r="A32" s="182" t="s">
        <v>221</v>
      </c>
      <c r="B32" s="117" t="s">
        <v>4</v>
      </c>
      <c r="C32" s="117" t="s">
        <v>5</v>
      </c>
      <c r="D32" s="117" t="s">
        <v>6</v>
      </c>
      <c r="E32" s="117" t="s">
        <v>7</v>
      </c>
      <c r="F32" s="117" t="s">
        <v>8</v>
      </c>
      <c r="G32" s="117" t="s">
        <v>9</v>
      </c>
      <c r="H32" s="117" t="s">
        <v>10</v>
      </c>
      <c r="I32" s="117" t="s">
        <v>11</v>
      </c>
      <c r="J32" s="117" t="s">
        <v>12</v>
      </c>
      <c r="K32" s="117" t="s">
        <v>13</v>
      </c>
      <c r="L32" s="117" t="s">
        <v>14</v>
      </c>
      <c r="M32" s="117" t="s">
        <v>15</v>
      </c>
      <c r="N32" s="120"/>
      <c r="O32" s="120"/>
      <c r="P32" s="182" t="s">
        <v>222</v>
      </c>
      <c r="Q32" s="117" t="s">
        <v>4</v>
      </c>
      <c r="R32" s="117" t="s">
        <v>5</v>
      </c>
      <c r="S32" s="117" t="s">
        <v>6</v>
      </c>
      <c r="T32" s="117" t="s">
        <v>7</v>
      </c>
      <c r="U32" s="117" t="s">
        <v>8</v>
      </c>
      <c r="V32" s="117" t="s">
        <v>9</v>
      </c>
      <c r="W32" s="117" t="s">
        <v>10</v>
      </c>
      <c r="X32" s="117" t="s">
        <v>11</v>
      </c>
      <c r="Y32" s="117" t="s">
        <v>12</v>
      </c>
      <c r="Z32" s="117" t="s">
        <v>13</v>
      </c>
      <c r="AA32" s="117" t="s">
        <v>14</v>
      </c>
      <c r="AB32" s="117" t="s">
        <v>15</v>
      </c>
      <c r="AC32" s="117"/>
    </row>
    <row r="33" spans="1:28" ht="12.5" x14ac:dyDescent="0.25">
      <c r="A33" s="1" t="s">
        <v>145</v>
      </c>
      <c r="B33" s="138" t="e">
        <f t="shared" ref="B33:M33" si="0">B3+B23</f>
        <v>#REF!</v>
      </c>
      <c r="C33" s="138" t="e">
        <f t="shared" si="0"/>
        <v>#REF!</v>
      </c>
      <c r="D33" s="138" t="e">
        <f t="shared" si="0"/>
        <v>#REF!</v>
      </c>
      <c r="E33" s="138" t="e">
        <f t="shared" si="0"/>
        <v>#REF!</v>
      </c>
      <c r="F33" s="138" t="e">
        <f t="shared" si="0"/>
        <v>#REF!</v>
      </c>
      <c r="G33" s="138" t="e">
        <f t="shared" si="0"/>
        <v>#REF!</v>
      </c>
      <c r="H33" s="138" t="e">
        <f t="shared" si="0"/>
        <v>#REF!</v>
      </c>
      <c r="I33" s="138" t="e">
        <f t="shared" si="0"/>
        <v>#REF!</v>
      </c>
      <c r="J33" s="138" t="e">
        <f t="shared" si="0"/>
        <v>#REF!</v>
      </c>
      <c r="K33" s="138" t="e">
        <f t="shared" si="0"/>
        <v>#REF!</v>
      </c>
      <c r="L33" s="138" t="e">
        <f t="shared" si="0"/>
        <v>#REF!</v>
      </c>
      <c r="M33" s="138" t="e">
        <f t="shared" si="0"/>
        <v>#REF!</v>
      </c>
      <c r="P33" s="185" t="s">
        <v>145</v>
      </c>
      <c r="Q33" s="138" t="e">
        <f t="shared" ref="Q33:AB33" si="1">Q3+Q23</f>
        <v>#REF!</v>
      </c>
      <c r="R33" s="138" t="e">
        <f t="shared" si="1"/>
        <v>#REF!</v>
      </c>
      <c r="S33" s="138" t="e">
        <f t="shared" si="1"/>
        <v>#REF!</v>
      </c>
      <c r="T33" s="138" t="e">
        <f t="shared" si="1"/>
        <v>#REF!</v>
      </c>
      <c r="U33" s="138" t="e">
        <f t="shared" si="1"/>
        <v>#REF!</v>
      </c>
      <c r="V33" s="138" t="e">
        <f t="shared" si="1"/>
        <v>#REF!</v>
      </c>
      <c r="W33" s="138" t="e">
        <f t="shared" si="1"/>
        <v>#REF!</v>
      </c>
      <c r="X33" s="138" t="e">
        <f t="shared" si="1"/>
        <v>#REF!</v>
      </c>
      <c r="Y33" s="138" t="e">
        <f t="shared" si="1"/>
        <v>#REF!</v>
      </c>
      <c r="Z33" s="138" t="e">
        <f t="shared" si="1"/>
        <v>#REF!</v>
      </c>
      <c r="AA33" s="138" t="e">
        <f t="shared" si="1"/>
        <v>#REF!</v>
      </c>
      <c r="AB33" s="138" t="e">
        <f t="shared" si="1"/>
        <v>#REF!</v>
      </c>
    </row>
    <row r="34" spans="1:28" ht="12.5" x14ac:dyDescent="0.25">
      <c r="A34" s="1" t="s">
        <v>146</v>
      </c>
      <c r="B34" s="138" t="e">
        <f t="shared" ref="B34:M34" si="2">B4+B24</f>
        <v>#REF!</v>
      </c>
      <c r="C34" s="138" t="e">
        <f t="shared" si="2"/>
        <v>#REF!</v>
      </c>
      <c r="D34" s="138" t="e">
        <f t="shared" si="2"/>
        <v>#REF!</v>
      </c>
      <c r="E34" s="138" t="e">
        <f t="shared" si="2"/>
        <v>#REF!</v>
      </c>
      <c r="F34" s="138" t="e">
        <f t="shared" si="2"/>
        <v>#REF!</v>
      </c>
      <c r="G34" s="138" t="e">
        <f t="shared" si="2"/>
        <v>#REF!</v>
      </c>
      <c r="H34" s="138" t="e">
        <f t="shared" si="2"/>
        <v>#REF!</v>
      </c>
      <c r="I34" s="138" t="e">
        <f t="shared" si="2"/>
        <v>#REF!</v>
      </c>
      <c r="J34" s="138" t="e">
        <f t="shared" si="2"/>
        <v>#REF!</v>
      </c>
      <c r="K34" s="138" t="e">
        <f t="shared" si="2"/>
        <v>#REF!</v>
      </c>
      <c r="L34" s="138" t="e">
        <f t="shared" si="2"/>
        <v>#REF!</v>
      </c>
      <c r="M34" s="138" t="e">
        <f t="shared" si="2"/>
        <v>#REF!</v>
      </c>
      <c r="P34" s="185" t="s">
        <v>146</v>
      </c>
      <c r="Q34" s="138" t="e">
        <f t="shared" ref="Q34:AB34" si="3">Q4+Q24</f>
        <v>#REF!</v>
      </c>
      <c r="R34" s="138" t="e">
        <f t="shared" si="3"/>
        <v>#REF!</v>
      </c>
      <c r="S34" s="138" t="e">
        <f t="shared" si="3"/>
        <v>#REF!</v>
      </c>
      <c r="T34" s="138" t="e">
        <f t="shared" si="3"/>
        <v>#REF!</v>
      </c>
      <c r="U34" s="138" t="e">
        <f t="shared" si="3"/>
        <v>#REF!</v>
      </c>
      <c r="V34" s="138" t="e">
        <f t="shared" si="3"/>
        <v>#REF!</v>
      </c>
      <c r="W34" s="138" t="e">
        <f t="shared" si="3"/>
        <v>#REF!</v>
      </c>
      <c r="X34" s="138" t="e">
        <f t="shared" si="3"/>
        <v>#REF!</v>
      </c>
      <c r="Y34" s="138" t="e">
        <f t="shared" si="3"/>
        <v>#REF!</v>
      </c>
      <c r="Z34" s="138" t="e">
        <f t="shared" si="3"/>
        <v>#REF!</v>
      </c>
      <c r="AA34" s="138" t="e">
        <f t="shared" si="3"/>
        <v>#REF!</v>
      </c>
      <c r="AB34" s="138" t="e">
        <f t="shared" si="3"/>
        <v>#REF!</v>
      </c>
    </row>
    <row r="35" spans="1:28" ht="12.5" x14ac:dyDescent="0.25">
      <c r="A35" s="1" t="s">
        <v>147</v>
      </c>
      <c r="B35" s="138" t="e">
        <f t="shared" ref="B35:M35" si="4">B5+B25</f>
        <v>#REF!</v>
      </c>
      <c r="C35" s="138" t="e">
        <f t="shared" si="4"/>
        <v>#REF!</v>
      </c>
      <c r="D35" s="138" t="e">
        <f t="shared" si="4"/>
        <v>#REF!</v>
      </c>
      <c r="E35" s="138" t="e">
        <f t="shared" si="4"/>
        <v>#REF!</v>
      </c>
      <c r="F35" s="138" t="e">
        <f t="shared" si="4"/>
        <v>#REF!</v>
      </c>
      <c r="G35" s="138" t="e">
        <f t="shared" si="4"/>
        <v>#REF!</v>
      </c>
      <c r="H35" s="138" t="e">
        <f t="shared" si="4"/>
        <v>#REF!</v>
      </c>
      <c r="I35" s="138" t="e">
        <f t="shared" si="4"/>
        <v>#REF!</v>
      </c>
      <c r="J35" s="138" t="e">
        <f t="shared" si="4"/>
        <v>#REF!</v>
      </c>
      <c r="K35" s="138" t="e">
        <f t="shared" si="4"/>
        <v>#REF!</v>
      </c>
      <c r="L35" s="138" t="e">
        <f t="shared" si="4"/>
        <v>#REF!</v>
      </c>
      <c r="M35" s="138" t="e">
        <f t="shared" si="4"/>
        <v>#REF!</v>
      </c>
      <c r="P35" s="185" t="s">
        <v>147</v>
      </c>
      <c r="Q35" s="138" t="e">
        <f t="shared" ref="Q35:AB35" si="5">Q5+Q25</f>
        <v>#REF!</v>
      </c>
      <c r="R35" s="138" t="e">
        <f t="shared" si="5"/>
        <v>#REF!</v>
      </c>
      <c r="S35" s="138" t="e">
        <f t="shared" si="5"/>
        <v>#REF!</v>
      </c>
      <c r="T35" s="138" t="e">
        <f t="shared" si="5"/>
        <v>#REF!</v>
      </c>
      <c r="U35" s="138" t="e">
        <f t="shared" si="5"/>
        <v>#REF!</v>
      </c>
      <c r="V35" s="138" t="e">
        <f t="shared" si="5"/>
        <v>#REF!</v>
      </c>
      <c r="W35" s="138" t="e">
        <f t="shared" si="5"/>
        <v>#REF!</v>
      </c>
      <c r="X35" s="138" t="e">
        <f t="shared" si="5"/>
        <v>#REF!</v>
      </c>
      <c r="Y35" s="138" t="e">
        <f t="shared" si="5"/>
        <v>#REF!</v>
      </c>
      <c r="Z35" s="138" t="e">
        <f t="shared" si="5"/>
        <v>#REF!</v>
      </c>
      <c r="AA35" s="138" t="e">
        <f t="shared" si="5"/>
        <v>#REF!</v>
      </c>
      <c r="AB35" s="138" t="e">
        <f t="shared" si="5"/>
        <v>#REF!</v>
      </c>
    </row>
    <row r="36" spans="1:28" ht="12.5" x14ac:dyDescent="0.25">
      <c r="A36" s="1" t="s">
        <v>148</v>
      </c>
      <c r="B36" s="138" t="e">
        <f t="shared" ref="B36:M36" si="6">B6+B26</f>
        <v>#REF!</v>
      </c>
      <c r="C36" s="138" t="e">
        <f t="shared" si="6"/>
        <v>#REF!</v>
      </c>
      <c r="D36" s="138" t="e">
        <f t="shared" si="6"/>
        <v>#REF!</v>
      </c>
      <c r="E36" s="138" t="e">
        <f t="shared" si="6"/>
        <v>#REF!</v>
      </c>
      <c r="F36" s="138" t="e">
        <f t="shared" si="6"/>
        <v>#REF!</v>
      </c>
      <c r="G36" s="138" t="e">
        <f t="shared" si="6"/>
        <v>#REF!</v>
      </c>
      <c r="H36" s="138" t="e">
        <f t="shared" si="6"/>
        <v>#REF!</v>
      </c>
      <c r="I36" s="138" t="e">
        <f t="shared" si="6"/>
        <v>#REF!</v>
      </c>
      <c r="J36" s="138" t="e">
        <f t="shared" si="6"/>
        <v>#REF!</v>
      </c>
      <c r="K36" s="138" t="e">
        <f t="shared" si="6"/>
        <v>#REF!</v>
      </c>
      <c r="L36" s="138" t="e">
        <f t="shared" si="6"/>
        <v>#REF!</v>
      </c>
      <c r="M36" s="138" t="e">
        <f t="shared" si="6"/>
        <v>#REF!</v>
      </c>
      <c r="P36" s="185" t="s">
        <v>148</v>
      </c>
      <c r="Q36" s="138" t="e">
        <f t="shared" ref="Q36:AB36" si="7">Q6+Q26</f>
        <v>#REF!</v>
      </c>
      <c r="R36" s="138" t="e">
        <f t="shared" si="7"/>
        <v>#REF!</v>
      </c>
      <c r="S36" s="138" t="e">
        <f t="shared" si="7"/>
        <v>#REF!</v>
      </c>
      <c r="T36" s="138" t="e">
        <f t="shared" si="7"/>
        <v>#REF!</v>
      </c>
      <c r="U36" s="138" t="e">
        <f t="shared" si="7"/>
        <v>#REF!</v>
      </c>
      <c r="V36" s="138" t="e">
        <f t="shared" si="7"/>
        <v>#REF!</v>
      </c>
      <c r="W36" s="138" t="e">
        <f t="shared" si="7"/>
        <v>#REF!</v>
      </c>
      <c r="X36" s="138" t="e">
        <f t="shared" si="7"/>
        <v>#REF!</v>
      </c>
      <c r="Y36" s="138" t="e">
        <f t="shared" si="7"/>
        <v>#REF!</v>
      </c>
      <c r="Z36" s="138" t="e">
        <f t="shared" si="7"/>
        <v>#REF!</v>
      </c>
      <c r="AA36" s="138" t="e">
        <f t="shared" si="7"/>
        <v>#REF!</v>
      </c>
      <c r="AB36" s="138" t="e">
        <f t="shared" si="7"/>
        <v>#REF!</v>
      </c>
    </row>
    <row r="37" spans="1:28" ht="12.5" x14ac:dyDescent="0.25">
      <c r="A37" s="1" t="s">
        <v>149</v>
      </c>
      <c r="B37" s="138" t="e">
        <f t="shared" ref="B37:M37" si="8">B7+B27</f>
        <v>#REF!</v>
      </c>
      <c r="C37" s="138" t="e">
        <f t="shared" si="8"/>
        <v>#REF!</v>
      </c>
      <c r="D37" s="138" t="e">
        <f t="shared" si="8"/>
        <v>#REF!</v>
      </c>
      <c r="E37" s="138" t="e">
        <f t="shared" si="8"/>
        <v>#REF!</v>
      </c>
      <c r="F37" s="138" t="e">
        <f t="shared" si="8"/>
        <v>#REF!</v>
      </c>
      <c r="G37" s="138" t="e">
        <f t="shared" si="8"/>
        <v>#REF!</v>
      </c>
      <c r="H37" s="138" t="e">
        <f t="shared" si="8"/>
        <v>#REF!</v>
      </c>
      <c r="I37" s="138" t="e">
        <f t="shared" si="8"/>
        <v>#REF!</v>
      </c>
      <c r="J37" s="138" t="e">
        <f t="shared" si="8"/>
        <v>#REF!</v>
      </c>
      <c r="K37" s="138" t="e">
        <f t="shared" si="8"/>
        <v>#REF!</v>
      </c>
      <c r="L37" s="138" t="e">
        <f t="shared" si="8"/>
        <v>#REF!</v>
      </c>
      <c r="M37" s="138" t="e">
        <f t="shared" si="8"/>
        <v>#REF!</v>
      </c>
      <c r="P37" s="185" t="s">
        <v>149</v>
      </c>
      <c r="Q37" s="138" t="e">
        <f t="shared" ref="Q37:AB37" si="9">Q7+Q27</f>
        <v>#REF!</v>
      </c>
      <c r="R37" s="138" t="e">
        <f t="shared" si="9"/>
        <v>#REF!</v>
      </c>
      <c r="S37" s="138" t="e">
        <f t="shared" si="9"/>
        <v>#REF!</v>
      </c>
      <c r="T37" s="138" t="e">
        <f t="shared" si="9"/>
        <v>#REF!</v>
      </c>
      <c r="U37" s="138" t="e">
        <f t="shared" si="9"/>
        <v>#REF!</v>
      </c>
      <c r="V37" s="138" t="e">
        <f t="shared" si="9"/>
        <v>#REF!</v>
      </c>
      <c r="W37" s="138" t="e">
        <f t="shared" si="9"/>
        <v>#REF!</v>
      </c>
      <c r="X37" s="138" t="e">
        <f t="shared" si="9"/>
        <v>#REF!</v>
      </c>
      <c r="Y37" s="138" t="e">
        <f t="shared" si="9"/>
        <v>#REF!</v>
      </c>
      <c r="Z37" s="138" t="e">
        <f t="shared" si="9"/>
        <v>#REF!</v>
      </c>
      <c r="AA37" s="138" t="e">
        <f t="shared" si="9"/>
        <v>#REF!</v>
      </c>
      <c r="AB37" s="138" t="e">
        <f t="shared" si="9"/>
        <v>#REF!</v>
      </c>
    </row>
    <row r="38" spans="1:28" ht="12.5" x14ac:dyDescent="0.25">
      <c r="A38" s="1" t="s">
        <v>150</v>
      </c>
      <c r="B38" s="138" t="e">
        <f t="shared" ref="B38:M38" si="10">B8+B28</f>
        <v>#REF!</v>
      </c>
      <c r="C38" s="138" t="e">
        <f t="shared" si="10"/>
        <v>#REF!</v>
      </c>
      <c r="D38" s="138" t="e">
        <f t="shared" si="10"/>
        <v>#REF!</v>
      </c>
      <c r="E38" s="138" t="e">
        <f t="shared" si="10"/>
        <v>#REF!</v>
      </c>
      <c r="F38" s="138" t="e">
        <f t="shared" si="10"/>
        <v>#REF!</v>
      </c>
      <c r="G38" s="138" t="e">
        <f t="shared" si="10"/>
        <v>#REF!</v>
      </c>
      <c r="H38" s="138" t="e">
        <f t="shared" si="10"/>
        <v>#REF!</v>
      </c>
      <c r="I38" s="138" t="e">
        <f t="shared" si="10"/>
        <v>#REF!</v>
      </c>
      <c r="J38" s="138" t="e">
        <f t="shared" si="10"/>
        <v>#REF!</v>
      </c>
      <c r="K38" s="138" t="e">
        <f t="shared" si="10"/>
        <v>#REF!</v>
      </c>
      <c r="L38" s="138" t="e">
        <f t="shared" si="10"/>
        <v>#REF!</v>
      </c>
      <c r="M38" s="138" t="e">
        <f t="shared" si="10"/>
        <v>#REF!</v>
      </c>
      <c r="P38" s="185" t="s">
        <v>150</v>
      </c>
      <c r="Q38" s="138" t="e">
        <f t="shared" ref="Q38:AB38" si="11">Q8+Q28</f>
        <v>#REF!</v>
      </c>
      <c r="R38" s="138" t="e">
        <f t="shared" si="11"/>
        <v>#REF!</v>
      </c>
      <c r="S38" s="138" t="e">
        <f t="shared" si="11"/>
        <v>#REF!</v>
      </c>
      <c r="T38" s="138" t="e">
        <f t="shared" si="11"/>
        <v>#REF!</v>
      </c>
      <c r="U38" s="138" t="e">
        <f t="shared" si="11"/>
        <v>#REF!</v>
      </c>
      <c r="V38" s="138" t="e">
        <f t="shared" si="11"/>
        <v>#REF!</v>
      </c>
      <c r="W38" s="138" t="e">
        <f t="shared" si="11"/>
        <v>#REF!</v>
      </c>
      <c r="X38" s="138" t="e">
        <f t="shared" si="11"/>
        <v>#REF!</v>
      </c>
      <c r="Y38" s="138" t="e">
        <f t="shared" si="11"/>
        <v>#REF!</v>
      </c>
      <c r="Z38" s="138" t="e">
        <f t="shared" si="11"/>
        <v>#REF!</v>
      </c>
      <c r="AA38" s="138" t="e">
        <f t="shared" si="11"/>
        <v>#REF!</v>
      </c>
      <c r="AB38" s="138" t="e">
        <f t="shared" si="11"/>
        <v>#REF!</v>
      </c>
    </row>
    <row r="39" spans="1:28" ht="12.5" x14ac:dyDescent="0.25">
      <c r="A39" s="1" t="s">
        <v>151</v>
      </c>
      <c r="B39" s="138" t="e">
        <f t="shared" ref="B39:M39" si="12">B9+B29</f>
        <v>#REF!</v>
      </c>
      <c r="C39" s="138" t="e">
        <f t="shared" si="12"/>
        <v>#REF!</v>
      </c>
      <c r="D39" s="138" t="e">
        <f t="shared" si="12"/>
        <v>#REF!</v>
      </c>
      <c r="E39" s="138" t="e">
        <f t="shared" si="12"/>
        <v>#REF!</v>
      </c>
      <c r="F39" s="138" t="e">
        <f t="shared" si="12"/>
        <v>#REF!</v>
      </c>
      <c r="G39" s="138" t="e">
        <f t="shared" si="12"/>
        <v>#REF!</v>
      </c>
      <c r="H39" s="138" t="e">
        <f t="shared" si="12"/>
        <v>#REF!</v>
      </c>
      <c r="I39" s="138" t="e">
        <f t="shared" si="12"/>
        <v>#REF!</v>
      </c>
      <c r="J39" s="138" t="e">
        <f t="shared" si="12"/>
        <v>#REF!</v>
      </c>
      <c r="K39" s="138" t="e">
        <f t="shared" si="12"/>
        <v>#REF!</v>
      </c>
      <c r="L39" s="138" t="e">
        <f t="shared" si="12"/>
        <v>#REF!</v>
      </c>
      <c r="M39" s="138" t="e">
        <f t="shared" si="12"/>
        <v>#REF!</v>
      </c>
      <c r="P39" s="185" t="s">
        <v>151</v>
      </c>
      <c r="Q39" s="138" t="e">
        <f t="shared" ref="Q39:AB39" si="13">Q9+Q29</f>
        <v>#REF!</v>
      </c>
      <c r="R39" s="138" t="e">
        <f t="shared" si="13"/>
        <v>#REF!</v>
      </c>
      <c r="S39" s="138" t="e">
        <f t="shared" si="13"/>
        <v>#REF!</v>
      </c>
      <c r="T39" s="138" t="e">
        <f t="shared" si="13"/>
        <v>#REF!</v>
      </c>
      <c r="U39" s="138" t="e">
        <f t="shared" si="13"/>
        <v>#REF!</v>
      </c>
      <c r="V39" s="138" t="e">
        <f t="shared" si="13"/>
        <v>#REF!</v>
      </c>
      <c r="W39" s="138" t="e">
        <f t="shared" si="13"/>
        <v>#REF!</v>
      </c>
      <c r="X39" s="138" t="e">
        <f t="shared" si="13"/>
        <v>#REF!</v>
      </c>
      <c r="Y39" s="138" t="e">
        <f t="shared" si="13"/>
        <v>#REF!</v>
      </c>
      <c r="Z39" s="138" t="e">
        <f t="shared" si="13"/>
        <v>#REF!</v>
      </c>
      <c r="AA39" s="138" t="e">
        <f t="shared" si="13"/>
        <v>#REF!</v>
      </c>
      <c r="AB39" s="138" t="e">
        <f t="shared" si="13"/>
        <v>#REF!</v>
      </c>
    </row>
    <row r="40" spans="1:28" ht="12.5" x14ac:dyDescent="0.25">
      <c r="A40" s="1"/>
      <c r="B40" s="1"/>
      <c r="C40" s="1"/>
      <c r="D40" s="1"/>
      <c r="E40" s="1"/>
      <c r="P40" s="1"/>
      <c r="Q40" s="1"/>
      <c r="R40" s="1"/>
      <c r="S40" s="1"/>
      <c r="T40" s="1"/>
    </row>
    <row r="41" spans="1:28" ht="12.5" x14ac:dyDescent="0.25">
      <c r="A41" s="192" t="s">
        <v>223</v>
      </c>
      <c r="B41" s="1">
        <v>728</v>
      </c>
      <c r="C41" s="1">
        <v>688</v>
      </c>
      <c r="E41" s="1">
        <v>723</v>
      </c>
      <c r="P41" s="192" t="s">
        <v>223</v>
      </c>
      <c r="Q41" s="1">
        <v>728</v>
      </c>
      <c r="R41" s="1">
        <v>719</v>
      </c>
      <c r="S41" s="1">
        <v>719</v>
      </c>
      <c r="T41" s="1">
        <v>719</v>
      </c>
    </row>
    <row r="42" spans="1:28" ht="12.5" x14ac:dyDescent="0.25">
      <c r="A42" s="192" t="s">
        <v>224</v>
      </c>
      <c r="B42" s="1">
        <v>477</v>
      </c>
      <c r="C42" s="1">
        <v>471</v>
      </c>
      <c r="D42" s="1">
        <v>464</v>
      </c>
      <c r="E42" s="1">
        <v>504</v>
      </c>
      <c r="P42" s="192" t="s">
        <v>224</v>
      </c>
      <c r="Q42" s="1">
        <v>477</v>
      </c>
      <c r="R42" s="1">
        <v>475</v>
      </c>
      <c r="S42" s="1">
        <v>471</v>
      </c>
      <c r="T42" s="1">
        <v>471</v>
      </c>
    </row>
    <row r="43" spans="1:28" ht="12.5" x14ac:dyDescent="0.25">
      <c r="A43" s="192" t="s">
        <v>225</v>
      </c>
      <c r="B43" s="1">
        <v>489</v>
      </c>
      <c r="C43" s="1">
        <v>465</v>
      </c>
      <c r="D43" s="1">
        <v>464</v>
      </c>
      <c r="E43" s="1">
        <v>475</v>
      </c>
      <c r="P43" s="192" t="s">
        <v>225</v>
      </c>
      <c r="Q43" s="1">
        <v>489</v>
      </c>
      <c r="R43" s="1">
        <v>478</v>
      </c>
      <c r="S43" s="1">
        <v>473</v>
      </c>
      <c r="T43" s="1">
        <v>473</v>
      </c>
    </row>
    <row r="44" spans="1:28" ht="12.5" x14ac:dyDescent="0.25">
      <c r="A44" s="192" t="s">
        <v>226</v>
      </c>
      <c r="B44" s="1">
        <v>740</v>
      </c>
      <c r="C44" s="1">
        <v>757</v>
      </c>
      <c r="D44" s="1">
        <v>754</v>
      </c>
      <c r="E44" s="1">
        <v>740</v>
      </c>
      <c r="P44" s="192" t="s">
        <v>226</v>
      </c>
      <c r="Q44" s="1">
        <v>740</v>
      </c>
      <c r="R44" s="1">
        <v>747</v>
      </c>
      <c r="S44" s="1">
        <v>749</v>
      </c>
      <c r="T44" s="1">
        <v>749</v>
      </c>
    </row>
    <row r="45" spans="1:28" ht="12.5" x14ac:dyDescent="0.25">
      <c r="A45" s="192" t="s">
        <v>227</v>
      </c>
      <c r="B45" s="1">
        <v>512</v>
      </c>
      <c r="C45" s="1">
        <v>508</v>
      </c>
      <c r="D45" s="1">
        <v>545</v>
      </c>
      <c r="E45" s="1">
        <v>520</v>
      </c>
      <c r="P45" s="192" t="s">
        <v>227</v>
      </c>
      <c r="Q45" s="1">
        <v>512</v>
      </c>
      <c r="R45" s="1">
        <v>510</v>
      </c>
      <c r="S45" s="1">
        <v>523</v>
      </c>
      <c r="T45" s="1">
        <v>523</v>
      </c>
    </row>
    <row r="46" spans="1:28" ht="12.5" x14ac:dyDescent="0.25">
      <c r="A46" s="192" t="s">
        <v>228</v>
      </c>
      <c r="B46" s="1">
        <v>562</v>
      </c>
      <c r="C46" s="1">
        <v>554</v>
      </c>
      <c r="D46" s="1">
        <v>530</v>
      </c>
      <c r="E46" s="1">
        <v>548</v>
      </c>
      <c r="P46" s="192" t="s">
        <v>228</v>
      </c>
      <c r="Q46" s="1">
        <v>562</v>
      </c>
      <c r="R46" s="1">
        <v>558</v>
      </c>
      <c r="S46" s="1">
        <v>548</v>
      </c>
      <c r="T46" s="1">
        <v>548</v>
      </c>
    </row>
    <row r="47" spans="1:28" ht="12.5" x14ac:dyDescent="0.25">
      <c r="A47" s="192" t="s">
        <v>229</v>
      </c>
      <c r="B47" s="1">
        <v>578</v>
      </c>
      <c r="C47" s="1">
        <v>578</v>
      </c>
      <c r="D47" s="1">
        <v>575</v>
      </c>
      <c r="E47" s="1">
        <v>573</v>
      </c>
      <c r="P47" s="192" t="s">
        <v>229</v>
      </c>
      <c r="Q47" s="1">
        <v>578</v>
      </c>
      <c r="R47" s="1">
        <v>578</v>
      </c>
      <c r="S47" s="1">
        <v>577</v>
      </c>
      <c r="T47" s="1">
        <v>577</v>
      </c>
    </row>
    <row r="48" spans="1:28" ht="12.5" x14ac:dyDescent="0.25">
      <c r="A48" s="193"/>
      <c r="P48" s="193"/>
    </row>
    <row r="49" spans="1:29" ht="12.5" x14ac:dyDescent="0.25">
      <c r="A49" s="192" t="s">
        <v>230</v>
      </c>
      <c r="B49" s="138" t="e">
        <f t="shared" ref="B49:M49" si="14">IF(B41-B33&lt;0,"",B41-B33)</f>
        <v>#REF!</v>
      </c>
      <c r="C49" s="138" t="e">
        <f t="shared" si="14"/>
        <v>#REF!</v>
      </c>
      <c r="D49" s="41" t="e">
        <f t="shared" si="14"/>
        <v>#REF!</v>
      </c>
      <c r="E49" s="138" t="e">
        <f t="shared" si="14"/>
        <v>#REF!</v>
      </c>
      <c r="F49" s="41" t="e">
        <f t="shared" si="14"/>
        <v>#REF!</v>
      </c>
      <c r="G49" s="41" t="e">
        <f t="shared" si="14"/>
        <v>#REF!</v>
      </c>
      <c r="H49" s="41" t="e">
        <f t="shared" si="14"/>
        <v>#REF!</v>
      </c>
      <c r="I49" s="41" t="e">
        <f t="shared" si="14"/>
        <v>#REF!</v>
      </c>
      <c r="J49" s="41" t="e">
        <f t="shared" si="14"/>
        <v>#REF!</v>
      </c>
      <c r="K49" s="41" t="e">
        <f t="shared" si="14"/>
        <v>#REF!</v>
      </c>
      <c r="L49" s="41" t="e">
        <f t="shared" si="14"/>
        <v>#REF!</v>
      </c>
      <c r="M49" s="41" t="e">
        <f t="shared" si="14"/>
        <v>#REF!</v>
      </c>
      <c r="N49" s="138" t="str">
        <f t="shared" ref="N49:N55" si="15">IFERROR(AVERAGE(B49:M49),"")</f>
        <v/>
      </c>
      <c r="P49" s="192" t="s">
        <v>230</v>
      </c>
      <c r="Q49" s="138" t="e">
        <f t="shared" ref="Q49:AB49" si="16">IF(Q41-Q33&lt;0,"",Q41-Q33)</f>
        <v>#REF!</v>
      </c>
      <c r="R49" s="138" t="e">
        <f t="shared" si="16"/>
        <v>#REF!</v>
      </c>
      <c r="S49" s="138" t="e">
        <f t="shared" si="16"/>
        <v>#REF!</v>
      </c>
      <c r="T49" s="138" t="e">
        <f t="shared" si="16"/>
        <v>#REF!</v>
      </c>
      <c r="U49" s="41" t="e">
        <f t="shared" si="16"/>
        <v>#REF!</v>
      </c>
      <c r="V49" s="41" t="e">
        <f t="shared" si="16"/>
        <v>#REF!</v>
      </c>
      <c r="W49" s="41" t="e">
        <f t="shared" si="16"/>
        <v>#REF!</v>
      </c>
      <c r="X49" s="41" t="e">
        <f t="shared" si="16"/>
        <v>#REF!</v>
      </c>
      <c r="Y49" s="41" t="e">
        <f t="shared" si="16"/>
        <v>#REF!</v>
      </c>
      <c r="Z49" s="41" t="e">
        <f t="shared" si="16"/>
        <v>#REF!</v>
      </c>
      <c r="AA49" s="41" t="e">
        <f t="shared" si="16"/>
        <v>#REF!</v>
      </c>
      <c r="AB49" s="41" t="e">
        <f t="shared" si="16"/>
        <v>#REF!</v>
      </c>
      <c r="AC49" s="138" t="str">
        <f t="shared" ref="AC49:AC55" si="17">IFERROR(AVERAGE(Q49:AB49),"")</f>
        <v/>
      </c>
    </row>
    <row r="50" spans="1:29" ht="12.5" x14ac:dyDescent="0.25">
      <c r="A50" s="192" t="s">
        <v>231</v>
      </c>
      <c r="B50" s="138" t="e">
        <f t="shared" ref="B50:M50" si="18">IF(B42-B34&lt;0,"",B42-B34)</f>
        <v>#REF!</v>
      </c>
      <c r="C50" s="138" t="e">
        <f t="shared" si="18"/>
        <v>#REF!</v>
      </c>
      <c r="D50" s="138" t="e">
        <f t="shared" si="18"/>
        <v>#REF!</v>
      </c>
      <c r="E50" s="138" t="e">
        <f t="shared" si="18"/>
        <v>#REF!</v>
      </c>
      <c r="F50" s="41" t="e">
        <f t="shared" si="18"/>
        <v>#REF!</v>
      </c>
      <c r="G50" s="41" t="e">
        <f t="shared" si="18"/>
        <v>#REF!</v>
      </c>
      <c r="H50" s="41" t="e">
        <f t="shared" si="18"/>
        <v>#REF!</v>
      </c>
      <c r="I50" s="41" t="e">
        <f t="shared" si="18"/>
        <v>#REF!</v>
      </c>
      <c r="J50" s="41" t="e">
        <f t="shared" si="18"/>
        <v>#REF!</v>
      </c>
      <c r="K50" s="41" t="e">
        <f t="shared" si="18"/>
        <v>#REF!</v>
      </c>
      <c r="L50" s="41" t="e">
        <f t="shared" si="18"/>
        <v>#REF!</v>
      </c>
      <c r="M50" s="41" t="e">
        <f t="shared" si="18"/>
        <v>#REF!</v>
      </c>
      <c r="N50" s="138" t="str">
        <f t="shared" si="15"/>
        <v/>
      </c>
      <c r="P50" s="192" t="s">
        <v>231</v>
      </c>
      <c r="Q50" s="138" t="e">
        <f t="shared" ref="Q50:AB50" si="19">IF(Q42-Q34&lt;0,"",Q42-Q34)</f>
        <v>#REF!</v>
      </c>
      <c r="R50" s="138" t="e">
        <f t="shared" si="19"/>
        <v>#REF!</v>
      </c>
      <c r="S50" s="138" t="e">
        <f t="shared" si="19"/>
        <v>#REF!</v>
      </c>
      <c r="T50" s="138" t="e">
        <f t="shared" si="19"/>
        <v>#REF!</v>
      </c>
      <c r="U50" s="41" t="e">
        <f t="shared" si="19"/>
        <v>#REF!</v>
      </c>
      <c r="V50" s="41" t="e">
        <f t="shared" si="19"/>
        <v>#REF!</v>
      </c>
      <c r="W50" s="41" t="e">
        <f t="shared" si="19"/>
        <v>#REF!</v>
      </c>
      <c r="X50" s="41" t="e">
        <f t="shared" si="19"/>
        <v>#REF!</v>
      </c>
      <c r="Y50" s="41" t="e">
        <f t="shared" si="19"/>
        <v>#REF!</v>
      </c>
      <c r="Z50" s="41" t="e">
        <f t="shared" si="19"/>
        <v>#REF!</v>
      </c>
      <c r="AA50" s="41" t="e">
        <f t="shared" si="19"/>
        <v>#REF!</v>
      </c>
      <c r="AB50" s="41" t="e">
        <f t="shared" si="19"/>
        <v>#REF!</v>
      </c>
      <c r="AC50" s="138" t="str">
        <f t="shared" si="17"/>
        <v/>
      </c>
    </row>
    <row r="51" spans="1:29" ht="12.5" x14ac:dyDescent="0.25">
      <c r="A51" s="192" t="s">
        <v>232</v>
      </c>
      <c r="B51" s="41" t="e">
        <f t="shared" ref="B51:M51" si="20">IF(B43-B35&lt;0,"",B43-B35)</f>
        <v>#REF!</v>
      </c>
      <c r="C51" s="41" t="e">
        <f t="shared" si="20"/>
        <v>#REF!</v>
      </c>
      <c r="D51" s="41" t="e">
        <f t="shared" si="20"/>
        <v>#REF!</v>
      </c>
      <c r="E51" s="138" t="e">
        <f t="shared" si="20"/>
        <v>#REF!</v>
      </c>
      <c r="F51" s="41" t="e">
        <f t="shared" si="20"/>
        <v>#REF!</v>
      </c>
      <c r="G51" s="41" t="e">
        <f t="shared" si="20"/>
        <v>#REF!</v>
      </c>
      <c r="H51" s="41" t="e">
        <f t="shared" si="20"/>
        <v>#REF!</v>
      </c>
      <c r="I51" s="41" t="e">
        <f t="shared" si="20"/>
        <v>#REF!</v>
      </c>
      <c r="J51" s="41" t="e">
        <f t="shared" si="20"/>
        <v>#REF!</v>
      </c>
      <c r="K51" s="41" t="e">
        <f t="shared" si="20"/>
        <v>#REF!</v>
      </c>
      <c r="L51" s="41" t="e">
        <f t="shared" si="20"/>
        <v>#REF!</v>
      </c>
      <c r="M51" s="41" t="e">
        <f t="shared" si="20"/>
        <v>#REF!</v>
      </c>
      <c r="N51" s="138" t="str">
        <f t="shared" si="15"/>
        <v/>
      </c>
      <c r="P51" s="192" t="s">
        <v>232</v>
      </c>
      <c r="Q51" s="41" t="e">
        <f t="shared" ref="Q51:AB51" si="21">IF(Q43-Q35&lt;0,"",Q43-Q35)</f>
        <v>#REF!</v>
      </c>
      <c r="R51" s="41" t="e">
        <f t="shared" si="21"/>
        <v>#REF!</v>
      </c>
      <c r="S51" s="41" t="e">
        <f t="shared" si="21"/>
        <v>#REF!</v>
      </c>
      <c r="T51" s="41" t="e">
        <f t="shared" si="21"/>
        <v>#REF!</v>
      </c>
      <c r="U51" s="41" t="e">
        <f t="shared" si="21"/>
        <v>#REF!</v>
      </c>
      <c r="V51" s="41" t="e">
        <f t="shared" si="21"/>
        <v>#REF!</v>
      </c>
      <c r="W51" s="41" t="e">
        <f t="shared" si="21"/>
        <v>#REF!</v>
      </c>
      <c r="X51" s="41" t="e">
        <f t="shared" si="21"/>
        <v>#REF!</v>
      </c>
      <c r="Y51" s="41" t="e">
        <f t="shared" si="21"/>
        <v>#REF!</v>
      </c>
      <c r="Z51" s="41" t="e">
        <f t="shared" si="21"/>
        <v>#REF!</v>
      </c>
      <c r="AA51" s="41" t="e">
        <f t="shared" si="21"/>
        <v>#REF!</v>
      </c>
      <c r="AB51" s="41" t="e">
        <f t="shared" si="21"/>
        <v>#REF!</v>
      </c>
      <c r="AC51" s="138" t="str">
        <f t="shared" si="17"/>
        <v/>
      </c>
    </row>
    <row r="52" spans="1:29" ht="12.5" x14ac:dyDescent="0.25">
      <c r="A52" s="192" t="s">
        <v>233</v>
      </c>
      <c r="B52" s="138" t="e">
        <f t="shared" ref="B52:M52" si="22">IF(B44-B36&lt;0,"",B44-B36)</f>
        <v>#REF!</v>
      </c>
      <c r="C52" s="138" t="e">
        <f t="shared" si="22"/>
        <v>#REF!</v>
      </c>
      <c r="D52" s="138" t="e">
        <f t="shared" si="22"/>
        <v>#REF!</v>
      </c>
      <c r="E52" s="138" t="e">
        <f t="shared" si="22"/>
        <v>#REF!</v>
      </c>
      <c r="F52" s="41" t="e">
        <f t="shared" si="22"/>
        <v>#REF!</v>
      </c>
      <c r="G52" s="41" t="e">
        <f t="shared" si="22"/>
        <v>#REF!</v>
      </c>
      <c r="H52" s="41" t="e">
        <f t="shared" si="22"/>
        <v>#REF!</v>
      </c>
      <c r="I52" s="41" t="e">
        <f t="shared" si="22"/>
        <v>#REF!</v>
      </c>
      <c r="J52" s="41" t="e">
        <f t="shared" si="22"/>
        <v>#REF!</v>
      </c>
      <c r="K52" s="41" t="e">
        <f t="shared" si="22"/>
        <v>#REF!</v>
      </c>
      <c r="L52" s="41" t="e">
        <f t="shared" si="22"/>
        <v>#REF!</v>
      </c>
      <c r="M52" s="41" t="e">
        <f t="shared" si="22"/>
        <v>#REF!</v>
      </c>
      <c r="N52" s="138" t="str">
        <f t="shared" si="15"/>
        <v/>
      </c>
      <c r="P52" s="192" t="s">
        <v>233</v>
      </c>
      <c r="Q52" s="138" t="e">
        <f t="shared" ref="Q52:AB52" si="23">IF(Q44-Q36&lt;0,"",Q44-Q36)</f>
        <v>#REF!</v>
      </c>
      <c r="R52" s="138" t="e">
        <f t="shared" si="23"/>
        <v>#REF!</v>
      </c>
      <c r="S52" s="138" t="e">
        <f t="shared" si="23"/>
        <v>#REF!</v>
      </c>
      <c r="T52" s="138" t="e">
        <f t="shared" si="23"/>
        <v>#REF!</v>
      </c>
      <c r="U52" s="41" t="e">
        <f t="shared" si="23"/>
        <v>#REF!</v>
      </c>
      <c r="V52" s="41" t="e">
        <f t="shared" si="23"/>
        <v>#REF!</v>
      </c>
      <c r="W52" s="41" t="e">
        <f t="shared" si="23"/>
        <v>#REF!</v>
      </c>
      <c r="X52" s="41" t="e">
        <f t="shared" si="23"/>
        <v>#REF!</v>
      </c>
      <c r="Y52" s="41" t="e">
        <f t="shared" si="23"/>
        <v>#REF!</v>
      </c>
      <c r="Z52" s="41" t="e">
        <f t="shared" si="23"/>
        <v>#REF!</v>
      </c>
      <c r="AA52" s="41" t="e">
        <f t="shared" si="23"/>
        <v>#REF!</v>
      </c>
      <c r="AB52" s="41" t="e">
        <f t="shared" si="23"/>
        <v>#REF!</v>
      </c>
      <c r="AC52" s="138" t="str">
        <f t="shared" si="17"/>
        <v/>
      </c>
    </row>
    <row r="53" spans="1:29" ht="12.5" x14ac:dyDescent="0.25">
      <c r="A53" s="192" t="s">
        <v>234</v>
      </c>
      <c r="B53" s="138" t="e">
        <f t="shared" ref="B53:M53" si="24">IF(B45-B37&lt;0,"",B45-B37)</f>
        <v>#REF!</v>
      </c>
      <c r="C53" s="138" t="e">
        <f t="shared" si="24"/>
        <v>#REF!</v>
      </c>
      <c r="D53" s="138" t="e">
        <f t="shared" si="24"/>
        <v>#REF!</v>
      </c>
      <c r="E53" s="138" t="e">
        <f t="shared" si="24"/>
        <v>#REF!</v>
      </c>
      <c r="F53" s="41" t="e">
        <f t="shared" si="24"/>
        <v>#REF!</v>
      </c>
      <c r="G53" s="41" t="e">
        <f t="shared" si="24"/>
        <v>#REF!</v>
      </c>
      <c r="H53" s="41" t="e">
        <f t="shared" si="24"/>
        <v>#REF!</v>
      </c>
      <c r="I53" s="41" t="e">
        <f t="shared" si="24"/>
        <v>#REF!</v>
      </c>
      <c r="J53" s="41" t="e">
        <f t="shared" si="24"/>
        <v>#REF!</v>
      </c>
      <c r="K53" s="41" t="e">
        <f t="shared" si="24"/>
        <v>#REF!</v>
      </c>
      <c r="L53" s="41" t="e">
        <f t="shared" si="24"/>
        <v>#REF!</v>
      </c>
      <c r="M53" s="41" t="e">
        <f t="shared" si="24"/>
        <v>#REF!</v>
      </c>
      <c r="N53" s="138" t="str">
        <f t="shared" si="15"/>
        <v/>
      </c>
      <c r="P53" s="192" t="s">
        <v>234</v>
      </c>
      <c r="Q53" s="138" t="e">
        <f t="shared" ref="Q53:AB53" si="25">IF(Q45-Q37&lt;0,"",Q45-Q37)</f>
        <v>#REF!</v>
      </c>
      <c r="R53" s="138" t="e">
        <f t="shared" si="25"/>
        <v>#REF!</v>
      </c>
      <c r="S53" s="138" t="e">
        <f t="shared" si="25"/>
        <v>#REF!</v>
      </c>
      <c r="T53" s="138" t="e">
        <f t="shared" si="25"/>
        <v>#REF!</v>
      </c>
      <c r="U53" s="41" t="e">
        <f t="shared" si="25"/>
        <v>#REF!</v>
      </c>
      <c r="V53" s="41" t="e">
        <f t="shared" si="25"/>
        <v>#REF!</v>
      </c>
      <c r="W53" s="41" t="e">
        <f t="shared" si="25"/>
        <v>#REF!</v>
      </c>
      <c r="X53" s="41" t="e">
        <f t="shared" si="25"/>
        <v>#REF!</v>
      </c>
      <c r="Y53" s="41" t="e">
        <f t="shared" si="25"/>
        <v>#REF!</v>
      </c>
      <c r="Z53" s="41" t="e">
        <f t="shared" si="25"/>
        <v>#REF!</v>
      </c>
      <c r="AA53" s="41" t="e">
        <f t="shared" si="25"/>
        <v>#REF!</v>
      </c>
      <c r="AB53" s="41" t="e">
        <f t="shared" si="25"/>
        <v>#REF!</v>
      </c>
      <c r="AC53" s="138" t="str">
        <f t="shared" si="17"/>
        <v/>
      </c>
    </row>
    <row r="54" spans="1:29" ht="12.5" x14ac:dyDescent="0.25">
      <c r="A54" s="192" t="s">
        <v>235</v>
      </c>
      <c r="B54" s="138" t="e">
        <f t="shared" ref="B54:M54" si="26">IF(B46-B38&lt;0,"",B46-B38)</f>
        <v>#REF!</v>
      </c>
      <c r="C54" s="138" t="e">
        <f t="shared" si="26"/>
        <v>#REF!</v>
      </c>
      <c r="D54" s="138" t="e">
        <f t="shared" si="26"/>
        <v>#REF!</v>
      </c>
      <c r="E54" s="138" t="e">
        <f t="shared" si="26"/>
        <v>#REF!</v>
      </c>
      <c r="F54" s="41" t="e">
        <f t="shared" si="26"/>
        <v>#REF!</v>
      </c>
      <c r="G54" s="41" t="e">
        <f t="shared" si="26"/>
        <v>#REF!</v>
      </c>
      <c r="H54" s="41" t="e">
        <f t="shared" si="26"/>
        <v>#REF!</v>
      </c>
      <c r="I54" s="41" t="e">
        <f t="shared" si="26"/>
        <v>#REF!</v>
      </c>
      <c r="J54" s="41" t="e">
        <f t="shared" si="26"/>
        <v>#REF!</v>
      </c>
      <c r="K54" s="41" t="e">
        <f t="shared" si="26"/>
        <v>#REF!</v>
      </c>
      <c r="L54" s="41" t="e">
        <f t="shared" si="26"/>
        <v>#REF!</v>
      </c>
      <c r="M54" s="41" t="e">
        <f t="shared" si="26"/>
        <v>#REF!</v>
      </c>
      <c r="N54" s="138" t="str">
        <f t="shared" si="15"/>
        <v/>
      </c>
      <c r="P54" s="192" t="s">
        <v>235</v>
      </c>
      <c r="Q54" s="138" t="e">
        <f t="shared" ref="Q54:AB54" si="27">IF(Q46-Q38&lt;0,"",Q46-Q38)</f>
        <v>#REF!</v>
      </c>
      <c r="R54" s="138" t="e">
        <f t="shared" si="27"/>
        <v>#REF!</v>
      </c>
      <c r="S54" s="138" t="e">
        <f t="shared" si="27"/>
        <v>#REF!</v>
      </c>
      <c r="T54" s="138" t="e">
        <f t="shared" si="27"/>
        <v>#REF!</v>
      </c>
      <c r="U54" s="41" t="e">
        <f t="shared" si="27"/>
        <v>#REF!</v>
      </c>
      <c r="V54" s="41" t="e">
        <f t="shared" si="27"/>
        <v>#REF!</v>
      </c>
      <c r="W54" s="41" t="e">
        <f t="shared" si="27"/>
        <v>#REF!</v>
      </c>
      <c r="X54" s="41" t="e">
        <f t="shared" si="27"/>
        <v>#REF!</v>
      </c>
      <c r="Y54" s="41" t="e">
        <f t="shared" si="27"/>
        <v>#REF!</v>
      </c>
      <c r="Z54" s="41" t="e">
        <f t="shared" si="27"/>
        <v>#REF!</v>
      </c>
      <c r="AA54" s="41" t="e">
        <f t="shared" si="27"/>
        <v>#REF!</v>
      </c>
      <c r="AB54" s="41" t="e">
        <f t="shared" si="27"/>
        <v>#REF!</v>
      </c>
      <c r="AC54" s="138" t="str">
        <f t="shared" si="17"/>
        <v/>
      </c>
    </row>
    <row r="55" spans="1:29" ht="12.5" x14ac:dyDescent="0.25">
      <c r="A55" s="192" t="s">
        <v>236</v>
      </c>
      <c r="B55" s="138" t="e">
        <f t="shared" ref="B55:M55" si="28">IF(B47-B39&lt;0,"",B47-B39)</f>
        <v>#REF!</v>
      </c>
      <c r="C55" s="138" t="e">
        <f t="shared" si="28"/>
        <v>#REF!</v>
      </c>
      <c r="D55" s="138" t="e">
        <f t="shared" si="28"/>
        <v>#REF!</v>
      </c>
      <c r="E55" s="138" t="e">
        <f t="shared" si="28"/>
        <v>#REF!</v>
      </c>
      <c r="F55" s="41" t="e">
        <f t="shared" si="28"/>
        <v>#REF!</v>
      </c>
      <c r="G55" s="41" t="e">
        <f t="shared" si="28"/>
        <v>#REF!</v>
      </c>
      <c r="H55" s="41" t="e">
        <f t="shared" si="28"/>
        <v>#REF!</v>
      </c>
      <c r="I55" s="41" t="e">
        <f t="shared" si="28"/>
        <v>#REF!</v>
      </c>
      <c r="J55" s="41" t="e">
        <f t="shared" si="28"/>
        <v>#REF!</v>
      </c>
      <c r="K55" s="41" t="e">
        <f t="shared" si="28"/>
        <v>#REF!</v>
      </c>
      <c r="L55" s="41" t="e">
        <f t="shared" si="28"/>
        <v>#REF!</v>
      </c>
      <c r="M55" s="41" t="e">
        <f t="shared" si="28"/>
        <v>#REF!</v>
      </c>
      <c r="N55" s="138" t="str">
        <f t="shared" si="15"/>
        <v/>
      </c>
      <c r="P55" s="192" t="s">
        <v>236</v>
      </c>
      <c r="Q55" s="138" t="e">
        <f t="shared" ref="Q55:AB55" si="29">IF(Q47-Q39&lt;0,"",Q47-Q39)</f>
        <v>#REF!</v>
      </c>
      <c r="R55" s="138" t="e">
        <f t="shared" si="29"/>
        <v>#REF!</v>
      </c>
      <c r="S55" s="138" t="e">
        <f t="shared" si="29"/>
        <v>#REF!</v>
      </c>
      <c r="T55" s="138" t="e">
        <f t="shared" si="29"/>
        <v>#REF!</v>
      </c>
      <c r="U55" s="41" t="e">
        <f t="shared" si="29"/>
        <v>#REF!</v>
      </c>
      <c r="V55" s="41" t="e">
        <f t="shared" si="29"/>
        <v>#REF!</v>
      </c>
      <c r="W55" s="41" t="e">
        <f t="shared" si="29"/>
        <v>#REF!</v>
      </c>
      <c r="X55" s="41" t="e">
        <f t="shared" si="29"/>
        <v>#REF!</v>
      </c>
      <c r="Y55" s="41" t="e">
        <f t="shared" si="29"/>
        <v>#REF!</v>
      </c>
      <c r="Z55" s="41" t="e">
        <f t="shared" si="29"/>
        <v>#REF!</v>
      </c>
      <c r="AA55" s="41" t="e">
        <f t="shared" si="29"/>
        <v>#REF!</v>
      </c>
      <c r="AB55" s="41" t="e">
        <f t="shared" si="29"/>
        <v>#REF!</v>
      </c>
      <c r="AC55" s="138" t="str">
        <f t="shared" si="17"/>
        <v/>
      </c>
    </row>
    <row r="56" spans="1:29" ht="12.5" x14ac:dyDescent="0.25">
      <c r="A56" s="193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P56" s="193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</row>
    <row r="57" spans="1:29" ht="12.5" x14ac:dyDescent="0.25">
      <c r="A57" s="192" t="s">
        <v>237</v>
      </c>
      <c r="B57" s="194" t="e">
        <f t="shared" ref="B57:M57" si="30">IF(B41/B33=0,"",B41/B33)</f>
        <v>#REF!</v>
      </c>
      <c r="C57" s="194" t="e">
        <f t="shared" si="30"/>
        <v>#REF!</v>
      </c>
      <c r="D57" s="194" t="e">
        <f t="shared" si="30"/>
        <v>#REF!</v>
      </c>
      <c r="E57" s="194" t="e">
        <f t="shared" si="30"/>
        <v>#REF!</v>
      </c>
      <c r="F57" s="194" t="e">
        <f t="shared" si="30"/>
        <v>#REF!</v>
      </c>
      <c r="G57" s="194" t="e">
        <f t="shared" si="30"/>
        <v>#REF!</v>
      </c>
      <c r="H57" s="194" t="e">
        <f t="shared" si="30"/>
        <v>#REF!</v>
      </c>
      <c r="I57" s="194" t="e">
        <f t="shared" si="30"/>
        <v>#REF!</v>
      </c>
      <c r="J57" s="194" t="e">
        <f t="shared" si="30"/>
        <v>#REF!</v>
      </c>
      <c r="K57" s="194" t="e">
        <f t="shared" si="30"/>
        <v>#REF!</v>
      </c>
      <c r="L57" s="194" t="e">
        <f t="shared" si="30"/>
        <v>#REF!</v>
      </c>
      <c r="M57" s="194" t="e">
        <f t="shared" si="30"/>
        <v>#REF!</v>
      </c>
      <c r="N57" s="194" t="str">
        <f t="shared" ref="N57:N63" si="31">IFERROR(AVERAGE(B57:M57),"")</f>
        <v/>
      </c>
      <c r="P57" s="192" t="s">
        <v>237</v>
      </c>
      <c r="Q57" s="194" t="e">
        <f t="shared" ref="Q57:AB57" si="32">IF(Q41/Q33=0,"",Q41/Q33)</f>
        <v>#REF!</v>
      </c>
      <c r="R57" s="194" t="e">
        <f t="shared" si="32"/>
        <v>#REF!</v>
      </c>
      <c r="S57" s="194" t="e">
        <f t="shared" si="32"/>
        <v>#REF!</v>
      </c>
      <c r="T57" s="194" t="e">
        <f t="shared" si="32"/>
        <v>#REF!</v>
      </c>
      <c r="U57" s="194" t="e">
        <f t="shared" si="32"/>
        <v>#REF!</v>
      </c>
      <c r="V57" s="194" t="e">
        <f t="shared" si="32"/>
        <v>#REF!</v>
      </c>
      <c r="W57" s="194" t="e">
        <f t="shared" si="32"/>
        <v>#REF!</v>
      </c>
      <c r="X57" s="194" t="e">
        <f t="shared" si="32"/>
        <v>#REF!</v>
      </c>
      <c r="Y57" s="194" t="e">
        <f t="shared" si="32"/>
        <v>#REF!</v>
      </c>
      <c r="Z57" s="194" t="e">
        <f t="shared" si="32"/>
        <v>#REF!</v>
      </c>
      <c r="AA57" s="194" t="e">
        <f t="shared" si="32"/>
        <v>#REF!</v>
      </c>
      <c r="AB57" s="194" t="e">
        <f t="shared" si="32"/>
        <v>#REF!</v>
      </c>
      <c r="AC57" s="194" t="str">
        <f t="shared" ref="AC57:AC63" si="33">IFERROR(AVERAGE(Q57:AB57),"")</f>
        <v/>
      </c>
    </row>
    <row r="58" spans="1:29" ht="12.5" x14ac:dyDescent="0.25">
      <c r="A58" s="192" t="s">
        <v>238</v>
      </c>
      <c r="B58" s="194" t="e">
        <f t="shared" ref="B58:M58" si="34">IF(B42/B34=0,"",B42/B34)</f>
        <v>#REF!</v>
      </c>
      <c r="C58" s="194" t="e">
        <f t="shared" si="34"/>
        <v>#REF!</v>
      </c>
      <c r="D58" s="194" t="e">
        <f t="shared" si="34"/>
        <v>#REF!</v>
      </c>
      <c r="E58" s="194" t="e">
        <f t="shared" si="34"/>
        <v>#REF!</v>
      </c>
      <c r="F58" s="194" t="e">
        <f t="shared" si="34"/>
        <v>#REF!</v>
      </c>
      <c r="G58" s="194" t="e">
        <f t="shared" si="34"/>
        <v>#REF!</v>
      </c>
      <c r="H58" s="194" t="e">
        <f t="shared" si="34"/>
        <v>#REF!</v>
      </c>
      <c r="I58" s="194" t="e">
        <f t="shared" si="34"/>
        <v>#REF!</v>
      </c>
      <c r="J58" s="194" t="e">
        <f t="shared" si="34"/>
        <v>#REF!</v>
      </c>
      <c r="K58" s="194" t="e">
        <f t="shared" si="34"/>
        <v>#REF!</v>
      </c>
      <c r="L58" s="194" t="e">
        <f t="shared" si="34"/>
        <v>#REF!</v>
      </c>
      <c r="M58" s="194" t="e">
        <f t="shared" si="34"/>
        <v>#REF!</v>
      </c>
      <c r="N58" s="194" t="str">
        <f t="shared" si="31"/>
        <v/>
      </c>
      <c r="P58" s="192" t="s">
        <v>238</v>
      </c>
      <c r="Q58" s="194" t="e">
        <f t="shared" ref="Q58:AB58" si="35">IF(Q42/Q34=0,"",Q42/Q34)</f>
        <v>#REF!</v>
      </c>
      <c r="R58" s="194" t="e">
        <f t="shared" si="35"/>
        <v>#REF!</v>
      </c>
      <c r="S58" s="194" t="e">
        <f t="shared" si="35"/>
        <v>#REF!</v>
      </c>
      <c r="T58" s="194" t="e">
        <f t="shared" si="35"/>
        <v>#REF!</v>
      </c>
      <c r="U58" s="194" t="e">
        <f t="shared" si="35"/>
        <v>#REF!</v>
      </c>
      <c r="V58" s="194" t="e">
        <f t="shared" si="35"/>
        <v>#REF!</v>
      </c>
      <c r="W58" s="194" t="e">
        <f t="shared" si="35"/>
        <v>#REF!</v>
      </c>
      <c r="X58" s="194" t="e">
        <f t="shared" si="35"/>
        <v>#REF!</v>
      </c>
      <c r="Y58" s="194" t="e">
        <f t="shared" si="35"/>
        <v>#REF!</v>
      </c>
      <c r="Z58" s="194" t="e">
        <f t="shared" si="35"/>
        <v>#REF!</v>
      </c>
      <c r="AA58" s="194" t="e">
        <f t="shared" si="35"/>
        <v>#REF!</v>
      </c>
      <c r="AB58" s="194" t="e">
        <f t="shared" si="35"/>
        <v>#REF!</v>
      </c>
      <c r="AC58" s="194" t="str">
        <f t="shared" si="33"/>
        <v/>
      </c>
    </row>
    <row r="59" spans="1:29" ht="12.5" x14ac:dyDescent="0.25">
      <c r="A59" s="192" t="s">
        <v>239</v>
      </c>
      <c r="B59" s="194" t="e">
        <f t="shared" ref="B59:M59" si="36">IF(B43/B35=0,"",B43/B35)</f>
        <v>#REF!</v>
      </c>
      <c r="C59" s="194" t="e">
        <f t="shared" si="36"/>
        <v>#REF!</v>
      </c>
      <c r="D59" s="194" t="e">
        <f t="shared" si="36"/>
        <v>#REF!</v>
      </c>
      <c r="E59" s="194" t="e">
        <f t="shared" si="36"/>
        <v>#REF!</v>
      </c>
      <c r="F59" s="194" t="e">
        <f t="shared" si="36"/>
        <v>#REF!</v>
      </c>
      <c r="G59" s="194" t="e">
        <f t="shared" si="36"/>
        <v>#REF!</v>
      </c>
      <c r="H59" s="194" t="e">
        <f t="shared" si="36"/>
        <v>#REF!</v>
      </c>
      <c r="I59" s="194" t="e">
        <f t="shared" si="36"/>
        <v>#REF!</v>
      </c>
      <c r="J59" s="194" t="e">
        <f t="shared" si="36"/>
        <v>#REF!</v>
      </c>
      <c r="K59" s="194" t="e">
        <f t="shared" si="36"/>
        <v>#REF!</v>
      </c>
      <c r="L59" s="194" t="e">
        <f t="shared" si="36"/>
        <v>#REF!</v>
      </c>
      <c r="M59" s="194" t="e">
        <f t="shared" si="36"/>
        <v>#REF!</v>
      </c>
      <c r="N59" s="194" t="str">
        <f t="shared" si="31"/>
        <v/>
      </c>
      <c r="P59" s="192" t="s">
        <v>239</v>
      </c>
      <c r="Q59" s="194" t="e">
        <f t="shared" ref="Q59:AB59" si="37">IF(Q43/Q35=0,"",Q43/Q35)</f>
        <v>#REF!</v>
      </c>
      <c r="R59" s="194" t="e">
        <f t="shared" si="37"/>
        <v>#REF!</v>
      </c>
      <c r="S59" s="194" t="e">
        <f t="shared" si="37"/>
        <v>#REF!</v>
      </c>
      <c r="T59" s="194" t="e">
        <f t="shared" si="37"/>
        <v>#REF!</v>
      </c>
      <c r="U59" s="194" t="e">
        <f t="shared" si="37"/>
        <v>#REF!</v>
      </c>
      <c r="V59" s="194" t="e">
        <f t="shared" si="37"/>
        <v>#REF!</v>
      </c>
      <c r="W59" s="194" t="e">
        <f t="shared" si="37"/>
        <v>#REF!</v>
      </c>
      <c r="X59" s="194" t="e">
        <f t="shared" si="37"/>
        <v>#REF!</v>
      </c>
      <c r="Y59" s="194" t="e">
        <f t="shared" si="37"/>
        <v>#REF!</v>
      </c>
      <c r="Z59" s="194" t="e">
        <f t="shared" si="37"/>
        <v>#REF!</v>
      </c>
      <c r="AA59" s="194" t="e">
        <f t="shared" si="37"/>
        <v>#REF!</v>
      </c>
      <c r="AB59" s="194" t="e">
        <f t="shared" si="37"/>
        <v>#REF!</v>
      </c>
      <c r="AC59" s="194" t="str">
        <f t="shared" si="33"/>
        <v/>
      </c>
    </row>
    <row r="60" spans="1:29" ht="12.5" x14ac:dyDescent="0.25">
      <c r="A60" s="192" t="s">
        <v>240</v>
      </c>
      <c r="B60" s="194" t="e">
        <f t="shared" ref="B60:M60" si="38">IF(B44/B36=0,"",B44/B36)</f>
        <v>#REF!</v>
      </c>
      <c r="C60" s="194" t="e">
        <f t="shared" si="38"/>
        <v>#REF!</v>
      </c>
      <c r="D60" s="194" t="e">
        <f t="shared" si="38"/>
        <v>#REF!</v>
      </c>
      <c r="E60" s="194" t="e">
        <f t="shared" si="38"/>
        <v>#REF!</v>
      </c>
      <c r="F60" s="194" t="e">
        <f t="shared" si="38"/>
        <v>#REF!</v>
      </c>
      <c r="G60" s="194" t="e">
        <f t="shared" si="38"/>
        <v>#REF!</v>
      </c>
      <c r="H60" s="194" t="e">
        <f t="shared" si="38"/>
        <v>#REF!</v>
      </c>
      <c r="I60" s="194" t="e">
        <f t="shared" si="38"/>
        <v>#REF!</v>
      </c>
      <c r="J60" s="194" t="e">
        <f t="shared" si="38"/>
        <v>#REF!</v>
      </c>
      <c r="K60" s="194" t="e">
        <f t="shared" si="38"/>
        <v>#REF!</v>
      </c>
      <c r="L60" s="194" t="e">
        <f t="shared" si="38"/>
        <v>#REF!</v>
      </c>
      <c r="M60" s="194" t="e">
        <f t="shared" si="38"/>
        <v>#REF!</v>
      </c>
      <c r="N60" s="194" t="str">
        <f t="shared" si="31"/>
        <v/>
      </c>
      <c r="P60" s="192" t="s">
        <v>240</v>
      </c>
      <c r="Q60" s="194" t="e">
        <f t="shared" ref="Q60:AB60" si="39">IF(Q44/Q36=0,"",Q44/Q36)</f>
        <v>#REF!</v>
      </c>
      <c r="R60" s="194" t="e">
        <f t="shared" si="39"/>
        <v>#REF!</v>
      </c>
      <c r="S60" s="194" t="e">
        <f t="shared" si="39"/>
        <v>#REF!</v>
      </c>
      <c r="T60" s="194" t="e">
        <f t="shared" si="39"/>
        <v>#REF!</v>
      </c>
      <c r="U60" s="194" t="e">
        <f t="shared" si="39"/>
        <v>#REF!</v>
      </c>
      <c r="V60" s="194" t="e">
        <f t="shared" si="39"/>
        <v>#REF!</v>
      </c>
      <c r="W60" s="194" t="e">
        <f t="shared" si="39"/>
        <v>#REF!</v>
      </c>
      <c r="X60" s="194" t="e">
        <f t="shared" si="39"/>
        <v>#REF!</v>
      </c>
      <c r="Y60" s="194" t="e">
        <f t="shared" si="39"/>
        <v>#REF!</v>
      </c>
      <c r="Z60" s="194" t="e">
        <f t="shared" si="39"/>
        <v>#REF!</v>
      </c>
      <c r="AA60" s="194" t="e">
        <f t="shared" si="39"/>
        <v>#REF!</v>
      </c>
      <c r="AB60" s="194" t="e">
        <f t="shared" si="39"/>
        <v>#REF!</v>
      </c>
      <c r="AC60" s="194" t="str">
        <f t="shared" si="33"/>
        <v/>
      </c>
    </row>
    <row r="61" spans="1:29" ht="12.5" x14ac:dyDescent="0.25">
      <c r="A61" s="192" t="s">
        <v>241</v>
      </c>
      <c r="B61" s="194" t="e">
        <f t="shared" ref="B61:M61" si="40">IF(B45/B37=0,"",B45/B37)</f>
        <v>#REF!</v>
      </c>
      <c r="C61" s="194" t="e">
        <f t="shared" si="40"/>
        <v>#REF!</v>
      </c>
      <c r="D61" s="194" t="e">
        <f t="shared" si="40"/>
        <v>#REF!</v>
      </c>
      <c r="E61" s="194" t="e">
        <f t="shared" si="40"/>
        <v>#REF!</v>
      </c>
      <c r="F61" s="194" t="e">
        <f t="shared" si="40"/>
        <v>#REF!</v>
      </c>
      <c r="G61" s="194" t="e">
        <f t="shared" si="40"/>
        <v>#REF!</v>
      </c>
      <c r="H61" s="194" t="e">
        <f t="shared" si="40"/>
        <v>#REF!</v>
      </c>
      <c r="I61" s="194" t="e">
        <f t="shared" si="40"/>
        <v>#REF!</v>
      </c>
      <c r="J61" s="194" t="e">
        <f t="shared" si="40"/>
        <v>#REF!</v>
      </c>
      <c r="K61" s="194" t="e">
        <f t="shared" si="40"/>
        <v>#REF!</v>
      </c>
      <c r="L61" s="194" t="e">
        <f t="shared" si="40"/>
        <v>#REF!</v>
      </c>
      <c r="M61" s="194" t="e">
        <f t="shared" si="40"/>
        <v>#REF!</v>
      </c>
      <c r="N61" s="194" t="str">
        <f t="shared" si="31"/>
        <v/>
      </c>
      <c r="P61" s="192" t="s">
        <v>241</v>
      </c>
      <c r="Q61" s="194" t="e">
        <f t="shared" ref="Q61:AB61" si="41">IF(Q45/Q37=0,"",Q45/Q37)</f>
        <v>#REF!</v>
      </c>
      <c r="R61" s="194" t="e">
        <f t="shared" si="41"/>
        <v>#REF!</v>
      </c>
      <c r="S61" s="194" t="e">
        <f t="shared" si="41"/>
        <v>#REF!</v>
      </c>
      <c r="T61" s="194" t="e">
        <f t="shared" si="41"/>
        <v>#REF!</v>
      </c>
      <c r="U61" s="194" t="e">
        <f t="shared" si="41"/>
        <v>#REF!</v>
      </c>
      <c r="V61" s="194" t="e">
        <f t="shared" si="41"/>
        <v>#REF!</v>
      </c>
      <c r="W61" s="194" t="e">
        <f t="shared" si="41"/>
        <v>#REF!</v>
      </c>
      <c r="X61" s="194" t="e">
        <f t="shared" si="41"/>
        <v>#REF!</v>
      </c>
      <c r="Y61" s="194" t="e">
        <f t="shared" si="41"/>
        <v>#REF!</v>
      </c>
      <c r="Z61" s="194" t="e">
        <f t="shared" si="41"/>
        <v>#REF!</v>
      </c>
      <c r="AA61" s="194" t="e">
        <f t="shared" si="41"/>
        <v>#REF!</v>
      </c>
      <c r="AB61" s="194" t="e">
        <f t="shared" si="41"/>
        <v>#REF!</v>
      </c>
      <c r="AC61" s="194" t="str">
        <f t="shared" si="33"/>
        <v/>
      </c>
    </row>
    <row r="62" spans="1:29" ht="12.5" x14ac:dyDescent="0.25">
      <c r="A62" s="192" t="s">
        <v>242</v>
      </c>
      <c r="B62" s="194" t="e">
        <f t="shared" ref="B62:M62" si="42">IF(B46/B38=0,"",B46/B38)</f>
        <v>#REF!</v>
      </c>
      <c r="C62" s="194" t="e">
        <f t="shared" si="42"/>
        <v>#REF!</v>
      </c>
      <c r="D62" s="194" t="e">
        <f t="shared" si="42"/>
        <v>#REF!</v>
      </c>
      <c r="E62" s="194" t="e">
        <f t="shared" si="42"/>
        <v>#REF!</v>
      </c>
      <c r="F62" s="194" t="e">
        <f t="shared" si="42"/>
        <v>#REF!</v>
      </c>
      <c r="G62" s="194" t="e">
        <f t="shared" si="42"/>
        <v>#REF!</v>
      </c>
      <c r="H62" s="194" t="e">
        <f t="shared" si="42"/>
        <v>#REF!</v>
      </c>
      <c r="I62" s="194" t="e">
        <f t="shared" si="42"/>
        <v>#REF!</v>
      </c>
      <c r="J62" s="194" t="e">
        <f t="shared" si="42"/>
        <v>#REF!</v>
      </c>
      <c r="K62" s="194" t="e">
        <f t="shared" si="42"/>
        <v>#REF!</v>
      </c>
      <c r="L62" s="194" t="e">
        <f t="shared" si="42"/>
        <v>#REF!</v>
      </c>
      <c r="M62" s="194" t="e">
        <f t="shared" si="42"/>
        <v>#REF!</v>
      </c>
      <c r="N62" s="194" t="str">
        <f t="shared" si="31"/>
        <v/>
      </c>
      <c r="P62" s="192" t="s">
        <v>242</v>
      </c>
      <c r="Q62" s="194" t="e">
        <f t="shared" ref="Q62:AB62" si="43">IF(Q46/Q38=0,"",Q46/Q38)</f>
        <v>#REF!</v>
      </c>
      <c r="R62" s="194" t="e">
        <f t="shared" si="43"/>
        <v>#REF!</v>
      </c>
      <c r="S62" s="194" t="e">
        <f t="shared" si="43"/>
        <v>#REF!</v>
      </c>
      <c r="T62" s="194" t="e">
        <f t="shared" si="43"/>
        <v>#REF!</v>
      </c>
      <c r="U62" s="194" t="e">
        <f t="shared" si="43"/>
        <v>#REF!</v>
      </c>
      <c r="V62" s="194" t="e">
        <f t="shared" si="43"/>
        <v>#REF!</v>
      </c>
      <c r="W62" s="194" t="e">
        <f t="shared" si="43"/>
        <v>#REF!</v>
      </c>
      <c r="X62" s="194" t="e">
        <f t="shared" si="43"/>
        <v>#REF!</v>
      </c>
      <c r="Y62" s="194" t="e">
        <f t="shared" si="43"/>
        <v>#REF!</v>
      </c>
      <c r="Z62" s="194" t="e">
        <f t="shared" si="43"/>
        <v>#REF!</v>
      </c>
      <c r="AA62" s="194" t="e">
        <f t="shared" si="43"/>
        <v>#REF!</v>
      </c>
      <c r="AB62" s="194" t="e">
        <f t="shared" si="43"/>
        <v>#REF!</v>
      </c>
      <c r="AC62" s="194" t="str">
        <f t="shared" si="33"/>
        <v/>
      </c>
    </row>
    <row r="63" spans="1:29" ht="12.5" x14ac:dyDescent="0.25">
      <c r="A63" s="192" t="s">
        <v>243</v>
      </c>
      <c r="B63" s="194" t="e">
        <f t="shared" ref="B63:M63" si="44">IF(B47/B39=0,"",B47/B39)</f>
        <v>#REF!</v>
      </c>
      <c r="C63" s="194" t="e">
        <f t="shared" si="44"/>
        <v>#REF!</v>
      </c>
      <c r="D63" s="194" t="e">
        <f t="shared" si="44"/>
        <v>#REF!</v>
      </c>
      <c r="E63" s="194" t="e">
        <f t="shared" si="44"/>
        <v>#REF!</v>
      </c>
      <c r="F63" s="194" t="e">
        <f t="shared" si="44"/>
        <v>#REF!</v>
      </c>
      <c r="G63" s="194" t="e">
        <f t="shared" si="44"/>
        <v>#REF!</v>
      </c>
      <c r="H63" s="194" t="e">
        <f t="shared" si="44"/>
        <v>#REF!</v>
      </c>
      <c r="I63" s="194" t="e">
        <f t="shared" si="44"/>
        <v>#REF!</v>
      </c>
      <c r="J63" s="194" t="e">
        <f t="shared" si="44"/>
        <v>#REF!</v>
      </c>
      <c r="K63" s="194" t="e">
        <f t="shared" si="44"/>
        <v>#REF!</v>
      </c>
      <c r="L63" s="194" t="e">
        <f t="shared" si="44"/>
        <v>#REF!</v>
      </c>
      <c r="M63" s="194" t="e">
        <f t="shared" si="44"/>
        <v>#REF!</v>
      </c>
      <c r="N63" s="194" t="str">
        <f t="shared" si="31"/>
        <v/>
      </c>
      <c r="P63" s="192" t="s">
        <v>243</v>
      </c>
      <c r="Q63" s="194" t="e">
        <f t="shared" ref="Q63:AB63" si="45">IF(Q47/Q39=0,"",Q47/Q39)</f>
        <v>#REF!</v>
      </c>
      <c r="R63" s="194" t="e">
        <f t="shared" si="45"/>
        <v>#REF!</v>
      </c>
      <c r="S63" s="194" t="e">
        <f t="shared" si="45"/>
        <v>#REF!</v>
      </c>
      <c r="T63" s="194" t="e">
        <f t="shared" si="45"/>
        <v>#REF!</v>
      </c>
      <c r="U63" s="194" t="e">
        <f t="shared" si="45"/>
        <v>#REF!</v>
      </c>
      <c r="V63" s="194" t="e">
        <f t="shared" si="45"/>
        <v>#REF!</v>
      </c>
      <c r="W63" s="194" t="e">
        <f t="shared" si="45"/>
        <v>#REF!</v>
      </c>
      <c r="X63" s="194" t="e">
        <f t="shared" si="45"/>
        <v>#REF!</v>
      </c>
      <c r="Y63" s="194" t="e">
        <f t="shared" si="45"/>
        <v>#REF!</v>
      </c>
      <c r="Z63" s="194" t="e">
        <f t="shared" si="45"/>
        <v>#REF!</v>
      </c>
      <c r="AA63" s="194" t="e">
        <f t="shared" si="45"/>
        <v>#REF!</v>
      </c>
      <c r="AB63" s="194" t="e">
        <f t="shared" si="45"/>
        <v>#REF!</v>
      </c>
      <c r="AC63" s="194" t="str">
        <f t="shared" si="33"/>
        <v/>
      </c>
    </row>
    <row r="64" spans="1:29" ht="12.5" x14ac:dyDescent="0.25"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P64" s="187"/>
    </row>
    <row r="65" spans="16:16" ht="12.5" x14ac:dyDescent="0.25">
      <c r="P65" s="187"/>
    </row>
    <row r="66" spans="16:16" ht="12.5" x14ac:dyDescent="0.25">
      <c r="P66" s="187"/>
    </row>
    <row r="67" spans="16:16" ht="12.5" x14ac:dyDescent="0.25">
      <c r="P67" s="187"/>
    </row>
    <row r="68" spans="16:16" ht="12.5" x14ac:dyDescent="0.25">
      <c r="P68" s="187"/>
    </row>
    <row r="69" spans="16:16" ht="12.5" x14ac:dyDescent="0.25">
      <c r="P69" s="187"/>
    </row>
    <row r="70" spans="16:16" ht="12.5" x14ac:dyDescent="0.25">
      <c r="P70" s="187"/>
    </row>
    <row r="71" spans="16:16" ht="12.5" x14ac:dyDescent="0.25">
      <c r="P71" s="187"/>
    </row>
    <row r="72" spans="16:16" ht="12.5" x14ac:dyDescent="0.25">
      <c r="P72" s="187"/>
    </row>
    <row r="73" spans="16:16" ht="12.5" x14ac:dyDescent="0.25">
      <c r="P73" s="187"/>
    </row>
    <row r="74" spans="16:16" ht="12.5" x14ac:dyDescent="0.25">
      <c r="P74" s="187"/>
    </row>
    <row r="75" spans="16:16" ht="12.5" x14ac:dyDescent="0.25">
      <c r="P75" s="187"/>
    </row>
    <row r="76" spans="16:16" ht="12.5" x14ac:dyDescent="0.25">
      <c r="P76" s="187"/>
    </row>
    <row r="77" spans="16:16" ht="12.5" x14ac:dyDescent="0.25">
      <c r="P77" s="187"/>
    </row>
    <row r="78" spans="16:16" ht="12.5" x14ac:dyDescent="0.25">
      <c r="P78" s="187"/>
    </row>
    <row r="79" spans="16:16" ht="12.5" x14ac:dyDescent="0.25">
      <c r="P79" s="187"/>
    </row>
    <row r="80" spans="16:16" ht="12.5" x14ac:dyDescent="0.25">
      <c r="P80" s="187"/>
    </row>
    <row r="81" spans="16:16" ht="12.5" x14ac:dyDescent="0.25">
      <c r="P81" s="187"/>
    </row>
    <row r="82" spans="16:16" ht="12.5" x14ac:dyDescent="0.25">
      <c r="P82" s="187"/>
    </row>
    <row r="83" spans="16:16" ht="12.5" x14ac:dyDescent="0.25">
      <c r="P83" s="187"/>
    </row>
    <row r="84" spans="16:16" ht="12.5" x14ac:dyDescent="0.25">
      <c r="P84" s="187"/>
    </row>
    <row r="85" spans="16:16" ht="12.5" x14ac:dyDescent="0.25">
      <c r="P85" s="187"/>
    </row>
    <row r="86" spans="16:16" ht="12.5" x14ac:dyDescent="0.25">
      <c r="P86" s="187"/>
    </row>
    <row r="87" spans="16:16" ht="12.5" x14ac:dyDescent="0.25">
      <c r="P87" s="187"/>
    </row>
    <row r="88" spans="16:16" ht="12.5" x14ac:dyDescent="0.25">
      <c r="P88" s="187"/>
    </row>
    <row r="89" spans="16:16" ht="12.5" x14ac:dyDescent="0.25">
      <c r="P89" s="187"/>
    </row>
    <row r="90" spans="16:16" ht="12.5" x14ac:dyDescent="0.25">
      <c r="P90" s="187"/>
    </row>
    <row r="91" spans="16:16" ht="12.5" x14ac:dyDescent="0.25">
      <c r="P91" s="187"/>
    </row>
    <row r="92" spans="16:16" ht="12.5" x14ac:dyDescent="0.25">
      <c r="P92" s="187"/>
    </row>
    <row r="93" spans="16:16" ht="12.5" x14ac:dyDescent="0.25">
      <c r="P93" s="187"/>
    </row>
    <row r="94" spans="16:16" ht="12.5" x14ac:dyDescent="0.25">
      <c r="P94" s="187"/>
    </row>
    <row r="95" spans="16:16" ht="12.5" x14ac:dyDescent="0.25">
      <c r="P95" s="187"/>
    </row>
    <row r="96" spans="16:16" ht="12.5" x14ac:dyDescent="0.25">
      <c r="P96" s="187"/>
    </row>
    <row r="97" spans="16:16" ht="12.5" x14ac:dyDescent="0.25">
      <c r="P97" s="187"/>
    </row>
    <row r="98" spans="16:16" ht="12.5" x14ac:dyDescent="0.25">
      <c r="P98" s="187"/>
    </row>
    <row r="99" spans="16:16" ht="12.5" x14ac:dyDescent="0.25">
      <c r="P99" s="187"/>
    </row>
    <row r="100" spans="16:16" ht="12.5" x14ac:dyDescent="0.25">
      <c r="P100" s="187"/>
    </row>
    <row r="101" spans="16:16" ht="12.5" x14ac:dyDescent="0.25">
      <c r="P101" s="187"/>
    </row>
    <row r="102" spans="16:16" ht="12.5" x14ac:dyDescent="0.25">
      <c r="P102" s="187"/>
    </row>
    <row r="103" spans="16:16" ht="12.5" x14ac:dyDescent="0.25">
      <c r="P103" s="187"/>
    </row>
    <row r="104" spans="16:16" ht="12.5" x14ac:dyDescent="0.25">
      <c r="P104" s="187"/>
    </row>
    <row r="105" spans="16:16" ht="12.5" x14ac:dyDescent="0.25">
      <c r="P105" s="187"/>
    </row>
    <row r="106" spans="16:16" ht="12.5" x14ac:dyDescent="0.25">
      <c r="P106" s="187"/>
    </row>
    <row r="107" spans="16:16" ht="12.5" x14ac:dyDescent="0.25">
      <c r="P107" s="187"/>
    </row>
    <row r="108" spans="16:16" ht="12.5" x14ac:dyDescent="0.25">
      <c r="P108" s="187"/>
    </row>
    <row r="109" spans="16:16" ht="12.5" x14ac:dyDescent="0.25">
      <c r="P109" s="187"/>
    </row>
    <row r="110" spans="16:16" ht="12.5" x14ac:dyDescent="0.25">
      <c r="P110" s="187"/>
    </row>
    <row r="111" spans="16:16" ht="12.5" x14ac:dyDescent="0.25">
      <c r="P111" s="187"/>
    </row>
    <row r="112" spans="16:16" ht="12.5" x14ac:dyDescent="0.25">
      <c r="P112" s="187"/>
    </row>
    <row r="113" spans="16:16" ht="12.5" x14ac:dyDescent="0.25">
      <c r="P113" s="187"/>
    </row>
    <row r="114" spans="16:16" ht="12.5" x14ac:dyDescent="0.25">
      <c r="P114" s="187"/>
    </row>
    <row r="115" spans="16:16" ht="12.5" x14ac:dyDescent="0.25">
      <c r="P115" s="187"/>
    </row>
    <row r="116" spans="16:16" ht="12.5" x14ac:dyDescent="0.25">
      <c r="P116" s="187"/>
    </row>
    <row r="117" spans="16:16" ht="12.5" x14ac:dyDescent="0.25">
      <c r="P117" s="187"/>
    </row>
    <row r="118" spans="16:16" ht="12.5" x14ac:dyDescent="0.25">
      <c r="P118" s="187"/>
    </row>
    <row r="119" spans="16:16" ht="12.5" x14ac:dyDescent="0.25">
      <c r="P119" s="187"/>
    </row>
    <row r="120" spans="16:16" ht="12.5" x14ac:dyDescent="0.25">
      <c r="P120" s="187"/>
    </row>
    <row r="121" spans="16:16" ht="12.5" x14ac:dyDescent="0.25">
      <c r="P121" s="187"/>
    </row>
    <row r="122" spans="16:16" ht="12.5" x14ac:dyDescent="0.25">
      <c r="P122" s="187"/>
    </row>
    <row r="123" spans="16:16" ht="12.5" x14ac:dyDescent="0.25">
      <c r="P123" s="187"/>
    </row>
    <row r="124" spans="16:16" ht="12.5" x14ac:dyDescent="0.25">
      <c r="P124" s="187"/>
    </row>
    <row r="125" spans="16:16" ht="12.5" x14ac:dyDescent="0.25">
      <c r="P125" s="187"/>
    </row>
    <row r="126" spans="16:16" ht="12.5" x14ac:dyDescent="0.25">
      <c r="P126" s="187"/>
    </row>
    <row r="127" spans="16:16" ht="12.5" x14ac:dyDescent="0.25">
      <c r="P127" s="187"/>
    </row>
    <row r="128" spans="16:16" ht="12.5" x14ac:dyDescent="0.25">
      <c r="P128" s="187"/>
    </row>
    <row r="129" spans="16:16" ht="12.5" x14ac:dyDescent="0.25">
      <c r="P129" s="187"/>
    </row>
    <row r="130" spans="16:16" ht="12.5" x14ac:dyDescent="0.25">
      <c r="P130" s="187"/>
    </row>
    <row r="131" spans="16:16" ht="12.5" x14ac:dyDescent="0.25">
      <c r="P131" s="187"/>
    </row>
    <row r="132" spans="16:16" ht="12.5" x14ac:dyDescent="0.25">
      <c r="P132" s="187"/>
    </row>
    <row r="133" spans="16:16" ht="12.5" x14ac:dyDescent="0.25">
      <c r="P133" s="187"/>
    </row>
    <row r="134" spans="16:16" ht="12.5" x14ac:dyDescent="0.25">
      <c r="P134" s="187"/>
    </row>
    <row r="135" spans="16:16" ht="12.5" x14ac:dyDescent="0.25">
      <c r="P135" s="187"/>
    </row>
    <row r="136" spans="16:16" ht="12.5" x14ac:dyDescent="0.25">
      <c r="P136" s="187"/>
    </row>
    <row r="137" spans="16:16" ht="12.5" x14ac:dyDescent="0.25">
      <c r="P137" s="187"/>
    </row>
    <row r="138" spans="16:16" ht="12.5" x14ac:dyDescent="0.25">
      <c r="P138" s="187"/>
    </row>
    <row r="139" spans="16:16" ht="12.5" x14ac:dyDescent="0.25">
      <c r="P139" s="187"/>
    </row>
    <row r="140" spans="16:16" ht="12.5" x14ac:dyDescent="0.25">
      <c r="P140" s="187"/>
    </row>
    <row r="141" spans="16:16" ht="12.5" x14ac:dyDescent="0.25">
      <c r="P141" s="187"/>
    </row>
    <row r="142" spans="16:16" ht="12.5" x14ac:dyDescent="0.25">
      <c r="P142" s="187"/>
    </row>
    <row r="143" spans="16:16" ht="12.5" x14ac:dyDescent="0.25">
      <c r="P143" s="187"/>
    </row>
    <row r="144" spans="16:16" ht="12.5" x14ac:dyDescent="0.25">
      <c r="P144" s="187"/>
    </row>
    <row r="145" spans="16:16" ht="12.5" x14ac:dyDescent="0.25">
      <c r="P145" s="187"/>
    </row>
    <row r="146" spans="16:16" ht="12.5" x14ac:dyDescent="0.25">
      <c r="P146" s="187"/>
    </row>
    <row r="147" spans="16:16" ht="12.5" x14ac:dyDescent="0.25">
      <c r="P147" s="187"/>
    </row>
    <row r="148" spans="16:16" ht="12.5" x14ac:dyDescent="0.25">
      <c r="P148" s="187"/>
    </row>
    <row r="149" spans="16:16" ht="12.5" x14ac:dyDescent="0.25">
      <c r="P149" s="187"/>
    </row>
    <row r="150" spans="16:16" ht="12.5" x14ac:dyDescent="0.25">
      <c r="P150" s="187"/>
    </row>
    <row r="151" spans="16:16" ht="12.5" x14ac:dyDescent="0.25">
      <c r="P151" s="187"/>
    </row>
    <row r="152" spans="16:16" ht="12.5" x14ac:dyDescent="0.25">
      <c r="P152" s="187"/>
    </row>
    <row r="153" spans="16:16" ht="12.5" x14ac:dyDescent="0.25">
      <c r="P153" s="187"/>
    </row>
    <row r="154" spans="16:16" ht="12.5" x14ac:dyDescent="0.25">
      <c r="P154" s="187"/>
    </row>
    <row r="155" spans="16:16" ht="12.5" x14ac:dyDescent="0.25">
      <c r="P155" s="187"/>
    </row>
    <row r="156" spans="16:16" ht="12.5" x14ac:dyDescent="0.25">
      <c r="P156" s="187"/>
    </row>
    <row r="157" spans="16:16" ht="12.5" x14ac:dyDescent="0.25">
      <c r="P157" s="187"/>
    </row>
    <row r="158" spans="16:16" ht="12.5" x14ac:dyDescent="0.25">
      <c r="P158" s="187"/>
    </row>
    <row r="159" spans="16:16" ht="12.5" x14ac:dyDescent="0.25">
      <c r="P159" s="187"/>
    </row>
    <row r="160" spans="16:16" ht="12.5" x14ac:dyDescent="0.25">
      <c r="P160" s="187"/>
    </row>
    <row r="161" spans="16:16" ht="12.5" x14ac:dyDescent="0.25">
      <c r="P161" s="187"/>
    </row>
    <row r="162" spans="16:16" ht="12.5" x14ac:dyDescent="0.25">
      <c r="P162" s="187"/>
    </row>
    <row r="163" spans="16:16" ht="12.5" x14ac:dyDescent="0.25">
      <c r="P163" s="187"/>
    </row>
    <row r="164" spans="16:16" ht="12.5" x14ac:dyDescent="0.25">
      <c r="P164" s="187"/>
    </row>
    <row r="165" spans="16:16" ht="12.5" x14ac:dyDescent="0.25">
      <c r="P165" s="187"/>
    </row>
    <row r="166" spans="16:16" ht="12.5" x14ac:dyDescent="0.25">
      <c r="P166" s="187"/>
    </row>
    <row r="167" spans="16:16" ht="12.5" x14ac:dyDescent="0.25">
      <c r="P167" s="187"/>
    </row>
    <row r="168" spans="16:16" ht="12.5" x14ac:dyDescent="0.25">
      <c r="P168" s="187"/>
    </row>
    <row r="169" spans="16:16" ht="12.5" x14ac:dyDescent="0.25">
      <c r="P169" s="187"/>
    </row>
    <row r="170" spans="16:16" ht="12.5" x14ac:dyDescent="0.25">
      <c r="P170" s="187"/>
    </row>
    <row r="171" spans="16:16" ht="12.5" x14ac:dyDescent="0.25">
      <c r="P171" s="187"/>
    </row>
    <row r="172" spans="16:16" ht="12.5" x14ac:dyDescent="0.25">
      <c r="P172" s="187"/>
    </row>
    <row r="173" spans="16:16" ht="12.5" x14ac:dyDescent="0.25">
      <c r="P173" s="187"/>
    </row>
    <row r="174" spans="16:16" ht="12.5" x14ac:dyDescent="0.25">
      <c r="P174" s="187"/>
    </row>
    <row r="175" spans="16:16" ht="12.5" x14ac:dyDescent="0.25">
      <c r="P175" s="187"/>
    </row>
    <row r="176" spans="16:16" ht="12.5" x14ac:dyDescent="0.25">
      <c r="P176" s="187"/>
    </row>
    <row r="177" spans="16:16" ht="12.5" x14ac:dyDescent="0.25">
      <c r="P177" s="187"/>
    </row>
    <row r="178" spans="16:16" ht="12.5" x14ac:dyDescent="0.25">
      <c r="P178" s="187"/>
    </row>
    <row r="179" spans="16:16" ht="12.5" x14ac:dyDescent="0.25">
      <c r="P179" s="187"/>
    </row>
    <row r="180" spans="16:16" ht="12.5" x14ac:dyDescent="0.25">
      <c r="P180" s="187"/>
    </row>
    <row r="181" spans="16:16" ht="12.5" x14ac:dyDescent="0.25">
      <c r="P181" s="187"/>
    </row>
    <row r="182" spans="16:16" ht="12.5" x14ac:dyDescent="0.25">
      <c r="P182" s="187"/>
    </row>
    <row r="183" spans="16:16" ht="12.5" x14ac:dyDescent="0.25">
      <c r="P183" s="187"/>
    </row>
    <row r="184" spans="16:16" ht="12.5" x14ac:dyDescent="0.25">
      <c r="P184" s="187"/>
    </row>
    <row r="185" spans="16:16" ht="12.5" x14ac:dyDescent="0.25">
      <c r="P185" s="187"/>
    </row>
    <row r="186" spans="16:16" ht="12.5" x14ac:dyDescent="0.25">
      <c r="P186" s="187"/>
    </row>
    <row r="187" spans="16:16" ht="12.5" x14ac:dyDescent="0.25">
      <c r="P187" s="187"/>
    </row>
    <row r="188" spans="16:16" ht="12.5" x14ac:dyDescent="0.25">
      <c r="P188" s="187"/>
    </row>
    <row r="189" spans="16:16" ht="12.5" x14ac:dyDescent="0.25">
      <c r="P189" s="187"/>
    </row>
    <row r="190" spans="16:16" ht="12.5" x14ac:dyDescent="0.25">
      <c r="P190" s="187"/>
    </row>
    <row r="191" spans="16:16" ht="12.5" x14ac:dyDescent="0.25">
      <c r="P191" s="187"/>
    </row>
    <row r="192" spans="16:16" ht="12.5" x14ac:dyDescent="0.25">
      <c r="P192" s="187"/>
    </row>
    <row r="193" spans="16:16" ht="12.5" x14ac:dyDescent="0.25">
      <c r="P193" s="187"/>
    </row>
    <row r="194" spans="16:16" ht="12.5" x14ac:dyDescent="0.25">
      <c r="P194" s="187"/>
    </row>
    <row r="195" spans="16:16" ht="12.5" x14ac:dyDescent="0.25">
      <c r="P195" s="187"/>
    </row>
    <row r="196" spans="16:16" ht="12.5" x14ac:dyDescent="0.25">
      <c r="P196" s="187"/>
    </row>
    <row r="197" spans="16:16" ht="12.5" x14ac:dyDescent="0.25">
      <c r="P197" s="187"/>
    </row>
    <row r="198" spans="16:16" ht="12.5" x14ac:dyDescent="0.25">
      <c r="P198" s="187"/>
    </row>
    <row r="199" spans="16:16" ht="12.5" x14ac:dyDescent="0.25">
      <c r="P199" s="187"/>
    </row>
    <row r="200" spans="16:16" ht="12.5" x14ac:dyDescent="0.25">
      <c r="P200" s="187"/>
    </row>
    <row r="201" spans="16:16" ht="12.5" x14ac:dyDescent="0.25">
      <c r="P201" s="187"/>
    </row>
    <row r="202" spans="16:16" ht="12.5" x14ac:dyDescent="0.25">
      <c r="P202" s="187"/>
    </row>
    <row r="203" spans="16:16" ht="12.5" x14ac:dyDescent="0.25">
      <c r="P203" s="187"/>
    </row>
    <row r="204" spans="16:16" ht="12.5" x14ac:dyDescent="0.25">
      <c r="P204" s="187"/>
    </row>
    <row r="205" spans="16:16" ht="12.5" x14ac:dyDescent="0.25">
      <c r="P205" s="187"/>
    </row>
    <row r="206" spans="16:16" ht="12.5" x14ac:dyDescent="0.25">
      <c r="P206" s="187"/>
    </row>
    <row r="207" spans="16:16" ht="12.5" x14ac:dyDescent="0.25">
      <c r="P207" s="187"/>
    </row>
    <row r="208" spans="16:16" ht="12.5" x14ac:dyDescent="0.25">
      <c r="P208" s="187"/>
    </row>
    <row r="209" spans="16:16" ht="12.5" x14ac:dyDescent="0.25">
      <c r="P209" s="187"/>
    </row>
    <row r="210" spans="16:16" ht="12.5" x14ac:dyDescent="0.25">
      <c r="P210" s="187"/>
    </row>
    <row r="211" spans="16:16" ht="12.5" x14ac:dyDescent="0.25">
      <c r="P211" s="187"/>
    </row>
    <row r="212" spans="16:16" ht="12.5" x14ac:dyDescent="0.25">
      <c r="P212" s="187"/>
    </row>
    <row r="213" spans="16:16" ht="12.5" x14ac:dyDescent="0.25">
      <c r="P213" s="187"/>
    </row>
    <row r="214" spans="16:16" ht="12.5" x14ac:dyDescent="0.25">
      <c r="P214" s="187"/>
    </row>
    <row r="215" spans="16:16" ht="12.5" x14ac:dyDescent="0.25">
      <c r="P215" s="187"/>
    </row>
    <row r="216" spans="16:16" ht="12.5" x14ac:dyDescent="0.25">
      <c r="P216" s="187"/>
    </row>
    <row r="217" spans="16:16" ht="12.5" x14ac:dyDescent="0.25">
      <c r="P217" s="187"/>
    </row>
    <row r="218" spans="16:16" ht="12.5" x14ac:dyDescent="0.25">
      <c r="P218" s="187"/>
    </row>
    <row r="219" spans="16:16" ht="12.5" x14ac:dyDescent="0.25">
      <c r="P219" s="187"/>
    </row>
    <row r="220" spans="16:16" ht="12.5" x14ac:dyDescent="0.25">
      <c r="P220" s="187"/>
    </row>
    <row r="221" spans="16:16" ht="12.5" x14ac:dyDescent="0.25">
      <c r="P221" s="187"/>
    </row>
    <row r="222" spans="16:16" ht="12.5" x14ac:dyDescent="0.25">
      <c r="P222" s="187"/>
    </row>
    <row r="223" spans="16:16" ht="12.5" x14ac:dyDescent="0.25">
      <c r="P223" s="187"/>
    </row>
    <row r="224" spans="16:16" ht="12.5" x14ac:dyDescent="0.25">
      <c r="P224" s="187"/>
    </row>
    <row r="225" spans="16:16" ht="12.5" x14ac:dyDescent="0.25">
      <c r="P225" s="187"/>
    </row>
    <row r="226" spans="16:16" ht="12.5" x14ac:dyDescent="0.25">
      <c r="P226" s="187"/>
    </row>
    <row r="227" spans="16:16" ht="12.5" x14ac:dyDescent="0.25">
      <c r="P227" s="187"/>
    </row>
    <row r="228" spans="16:16" ht="12.5" x14ac:dyDescent="0.25">
      <c r="P228" s="187"/>
    </row>
    <row r="229" spans="16:16" ht="12.5" x14ac:dyDescent="0.25">
      <c r="P229" s="187"/>
    </row>
    <row r="230" spans="16:16" ht="12.5" x14ac:dyDescent="0.25">
      <c r="P230" s="187"/>
    </row>
    <row r="231" spans="16:16" ht="12.5" x14ac:dyDescent="0.25">
      <c r="P231" s="187"/>
    </row>
    <row r="232" spans="16:16" ht="12.5" x14ac:dyDescent="0.25">
      <c r="P232" s="187"/>
    </row>
    <row r="233" spans="16:16" ht="12.5" x14ac:dyDescent="0.25">
      <c r="P233" s="187"/>
    </row>
    <row r="234" spans="16:16" ht="12.5" x14ac:dyDescent="0.25">
      <c r="P234" s="187"/>
    </row>
    <row r="235" spans="16:16" ht="12.5" x14ac:dyDescent="0.25">
      <c r="P235" s="187"/>
    </row>
    <row r="236" spans="16:16" ht="12.5" x14ac:dyDescent="0.25">
      <c r="P236" s="187"/>
    </row>
    <row r="237" spans="16:16" ht="12.5" x14ac:dyDescent="0.25">
      <c r="P237" s="187"/>
    </row>
    <row r="238" spans="16:16" ht="12.5" x14ac:dyDescent="0.25">
      <c r="P238" s="187"/>
    </row>
    <row r="239" spans="16:16" ht="12.5" x14ac:dyDescent="0.25">
      <c r="P239" s="187"/>
    </row>
    <row r="240" spans="16:16" ht="12.5" x14ac:dyDescent="0.25">
      <c r="P240" s="187"/>
    </row>
    <row r="241" spans="16:16" ht="12.5" x14ac:dyDescent="0.25">
      <c r="P241" s="187"/>
    </row>
    <row r="242" spans="16:16" ht="12.5" x14ac:dyDescent="0.25">
      <c r="P242" s="187"/>
    </row>
    <row r="243" spans="16:16" ht="12.5" x14ac:dyDescent="0.25">
      <c r="P243" s="187"/>
    </row>
    <row r="244" spans="16:16" ht="12.5" x14ac:dyDescent="0.25">
      <c r="P244" s="187"/>
    </row>
    <row r="245" spans="16:16" ht="12.5" x14ac:dyDescent="0.25">
      <c r="P245" s="187"/>
    </row>
    <row r="246" spans="16:16" ht="12.5" x14ac:dyDescent="0.25">
      <c r="P246" s="187"/>
    </row>
    <row r="247" spans="16:16" ht="12.5" x14ac:dyDescent="0.25">
      <c r="P247" s="187"/>
    </row>
    <row r="248" spans="16:16" ht="12.5" x14ac:dyDescent="0.25">
      <c r="P248" s="187"/>
    </row>
    <row r="249" spans="16:16" ht="12.5" x14ac:dyDescent="0.25">
      <c r="P249" s="187"/>
    </row>
    <row r="250" spans="16:16" ht="12.5" x14ac:dyDescent="0.25">
      <c r="P250" s="187"/>
    </row>
    <row r="251" spans="16:16" ht="12.5" x14ac:dyDescent="0.25">
      <c r="P251" s="187"/>
    </row>
    <row r="252" spans="16:16" ht="12.5" x14ac:dyDescent="0.25">
      <c r="P252" s="187"/>
    </row>
    <row r="253" spans="16:16" ht="12.5" x14ac:dyDescent="0.25">
      <c r="P253" s="187"/>
    </row>
    <row r="254" spans="16:16" ht="12.5" x14ac:dyDescent="0.25">
      <c r="P254" s="187"/>
    </row>
    <row r="255" spans="16:16" ht="12.5" x14ac:dyDescent="0.25">
      <c r="P255" s="187"/>
    </row>
    <row r="256" spans="16:16" ht="12.5" x14ac:dyDescent="0.25">
      <c r="P256" s="187"/>
    </row>
    <row r="257" spans="16:16" ht="12.5" x14ac:dyDescent="0.25">
      <c r="P257" s="187"/>
    </row>
    <row r="258" spans="16:16" ht="12.5" x14ac:dyDescent="0.25">
      <c r="P258" s="187"/>
    </row>
    <row r="259" spans="16:16" ht="12.5" x14ac:dyDescent="0.25">
      <c r="P259" s="187"/>
    </row>
    <row r="260" spans="16:16" ht="12.5" x14ac:dyDescent="0.25">
      <c r="P260" s="187"/>
    </row>
    <row r="261" spans="16:16" ht="12.5" x14ac:dyDescent="0.25">
      <c r="P261" s="187"/>
    </row>
    <row r="262" spans="16:16" ht="12.5" x14ac:dyDescent="0.25">
      <c r="P262" s="187"/>
    </row>
    <row r="263" spans="16:16" ht="12.5" x14ac:dyDescent="0.25">
      <c r="P263" s="187"/>
    </row>
    <row r="264" spans="16:16" ht="12.5" x14ac:dyDescent="0.25">
      <c r="P264" s="187"/>
    </row>
    <row r="265" spans="16:16" ht="12.5" x14ac:dyDescent="0.25">
      <c r="P265" s="187"/>
    </row>
    <row r="266" spans="16:16" ht="12.5" x14ac:dyDescent="0.25">
      <c r="P266" s="187"/>
    </row>
    <row r="267" spans="16:16" ht="12.5" x14ac:dyDescent="0.25">
      <c r="P267" s="187"/>
    </row>
    <row r="268" spans="16:16" ht="12.5" x14ac:dyDescent="0.25">
      <c r="P268" s="187"/>
    </row>
    <row r="269" spans="16:16" ht="12.5" x14ac:dyDescent="0.25">
      <c r="P269" s="187"/>
    </row>
    <row r="270" spans="16:16" ht="12.5" x14ac:dyDescent="0.25">
      <c r="P270" s="187"/>
    </row>
    <row r="271" spans="16:16" ht="12.5" x14ac:dyDescent="0.25">
      <c r="P271" s="187"/>
    </row>
    <row r="272" spans="16:16" ht="12.5" x14ac:dyDescent="0.25">
      <c r="P272" s="187"/>
    </row>
    <row r="273" spans="16:16" ht="12.5" x14ac:dyDescent="0.25">
      <c r="P273" s="187"/>
    </row>
    <row r="274" spans="16:16" ht="12.5" x14ac:dyDescent="0.25">
      <c r="P274" s="187"/>
    </row>
    <row r="275" spans="16:16" ht="12.5" x14ac:dyDescent="0.25">
      <c r="P275" s="187"/>
    </row>
    <row r="276" spans="16:16" ht="12.5" x14ac:dyDescent="0.25">
      <c r="P276" s="187"/>
    </row>
    <row r="277" spans="16:16" ht="12.5" x14ac:dyDescent="0.25">
      <c r="P277" s="187"/>
    </row>
    <row r="278" spans="16:16" ht="12.5" x14ac:dyDescent="0.25">
      <c r="P278" s="187"/>
    </row>
    <row r="279" spans="16:16" ht="12.5" x14ac:dyDescent="0.25">
      <c r="P279" s="187"/>
    </row>
    <row r="280" spans="16:16" ht="12.5" x14ac:dyDescent="0.25">
      <c r="P280" s="187"/>
    </row>
    <row r="281" spans="16:16" ht="12.5" x14ac:dyDescent="0.25">
      <c r="P281" s="187"/>
    </row>
    <row r="282" spans="16:16" ht="12.5" x14ac:dyDescent="0.25">
      <c r="P282" s="187"/>
    </row>
    <row r="283" spans="16:16" ht="12.5" x14ac:dyDescent="0.25">
      <c r="P283" s="187"/>
    </row>
    <row r="284" spans="16:16" ht="12.5" x14ac:dyDescent="0.25">
      <c r="P284" s="187"/>
    </row>
    <row r="285" spans="16:16" ht="12.5" x14ac:dyDescent="0.25">
      <c r="P285" s="187"/>
    </row>
    <row r="286" spans="16:16" ht="12.5" x14ac:dyDescent="0.25">
      <c r="P286" s="187"/>
    </row>
    <row r="287" spans="16:16" ht="12.5" x14ac:dyDescent="0.25">
      <c r="P287" s="187"/>
    </row>
    <row r="288" spans="16:16" ht="12.5" x14ac:dyDescent="0.25">
      <c r="P288" s="187"/>
    </row>
    <row r="289" spans="16:16" ht="12.5" x14ac:dyDescent="0.25">
      <c r="P289" s="187"/>
    </row>
    <row r="290" spans="16:16" ht="12.5" x14ac:dyDescent="0.25">
      <c r="P290" s="187"/>
    </row>
    <row r="291" spans="16:16" ht="12.5" x14ac:dyDescent="0.25">
      <c r="P291" s="187"/>
    </row>
    <row r="292" spans="16:16" ht="12.5" x14ac:dyDescent="0.25">
      <c r="P292" s="187"/>
    </row>
    <row r="293" spans="16:16" ht="12.5" x14ac:dyDescent="0.25">
      <c r="P293" s="187"/>
    </row>
    <row r="294" spans="16:16" ht="12.5" x14ac:dyDescent="0.25">
      <c r="P294" s="187"/>
    </row>
    <row r="295" spans="16:16" ht="12.5" x14ac:dyDescent="0.25">
      <c r="P295" s="187"/>
    </row>
    <row r="296" spans="16:16" ht="12.5" x14ac:dyDescent="0.25">
      <c r="P296" s="187"/>
    </row>
    <row r="297" spans="16:16" ht="12.5" x14ac:dyDescent="0.25">
      <c r="P297" s="187"/>
    </row>
    <row r="298" spans="16:16" ht="12.5" x14ac:dyDescent="0.25">
      <c r="P298" s="187"/>
    </row>
    <row r="299" spans="16:16" ht="12.5" x14ac:dyDescent="0.25">
      <c r="P299" s="187"/>
    </row>
    <row r="300" spans="16:16" ht="12.5" x14ac:dyDescent="0.25">
      <c r="P300" s="187"/>
    </row>
    <row r="301" spans="16:16" ht="12.5" x14ac:dyDescent="0.25">
      <c r="P301" s="187"/>
    </row>
    <row r="302" spans="16:16" ht="12.5" x14ac:dyDescent="0.25">
      <c r="P302" s="187"/>
    </row>
    <row r="303" spans="16:16" ht="12.5" x14ac:dyDescent="0.25">
      <c r="P303" s="187"/>
    </row>
    <row r="304" spans="16:16" ht="12.5" x14ac:dyDescent="0.25">
      <c r="P304" s="187"/>
    </row>
    <row r="305" spans="16:16" ht="12.5" x14ac:dyDescent="0.25">
      <c r="P305" s="187"/>
    </row>
    <row r="306" spans="16:16" ht="12.5" x14ac:dyDescent="0.25">
      <c r="P306" s="187"/>
    </row>
    <row r="307" spans="16:16" ht="12.5" x14ac:dyDescent="0.25">
      <c r="P307" s="187"/>
    </row>
    <row r="308" spans="16:16" ht="12.5" x14ac:dyDescent="0.25">
      <c r="P308" s="187"/>
    </row>
    <row r="309" spans="16:16" ht="12.5" x14ac:dyDescent="0.25">
      <c r="P309" s="187"/>
    </row>
    <row r="310" spans="16:16" ht="12.5" x14ac:dyDescent="0.25">
      <c r="P310" s="187"/>
    </row>
    <row r="311" spans="16:16" ht="12.5" x14ac:dyDescent="0.25">
      <c r="P311" s="187"/>
    </row>
    <row r="312" spans="16:16" ht="12.5" x14ac:dyDescent="0.25">
      <c r="P312" s="187"/>
    </row>
    <row r="313" spans="16:16" ht="12.5" x14ac:dyDescent="0.25">
      <c r="P313" s="187"/>
    </row>
    <row r="314" spans="16:16" ht="12.5" x14ac:dyDescent="0.25">
      <c r="P314" s="187"/>
    </row>
    <row r="315" spans="16:16" ht="12.5" x14ac:dyDescent="0.25">
      <c r="P315" s="187"/>
    </row>
    <row r="316" spans="16:16" ht="12.5" x14ac:dyDescent="0.25">
      <c r="P316" s="187"/>
    </row>
    <row r="317" spans="16:16" ht="12.5" x14ac:dyDescent="0.25">
      <c r="P317" s="187"/>
    </row>
    <row r="318" spans="16:16" ht="12.5" x14ac:dyDescent="0.25">
      <c r="P318" s="187"/>
    </row>
    <row r="319" spans="16:16" ht="12.5" x14ac:dyDescent="0.25">
      <c r="P319" s="187"/>
    </row>
    <row r="320" spans="16:16" ht="12.5" x14ac:dyDescent="0.25">
      <c r="P320" s="187"/>
    </row>
    <row r="321" spans="16:16" ht="12.5" x14ac:dyDescent="0.25">
      <c r="P321" s="187"/>
    </row>
    <row r="322" spans="16:16" ht="12.5" x14ac:dyDescent="0.25">
      <c r="P322" s="187"/>
    </row>
    <row r="323" spans="16:16" ht="12.5" x14ac:dyDescent="0.25">
      <c r="P323" s="187"/>
    </row>
    <row r="324" spans="16:16" ht="12.5" x14ac:dyDescent="0.25">
      <c r="P324" s="187"/>
    </row>
    <row r="325" spans="16:16" ht="12.5" x14ac:dyDescent="0.25">
      <c r="P325" s="187"/>
    </row>
    <row r="326" spans="16:16" ht="12.5" x14ac:dyDescent="0.25">
      <c r="P326" s="187"/>
    </row>
    <row r="327" spans="16:16" ht="12.5" x14ac:dyDescent="0.25">
      <c r="P327" s="187"/>
    </row>
    <row r="328" spans="16:16" ht="12.5" x14ac:dyDescent="0.25">
      <c r="P328" s="187"/>
    </row>
    <row r="329" spans="16:16" ht="12.5" x14ac:dyDescent="0.25">
      <c r="P329" s="187"/>
    </row>
    <row r="330" spans="16:16" ht="12.5" x14ac:dyDescent="0.25">
      <c r="P330" s="187"/>
    </row>
    <row r="331" spans="16:16" ht="12.5" x14ac:dyDescent="0.25">
      <c r="P331" s="187"/>
    </row>
    <row r="332" spans="16:16" ht="12.5" x14ac:dyDescent="0.25">
      <c r="P332" s="187"/>
    </row>
    <row r="333" spans="16:16" ht="12.5" x14ac:dyDescent="0.25">
      <c r="P333" s="187"/>
    </row>
    <row r="334" spans="16:16" ht="12.5" x14ac:dyDescent="0.25">
      <c r="P334" s="187"/>
    </row>
    <row r="335" spans="16:16" ht="12.5" x14ac:dyDescent="0.25">
      <c r="P335" s="187"/>
    </row>
    <row r="336" spans="16:16" ht="12.5" x14ac:dyDescent="0.25">
      <c r="P336" s="187"/>
    </row>
    <row r="337" spans="16:16" ht="12.5" x14ac:dyDescent="0.25">
      <c r="P337" s="187"/>
    </row>
    <row r="338" spans="16:16" ht="12.5" x14ac:dyDescent="0.25">
      <c r="P338" s="187"/>
    </row>
    <row r="339" spans="16:16" ht="12.5" x14ac:dyDescent="0.25">
      <c r="P339" s="187"/>
    </row>
    <row r="340" spans="16:16" ht="12.5" x14ac:dyDescent="0.25">
      <c r="P340" s="187"/>
    </row>
    <row r="341" spans="16:16" ht="12.5" x14ac:dyDescent="0.25">
      <c r="P341" s="187"/>
    </row>
    <row r="342" spans="16:16" ht="12.5" x14ac:dyDescent="0.25">
      <c r="P342" s="187"/>
    </row>
    <row r="343" spans="16:16" ht="12.5" x14ac:dyDescent="0.25">
      <c r="P343" s="187"/>
    </row>
    <row r="344" spans="16:16" ht="12.5" x14ac:dyDescent="0.25">
      <c r="P344" s="187"/>
    </row>
    <row r="345" spans="16:16" ht="12.5" x14ac:dyDescent="0.25">
      <c r="P345" s="187"/>
    </row>
    <row r="346" spans="16:16" ht="12.5" x14ac:dyDescent="0.25">
      <c r="P346" s="187"/>
    </row>
    <row r="347" spans="16:16" ht="12.5" x14ac:dyDescent="0.25">
      <c r="P347" s="187"/>
    </row>
    <row r="348" spans="16:16" ht="12.5" x14ac:dyDescent="0.25">
      <c r="P348" s="187"/>
    </row>
    <row r="349" spans="16:16" ht="12.5" x14ac:dyDescent="0.25">
      <c r="P349" s="187"/>
    </row>
    <row r="350" spans="16:16" ht="12.5" x14ac:dyDescent="0.25">
      <c r="P350" s="187"/>
    </row>
    <row r="351" spans="16:16" ht="12.5" x14ac:dyDescent="0.25">
      <c r="P351" s="187"/>
    </row>
    <row r="352" spans="16:16" ht="12.5" x14ac:dyDescent="0.25">
      <c r="P352" s="187"/>
    </row>
    <row r="353" spans="16:16" ht="12.5" x14ac:dyDescent="0.25">
      <c r="P353" s="187"/>
    </row>
    <row r="354" spans="16:16" ht="12.5" x14ac:dyDescent="0.25">
      <c r="P354" s="187"/>
    </row>
    <row r="355" spans="16:16" ht="12.5" x14ac:dyDescent="0.25">
      <c r="P355" s="187"/>
    </row>
    <row r="356" spans="16:16" ht="12.5" x14ac:dyDescent="0.25">
      <c r="P356" s="187"/>
    </row>
    <row r="357" spans="16:16" ht="12.5" x14ac:dyDescent="0.25">
      <c r="P357" s="187"/>
    </row>
    <row r="358" spans="16:16" ht="12.5" x14ac:dyDescent="0.25">
      <c r="P358" s="187"/>
    </row>
    <row r="359" spans="16:16" ht="12.5" x14ac:dyDescent="0.25">
      <c r="P359" s="187"/>
    </row>
    <row r="360" spans="16:16" ht="12.5" x14ac:dyDescent="0.25">
      <c r="P360" s="187"/>
    </row>
    <row r="361" spans="16:16" ht="12.5" x14ac:dyDescent="0.25">
      <c r="P361" s="187"/>
    </row>
    <row r="362" spans="16:16" ht="12.5" x14ac:dyDescent="0.25">
      <c r="P362" s="187"/>
    </row>
    <row r="363" spans="16:16" ht="12.5" x14ac:dyDescent="0.25">
      <c r="P363" s="187"/>
    </row>
    <row r="364" spans="16:16" ht="12.5" x14ac:dyDescent="0.25">
      <c r="P364" s="187"/>
    </row>
    <row r="365" spans="16:16" ht="12.5" x14ac:dyDescent="0.25">
      <c r="P365" s="187"/>
    </row>
    <row r="366" spans="16:16" ht="12.5" x14ac:dyDescent="0.25">
      <c r="P366" s="187"/>
    </row>
    <row r="367" spans="16:16" ht="12.5" x14ac:dyDescent="0.25">
      <c r="P367" s="187"/>
    </row>
    <row r="368" spans="16:16" ht="12.5" x14ac:dyDescent="0.25">
      <c r="P368" s="187"/>
    </row>
    <row r="369" spans="16:16" ht="12.5" x14ac:dyDescent="0.25">
      <c r="P369" s="187"/>
    </row>
    <row r="370" spans="16:16" ht="12.5" x14ac:dyDescent="0.25">
      <c r="P370" s="187"/>
    </row>
    <row r="371" spans="16:16" ht="12.5" x14ac:dyDescent="0.25">
      <c r="P371" s="187"/>
    </row>
    <row r="372" spans="16:16" ht="12.5" x14ac:dyDescent="0.25">
      <c r="P372" s="187"/>
    </row>
    <row r="373" spans="16:16" ht="12.5" x14ac:dyDescent="0.25">
      <c r="P373" s="187"/>
    </row>
    <row r="374" spans="16:16" ht="12.5" x14ac:dyDescent="0.25">
      <c r="P374" s="187"/>
    </row>
    <row r="375" spans="16:16" ht="12.5" x14ac:dyDescent="0.25">
      <c r="P375" s="187"/>
    </row>
    <row r="376" spans="16:16" ht="12.5" x14ac:dyDescent="0.25">
      <c r="P376" s="187"/>
    </row>
    <row r="377" spans="16:16" ht="12.5" x14ac:dyDescent="0.25">
      <c r="P377" s="187"/>
    </row>
    <row r="378" spans="16:16" ht="12.5" x14ac:dyDescent="0.25">
      <c r="P378" s="187"/>
    </row>
    <row r="379" spans="16:16" ht="12.5" x14ac:dyDescent="0.25">
      <c r="P379" s="187"/>
    </row>
    <row r="380" spans="16:16" ht="12.5" x14ac:dyDescent="0.25">
      <c r="P380" s="187"/>
    </row>
    <row r="381" spans="16:16" ht="12.5" x14ac:dyDescent="0.25">
      <c r="P381" s="187"/>
    </row>
    <row r="382" spans="16:16" ht="12.5" x14ac:dyDescent="0.25">
      <c r="P382" s="187"/>
    </row>
    <row r="383" spans="16:16" ht="12.5" x14ac:dyDescent="0.25">
      <c r="P383" s="187"/>
    </row>
    <row r="384" spans="16:16" ht="12.5" x14ac:dyDescent="0.25">
      <c r="P384" s="187"/>
    </row>
    <row r="385" spans="16:16" ht="12.5" x14ac:dyDescent="0.25">
      <c r="P385" s="187"/>
    </row>
    <row r="386" spans="16:16" ht="12.5" x14ac:dyDescent="0.25">
      <c r="P386" s="187"/>
    </row>
    <row r="387" spans="16:16" ht="12.5" x14ac:dyDescent="0.25">
      <c r="P387" s="187"/>
    </row>
    <row r="388" spans="16:16" ht="12.5" x14ac:dyDescent="0.25">
      <c r="P388" s="187"/>
    </row>
    <row r="389" spans="16:16" ht="12.5" x14ac:dyDescent="0.25">
      <c r="P389" s="187"/>
    </row>
    <row r="390" spans="16:16" ht="12.5" x14ac:dyDescent="0.25">
      <c r="P390" s="187"/>
    </row>
    <row r="391" spans="16:16" ht="12.5" x14ac:dyDescent="0.25">
      <c r="P391" s="187"/>
    </row>
    <row r="392" spans="16:16" ht="12.5" x14ac:dyDescent="0.25">
      <c r="P392" s="187"/>
    </row>
    <row r="393" spans="16:16" ht="12.5" x14ac:dyDescent="0.25">
      <c r="P393" s="187"/>
    </row>
    <row r="394" spans="16:16" ht="12.5" x14ac:dyDescent="0.25">
      <c r="P394" s="187"/>
    </row>
    <row r="395" spans="16:16" ht="12.5" x14ac:dyDescent="0.25">
      <c r="P395" s="187"/>
    </row>
    <row r="396" spans="16:16" ht="12.5" x14ac:dyDescent="0.25">
      <c r="P396" s="187"/>
    </row>
    <row r="397" spans="16:16" ht="12.5" x14ac:dyDescent="0.25">
      <c r="P397" s="187"/>
    </row>
    <row r="398" spans="16:16" ht="12.5" x14ac:dyDescent="0.25">
      <c r="P398" s="187"/>
    </row>
    <row r="399" spans="16:16" ht="12.5" x14ac:dyDescent="0.25">
      <c r="P399" s="187"/>
    </row>
    <row r="400" spans="16:16" ht="12.5" x14ac:dyDescent="0.25">
      <c r="P400" s="187"/>
    </row>
    <row r="401" spans="16:16" ht="12.5" x14ac:dyDescent="0.25">
      <c r="P401" s="187"/>
    </row>
    <row r="402" spans="16:16" ht="12.5" x14ac:dyDescent="0.25">
      <c r="P402" s="187"/>
    </row>
    <row r="403" spans="16:16" ht="12.5" x14ac:dyDescent="0.25">
      <c r="P403" s="187"/>
    </row>
    <row r="404" spans="16:16" ht="12.5" x14ac:dyDescent="0.25">
      <c r="P404" s="187"/>
    </row>
    <row r="405" spans="16:16" ht="12.5" x14ac:dyDescent="0.25">
      <c r="P405" s="187"/>
    </row>
    <row r="406" spans="16:16" ht="12.5" x14ac:dyDescent="0.25">
      <c r="P406" s="187"/>
    </row>
    <row r="407" spans="16:16" ht="12.5" x14ac:dyDescent="0.25">
      <c r="P407" s="187"/>
    </row>
    <row r="408" spans="16:16" ht="12.5" x14ac:dyDescent="0.25">
      <c r="P408" s="187"/>
    </row>
    <row r="409" spans="16:16" ht="12.5" x14ac:dyDescent="0.25">
      <c r="P409" s="187"/>
    </row>
    <row r="410" spans="16:16" ht="12.5" x14ac:dyDescent="0.25">
      <c r="P410" s="187"/>
    </row>
    <row r="411" spans="16:16" ht="12.5" x14ac:dyDescent="0.25">
      <c r="P411" s="187"/>
    </row>
    <row r="412" spans="16:16" ht="12.5" x14ac:dyDescent="0.25">
      <c r="P412" s="187"/>
    </row>
    <row r="413" spans="16:16" ht="12.5" x14ac:dyDescent="0.25">
      <c r="P413" s="187"/>
    </row>
    <row r="414" spans="16:16" ht="12.5" x14ac:dyDescent="0.25">
      <c r="P414" s="187"/>
    </row>
    <row r="415" spans="16:16" ht="12.5" x14ac:dyDescent="0.25">
      <c r="P415" s="187"/>
    </row>
    <row r="416" spans="16:16" ht="12.5" x14ac:dyDescent="0.25">
      <c r="P416" s="187"/>
    </row>
    <row r="417" spans="16:16" ht="12.5" x14ac:dyDescent="0.25">
      <c r="P417" s="187"/>
    </row>
    <row r="418" spans="16:16" ht="12.5" x14ac:dyDescent="0.25">
      <c r="P418" s="187"/>
    </row>
    <row r="419" spans="16:16" ht="12.5" x14ac:dyDescent="0.25">
      <c r="P419" s="187"/>
    </row>
    <row r="420" spans="16:16" ht="12.5" x14ac:dyDescent="0.25">
      <c r="P420" s="187"/>
    </row>
    <row r="421" spans="16:16" ht="12.5" x14ac:dyDescent="0.25">
      <c r="P421" s="187"/>
    </row>
    <row r="422" spans="16:16" ht="12.5" x14ac:dyDescent="0.25">
      <c r="P422" s="187"/>
    </row>
    <row r="423" spans="16:16" ht="12.5" x14ac:dyDescent="0.25">
      <c r="P423" s="187"/>
    </row>
    <row r="424" spans="16:16" ht="12.5" x14ac:dyDescent="0.25">
      <c r="P424" s="187"/>
    </row>
    <row r="425" spans="16:16" ht="12.5" x14ac:dyDescent="0.25">
      <c r="P425" s="187"/>
    </row>
    <row r="426" spans="16:16" ht="12.5" x14ac:dyDescent="0.25">
      <c r="P426" s="187"/>
    </row>
    <row r="427" spans="16:16" ht="12.5" x14ac:dyDescent="0.25">
      <c r="P427" s="187"/>
    </row>
    <row r="428" spans="16:16" ht="12.5" x14ac:dyDescent="0.25">
      <c r="P428" s="187"/>
    </row>
    <row r="429" spans="16:16" ht="12.5" x14ac:dyDescent="0.25">
      <c r="P429" s="187"/>
    </row>
    <row r="430" spans="16:16" ht="12.5" x14ac:dyDescent="0.25">
      <c r="P430" s="187"/>
    </row>
    <row r="431" spans="16:16" ht="12.5" x14ac:dyDescent="0.25">
      <c r="P431" s="187"/>
    </row>
    <row r="432" spans="16:16" ht="12.5" x14ac:dyDescent="0.25">
      <c r="P432" s="187"/>
    </row>
    <row r="433" spans="16:16" ht="12.5" x14ac:dyDescent="0.25">
      <c r="P433" s="187"/>
    </row>
    <row r="434" spans="16:16" ht="12.5" x14ac:dyDescent="0.25">
      <c r="P434" s="187"/>
    </row>
    <row r="435" spans="16:16" ht="12.5" x14ac:dyDescent="0.25">
      <c r="P435" s="187"/>
    </row>
    <row r="436" spans="16:16" ht="12.5" x14ac:dyDescent="0.25">
      <c r="P436" s="187"/>
    </row>
    <row r="437" spans="16:16" ht="12.5" x14ac:dyDescent="0.25">
      <c r="P437" s="187"/>
    </row>
    <row r="438" spans="16:16" ht="12.5" x14ac:dyDescent="0.25">
      <c r="P438" s="187"/>
    </row>
    <row r="439" spans="16:16" ht="12.5" x14ac:dyDescent="0.25">
      <c r="P439" s="187"/>
    </row>
    <row r="440" spans="16:16" ht="12.5" x14ac:dyDescent="0.25">
      <c r="P440" s="187"/>
    </row>
    <row r="441" spans="16:16" ht="12.5" x14ac:dyDescent="0.25">
      <c r="P441" s="187"/>
    </row>
    <row r="442" spans="16:16" ht="12.5" x14ac:dyDescent="0.25">
      <c r="P442" s="187"/>
    </row>
    <row r="443" spans="16:16" ht="12.5" x14ac:dyDescent="0.25">
      <c r="P443" s="187"/>
    </row>
    <row r="444" spans="16:16" ht="12.5" x14ac:dyDescent="0.25">
      <c r="P444" s="187"/>
    </row>
    <row r="445" spans="16:16" ht="12.5" x14ac:dyDescent="0.25">
      <c r="P445" s="187"/>
    </row>
    <row r="446" spans="16:16" ht="12.5" x14ac:dyDescent="0.25">
      <c r="P446" s="187"/>
    </row>
    <row r="447" spans="16:16" ht="12.5" x14ac:dyDescent="0.25">
      <c r="P447" s="187"/>
    </row>
    <row r="448" spans="16:16" ht="12.5" x14ac:dyDescent="0.25">
      <c r="P448" s="187"/>
    </row>
    <row r="449" spans="16:16" ht="12.5" x14ac:dyDescent="0.25">
      <c r="P449" s="187"/>
    </row>
    <row r="450" spans="16:16" ht="12.5" x14ac:dyDescent="0.25">
      <c r="P450" s="187"/>
    </row>
    <row r="451" spans="16:16" ht="12.5" x14ac:dyDescent="0.25">
      <c r="P451" s="187"/>
    </row>
    <row r="452" spans="16:16" ht="12.5" x14ac:dyDescent="0.25">
      <c r="P452" s="187"/>
    </row>
    <row r="453" spans="16:16" ht="12.5" x14ac:dyDescent="0.25">
      <c r="P453" s="187"/>
    </row>
    <row r="454" spans="16:16" ht="12.5" x14ac:dyDescent="0.25">
      <c r="P454" s="187"/>
    </row>
    <row r="455" spans="16:16" ht="12.5" x14ac:dyDescent="0.25">
      <c r="P455" s="187"/>
    </row>
    <row r="456" spans="16:16" ht="12.5" x14ac:dyDescent="0.25">
      <c r="P456" s="187"/>
    </row>
    <row r="457" spans="16:16" ht="12.5" x14ac:dyDescent="0.25">
      <c r="P457" s="187"/>
    </row>
    <row r="458" spans="16:16" ht="12.5" x14ac:dyDescent="0.25">
      <c r="P458" s="187"/>
    </row>
    <row r="459" spans="16:16" ht="12.5" x14ac:dyDescent="0.25">
      <c r="P459" s="187"/>
    </row>
    <row r="460" spans="16:16" ht="12.5" x14ac:dyDescent="0.25">
      <c r="P460" s="187"/>
    </row>
    <row r="461" spans="16:16" ht="12.5" x14ac:dyDescent="0.25">
      <c r="P461" s="187"/>
    </row>
    <row r="462" spans="16:16" ht="12.5" x14ac:dyDescent="0.25">
      <c r="P462" s="187"/>
    </row>
    <row r="463" spans="16:16" ht="12.5" x14ac:dyDescent="0.25">
      <c r="P463" s="187"/>
    </row>
    <row r="464" spans="16:16" ht="12.5" x14ac:dyDescent="0.25">
      <c r="P464" s="187"/>
    </row>
    <row r="465" spans="16:16" ht="12.5" x14ac:dyDescent="0.25">
      <c r="P465" s="187"/>
    </row>
    <row r="466" spans="16:16" ht="12.5" x14ac:dyDescent="0.25">
      <c r="P466" s="187"/>
    </row>
    <row r="467" spans="16:16" ht="12.5" x14ac:dyDescent="0.25">
      <c r="P467" s="187"/>
    </row>
    <row r="468" spans="16:16" ht="12.5" x14ac:dyDescent="0.25">
      <c r="P468" s="187"/>
    </row>
    <row r="469" spans="16:16" ht="12.5" x14ac:dyDescent="0.25">
      <c r="P469" s="187"/>
    </row>
    <row r="470" spans="16:16" ht="12.5" x14ac:dyDescent="0.25">
      <c r="P470" s="187"/>
    </row>
    <row r="471" spans="16:16" ht="12.5" x14ac:dyDescent="0.25">
      <c r="P471" s="187"/>
    </row>
    <row r="472" spans="16:16" ht="12.5" x14ac:dyDescent="0.25">
      <c r="P472" s="187"/>
    </row>
    <row r="473" spans="16:16" ht="12.5" x14ac:dyDescent="0.25">
      <c r="P473" s="187"/>
    </row>
    <row r="474" spans="16:16" ht="12.5" x14ac:dyDescent="0.25">
      <c r="P474" s="187"/>
    </row>
    <row r="475" spans="16:16" ht="12.5" x14ac:dyDescent="0.25">
      <c r="P475" s="187"/>
    </row>
    <row r="476" spans="16:16" ht="12.5" x14ac:dyDescent="0.25">
      <c r="P476" s="187"/>
    </row>
    <row r="477" spans="16:16" ht="12.5" x14ac:dyDescent="0.25">
      <c r="P477" s="187"/>
    </row>
    <row r="478" spans="16:16" ht="12.5" x14ac:dyDescent="0.25">
      <c r="P478" s="187"/>
    </row>
    <row r="479" spans="16:16" ht="12.5" x14ac:dyDescent="0.25">
      <c r="P479" s="187"/>
    </row>
    <row r="480" spans="16:16" ht="12.5" x14ac:dyDescent="0.25">
      <c r="P480" s="187"/>
    </row>
    <row r="481" spans="16:16" ht="12.5" x14ac:dyDescent="0.25">
      <c r="P481" s="187"/>
    </row>
    <row r="482" spans="16:16" ht="12.5" x14ac:dyDescent="0.25">
      <c r="P482" s="187"/>
    </row>
    <row r="483" spans="16:16" ht="12.5" x14ac:dyDescent="0.25">
      <c r="P483" s="187"/>
    </row>
    <row r="484" spans="16:16" ht="12.5" x14ac:dyDescent="0.25">
      <c r="P484" s="187"/>
    </row>
    <row r="485" spans="16:16" ht="12.5" x14ac:dyDescent="0.25">
      <c r="P485" s="187"/>
    </row>
    <row r="486" spans="16:16" ht="12.5" x14ac:dyDescent="0.25">
      <c r="P486" s="187"/>
    </row>
    <row r="487" spans="16:16" ht="12.5" x14ac:dyDescent="0.25">
      <c r="P487" s="187"/>
    </row>
    <row r="488" spans="16:16" ht="12.5" x14ac:dyDescent="0.25">
      <c r="P488" s="187"/>
    </row>
    <row r="489" spans="16:16" ht="12.5" x14ac:dyDescent="0.25">
      <c r="P489" s="187"/>
    </row>
    <row r="490" spans="16:16" ht="12.5" x14ac:dyDescent="0.25">
      <c r="P490" s="187"/>
    </row>
    <row r="491" spans="16:16" ht="12.5" x14ac:dyDescent="0.25">
      <c r="P491" s="187"/>
    </row>
    <row r="492" spans="16:16" ht="12.5" x14ac:dyDescent="0.25">
      <c r="P492" s="187"/>
    </row>
    <row r="493" spans="16:16" ht="12.5" x14ac:dyDescent="0.25">
      <c r="P493" s="187"/>
    </row>
    <row r="494" spans="16:16" ht="12.5" x14ac:dyDescent="0.25">
      <c r="P494" s="187"/>
    </row>
    <row r="495" spans="16:16" ht="12.5" x14ac:dyDescent="0.25">
      <c r="P495" s="187"/>
    </row>
    <row r="496" spans="16:16" ht="12.5" x14ac:dyDescent="0.25">
      <c r="P496" s="187"/>
    </row>
    <row r="497" spans="16:16" ht="12.5" x14ac:dyDescent="0.25">
      <c r="P497" s="187"/>
    </row>
    <row r="498" spans="16:16" ht="12.5" x14ac:dyDescent="0.25">
      <c r="P498" s="187"/>
    </row>
    <row r="499" spans="16:16" ht="12.5" x14ac:dyDescent="0.25">
      <c r="P499" s="187"/>
    </row>
    <row r="500" spans="16:16" ht="12.5" x14ac:dyDescent="0.25">
      <c r="P500" s="187"/>
    </row>
    <row r="501" spans="16:16" ht="12.5" x14ac:dyDescent="0.25">
      <c r="P501" s="187"/>
    </row>
    <row r="502" spans="16:16" ht="12.5" x14ac:dyDescent="0.25">
      <c r="P502" s="187"/>
    </row>
    <row r="503" spans="16:16" ht="12.5" x14ac:dyDescent="0.25">
      <c r="P503" s="187"/>
    </row>
    <row r="504" spans="16:16" ht="12.5" x14ac:dyDescent="0.25">
      <c r="P504" s="187"/>
    </row>
    <row r="505" spans="16:16" ht="12.5" x14ac:dyDescent="0.25">
      <c r="P505" s="187"/>
    </row>
    <row r="506" spans="16:16" ht="12.5" x14ac:dyDescent="0.25">
      <c r="P506" s="187"/>
    </row>
    <row r="507" spans="16:16" ht="12.5" x14ac:dyDescent="0.25">
      <c r="P507" s="187"/>
    </row>
    <row r="508" spans="16:16" ht="12.5" x14ac:dyDescent="0.25">
      <c r="P508" s="187"/>
    </row>
    <row r="509" spans="16:16" ht="12.5" x14ac:dyDescent="0.25">
      <c r="P509" s="187"/>
    </row>
    <row r="510" spans="16:16" ht="12.5" x14ac:dyDescent="0.25">
      <c r="P510" s="187"/>
    </row>
    <row r="511" spans="16:16" ht="12.5" x14ac:dyDescent="0.25">
      <c r="P511" s="187"/>
    </row>
    <row r="512" spans="16:16" ht="12.5" x14ac:dyDescent="0.25">
      <c r="P512" s="187"/>
    </row>
    <row r="513" spans="16:16" ht="12.5" x14ac:dyDescent="0.25">
      <c r="P513" s="187"/>
    </row>
    <row r="514" spans="16:16" ht="12.5" x14ac:dyDescent="0.25">
      <c r="P514" s="187"/>
    </row>
    <row r="515" spans="16:16" ht="12.5" x14ac:dyDescent="0.25">
      <c r="P515" s="187"/>
    </row>
    <row r="516" spans="16:16" ht="12.5" x14ac:dyDescent="0.25">
      <c r="P516" s="187"/>
    </row>
    <row r="517" spans="16:16" ht="12.5" x14ac:dyDescent="0.25">
      <c r="P517" s="187"/>
    </row>
    <row r="518" spans="16:16" ht="12.5" x14ac:dyDescent="0.25">
      <c r="P518" s="187"/>
    </row>
    <row r="519" spans="16:16" ht="12.5" x14ac:dyDescent="0.25">
      <c r="P519" s="187"/>
    </row>
    <row r="520" spans="16:16" ht="12.5" x14ac:dyDescent="0.25">
      <c r="P520" s="187"/>
    </row>
    <row r="521" spans="16:16" ht="12.5" x14ac:dyDescent="0.25">
      <c r="P521" s="187"/>
    </row>
    <row r="522" spans="16:16" ht="12.5" x14ac:dyDescent="0.25">
      <c r="P522" s="187"/>
    </row>
    <row r="523" spans="16:16" ht="12.5" x14ac:dyDescent="0.25">
      <c r="P523" s="187"/>
    </row>
    <row r="524" spans="16:16" ht="12.5" x14ac:dyDescent="0.25">
      <c r="P524" s="187"/>
    </row>
    <row r="525" spans="16:16" ht="12.5" x14ac:dyDescent="0.25">
      <c r="P525" s="187"/>
    </row>
    <row r="526" spans="16:16" ht="12.5" x14ac:dyDescent="0.25">
      <c r="P526" s="187"/>
    </row>
    <row r="527" spans="16:16" ht="12.5" x14ac:dyDescent="0.25">
      <c r="P527" s="187"/>
    </row>
    <row r="528" spans="16:16" ht="12.5" x14ac:dyDescent="0.25">
      <c r="P528" s="187"/>
    </row>
    <row r="529" spans="16:16" ht="12.5" x14ac:dyDescent="0.25">
      <c r="P529" s="187"/>
    </row>
    <row r="530" spans="16:16" ht="12.5" x14ac:dyDescent="0.25">
      <c r="P530" s="187"/>
    </row>
    <row r="531" spans="16:16" ht="12.5" x14ac:dyDescent="0.25">
      <c r="P531" s="187"/>
    </row>
    <row r="532" spans="16:16" ht="12.5" x14ac:dyDescent="0.25">
      <c r="P532" s="187"/>
    </row>
    <row r="533" spans="16:16" ht="12.5" x14ac:dyDescent="0.25">
      <c r="P533" s="187"/>
    </row>
    <row r="534" spans="16:16" ht="12.5" x14ac:dyDescent="0.25">
      <c r="P534" s="187"/>
    </row>
    <row r="535" spans="16:16" ht="12.5" x14ac:dyDescent="0.25">
      <c r="P535" s="187"/>
    </row>
    <row r="536" spans="16:16" ht="12.5" x14ac:dyDescent="0.25">
      <c r="P536" s="187"/>
    </row>
    <row r="537" spans="16:16" ht="12.5" x14ac:dyDescent="0.25">
      <c r="P537" s="187"/>
    </row>
    <row r="538" spans="16:16" ht="12.5" x14ac:dyDescent="0.25">
      <c r="P538" s="187"/>
    </row>
    <row r="539" spans="16:16" ht="12.5" x14ac:dyDescent="0.25">
      <c r="P539" s="187"/>
    </row>
    <row r="540" spans="16:16" ht="12.5" x14ac:dyDescent="0.25">
      <c r="P540" s="187"/>
    </row>
    <row r="541" spans="16:16" ht="12.5" x14ac:dyDescent="0.25">
      <c r="P541" s="187"/>
    </row>
    <row r="542" spans="16:16" ht="12.5" x14ac:dyDescent="0.25">
      <c r="P542" s="187"/>
    </row>
    <row r="543" spans="16:16" ht="12.5" x14ac:dyDescent="0.25">
      <c r="P543" s="187"/>
    </row>
    <row r="544" spans="16:16" ht="12.5" x14ac:dyDescent="0.25">
      <c r="P544" s="187"/>
    </row>
    <row r="545" spans="16:16" ht="12.5" x14ac:dyDescent="0.25">
      <c r="P545" s="187"/>
    </row>
    <row r="546" spans="16:16" ht="12.5" x14ac:dyDescent="0.25">
      <c r="P546" s="187"/>
    </row>
    <row r="547" spans="16:16" ht="12.5" x14ac:dyDescent="0.25">
      <c r="P547" s="187"/>
    </row>
    <row r="548" spans="16:16" ht="12.5" x14ac:dyDescent="0.25">
      <c r="P548" s="187"/>
    </row>
    <row r="549" spans="16:16" ht="12.5" x14ac:dyDescent="0.25">
      <c r="P549" s="187"/>
    </row>
    <row r="550" spans="16:16" ht="12.5" x14ac:dyDescent="0.25">
      <c r="P550" s="187"/>
    </row>
    <row r="551" spans="16:16" ht="12.5" x14ac:dyDescent="0.25">
      <c r="P551" s="187"/>
    </row>
    <row r="552" spans="16:16" ht="12.5" x14ac:dyDescent="0.25">
      <c r="P552" s="187"/>
    </row>
    <row r="553" spans="16:16" ht="12.5" x14ac:dyDescent="0.25">
      <c r="P553" s="187"/>
    </row>
    <row r="554" spans="16:16" ht="12.5" x14ac:dyDescent="0.25">
      <c r="P554" s="187"/>
    </row>
    <row r="555" spans="16:16" ht="12.5" x14ac:dyDescent="0.25">
      <c r="P555" s="187"/>
    </row>
    <row r="556" spans="16:16" ht="12.5" x14ac:dyDescent="0.25">
      <c r="P556" s="187"/>
    </row>
    <row r="557" spans="16:16" ht="12.5" x14ac:dyDescent="0.25">
      <c r="P557" s="187"/>
    </row>
    <row r="558" spans="16:16" ht="12.5" x14ac:dyDescent="0.25">
      <c r="P558" s="187"/>
    </row>
    <row r="559" spans="16:16" ht="12.5" x14ac:dyDescent="0.25">
      <c r="P559" s="187"/>
    </row>
    <row r="560" spans="16:16" ht="12.5" x14ac:dyDescent="0.25">
      <c r="P560" s="187"/>
    </row>
    <row r="561" spans="16:16" ht="12.5" x14ac:dyDescent="0.25">
      <c r="P561" s="187"/>
    </row>
    <row r="562" spans="16:16" ht="12.5" x14ac:dyDescent="0.25">
      <c r="P562" s="187"/>
    </row>
    <row r="563" spans="16:16" ht="12.5" x14ac:dyDescent="0.25">
      <c r="P563" s="187"/>
    </row>
    <row r="564" spans="16:16" ht="12.5" x14ac:dyDescent="0.25">
      <c r="P564" s="187"/>
    </row>
    <row r="565" spans="16:16" ht="12.5" x14ac:dyDescent="0.25">
      <c r="P565" s="187"/>
    </row>
    <row r="566" spans="16:16" ht="12.5" x14ac:dyDescent="0.25">
      <c r="P566" s="187"/>
    </row>
    <row r="567" spans="16:16" ht="12.5" x14ac:dyDescent="0.25">
      <c r="P567" s="187"/>
    </row>
    <row r="568" spans="16:16" ht="12.5" x14ac:dyDescent="0.25">
      <c r="P568" s="187"/>
    </row>
    <row r="569" spans="16:16" ht="12.5" x14ac:dyDescent="0.25">
      <c r="P569" s="187"/>
    </row>
    <row r="570" spans="16:16" ht="12.5" x14ac:dyDescent="0.25">
      <c r="P570" s="187"/>
    </row>
    <row r="571" spans="16:16" ht="12.5" x14ac:dyDescent="0.25">
      <c r="P571" s="187"/>
    </row>
    <row r="572" spans="16:16" ht="12.5" x14ac:dyDescent="0.25">
      <c r="P572" s="187"/>
    </row>
    <row r="573" spans="16:16" ht="12.5" x14ac:dyDescent="0.25">
      <c r="P573" s="187"/>
    </row>
    <row r="574" spans="16:16" ht="12.5" x14ac:dyDescent="0.25">
      <c r="P574" s="187"/>
    </row>
    <row r="575" spans="16:16" ht="12.5" x14ac:dyDescent="0.25">
      <c r="P575" s="187"/>
    </row>
    <row r="576" spans="16:16" ht="12.5" x14ac:dyDescent="0.25">
      <c r="P576" s="187"/>
    </row>
    <row r="577" spans="16:16" ht="12.5" x14ac:dyDescent="0.25">
      <c r="P577" s="187"/>
    </row>
    <row r="578" spans="16:16" ht="12.5" x14ac:dyDescent="0.25">
      <c r="P578" s="187"/>
    </row>
    <row r="579" spans="16:16" ht="12.5" x14ac:dyDescent="0.25">
      <c r="P579" s="187"/>
    </row>
    <row r="580" spans="16:16" ht="12.5" x14ac:dyDescent="0.25">
      <c r="P580" s="187"/>
    </row>
    <row r="581" spans="16:16" ht="12.5" x14ac:dyDescent="0.25">
      <c r="P581" s="187"/>
    </row>
    <row r="582" spans="16:16" ht="12.5" x14ac:dyDescent="0.25">
      <c r="P582" s="187"/>
    </row>
    <row r="583" spans="16:16" ht="12.5" x14ac:dyDescent="0.25">
      <c r="P583" s="187"/>
    </row>
    <row r="584" spans="16:16" ht="12.5" x14ac:dyDescent="0.25">
      <c r="P584" s="187"/>
    </row>
    <row r="585" spans="16:16" ht="12.5" x14ac:dyDescent="0.25">
      <c r="P585" s="187"/>
    </row>
    <row r="586" spans="16:16" ht="12.5" x14ac:dyDescent="0.25">
      <c r="P586" s="187"/>
    </row>
    <row r="587" spans="16:16" ht="12.5" x14ac:dyDescent="0.25">
      <c r="P587" s="187"/>
    </row>
    <row r="588" spans="16:16" ht="12.5" x14ac:dyDescent="0.25">
      <c r="P588" s="187"/>
    </row>
    <row r="589" spans="16:16" ht="12.5" x14ac:dyDescent="0.25">
      <c r="P589" s="187"/>
    </row>
    <row r="590" spans="16:16" ht="12.5" x14ac:dyDescent="0.25">
      <c r="P590" s="187"/>
    </row>
    <row r="591" spans="16:16" ht="12.5" x14ac:dyDescent="0.25">
      <c r="P591" s="187"/>
    </row>
    <row r="592" spans="16:16" ht="12.5" x14ac:dyDescent="0.25">
      <c r="P592" s="187"/>
    </row>
    <row r="593" spans="16:16" ht="12.5" x14ac:dyDescent="0.25">
      <c r="P593" s="187"/>
    </row>
    <row r="594" spans="16:16" ht="12.5" x14ac:dyDescent="0.25">
      <c r="P594" s="187"/>
    </row>
    <row r="595" spans="16:16" ht="12.5" x14ac:dyDescent="0.25">
      <c r="P595" s="187"/>
    </row>
    <row r="596" spans="16:16" ht="12.5" x14ac:dyDescent="0.25">
      <c r="P596" s="187"/>
    </row>
    <row r="597" spans="16:16" ht="12.5" x14ac:dyDescent="0.25">
      <c r="P597" s="187"/>
    </row>
    <row r="598" spans="16:16" ht="12.5" x14ac:dyDescent="0.25">
      <c r="P598" s="187"/>
    </row>
    <row r="599" spans="16:16" ht="12.5" x14ac:dyDescent="0.25">
      <c r="P599" s="187"/>
    </row>
    <row r="600" spans="16:16" ht="12.5" x14ac:dyDescent="0.25">
      <c r="P600" s="187"/>
    </row>
    <row r="601" spans="16:16" ht="12.5" x14ac:dyDescent="0.25">
      <c r="P601" s="187"/>
    </row>
    <row r="602" spans="16:16" ht="12.5" x14ac:dyDescent="0.25">
      <c r="P602" s="187"/>
    </row>
    <row r="603" spans="16:16" ht="12.5" x14ac:dyDescent="0.25">
      <c r="P603" s="187"/>
    </row>
    <row r="604" spans="16:16" ht="12.5" x14ac:dyDescent="0.25">
      <c r="P604" s="187"/>
    </row>
    <row r="605" spans="16:16" ht="12.5" x14ac:dyDescent="0.25">
      <c r="P605" s="187"/>
    </row>
    <row r="606" spans="16:16" ht="12.5" x14ac:dyDescent="0.25">
      <c r="P606" s="187"/>
    </row>
    <row r="607" spans="16:16" ht="12.5" x14ac:dyDescent="0.25">
      <c r="P607" s="187"/>
    </row>
    <row r="608" spans="16:16" ht="12.5" x14ac:dyDescent="0.25">
      <c r="P608" s="187"/>
    </row>
    <row r="609" spans="16:16" ht="12.5" x14ac:dyDescent="0.25">
      <c r="P609" s="187"/>
    </row>
    <row r="610" spans="16:16" ht="12.5" x14ac:dyDescent="0.25">
      <c r="P610" s="187"/>
    </row>
    <row r="611" spans="16:16" ht="12.5" x14ac:dyDescent="0.25">
      <c r="P611" s="187"/>
    </row>
    <row r="612" spans="16:16" ht="12.5" x14ac:dyDescent="0.25">
      <c r="P612" s="187"/>
    </row>
    <row r="613" spans="16:16" ht="12.5" x14ac:dyDescent="0.25">
      <c r="P613" s="187"/>
    </row>
    <row r="614" spans="16:16" ht="12.5" x14ac:dyDescent="0.25">
      <c r="P614" s="187"/>
    </row>
    <row r="615" spans="16:16" ht="12.5" x14ac:dyDescent="0.25">
      <c r="P615" s="187"/>
    </row>
    <row r="616" spans="16:16" ht="12.5" x14ac:dyDescent="0.25">
      <c r="P616" s="187"/>
    </row>
    <row r="617" spans="16:16" ht="12.5" x14ac:dyDescent="0.25">
      <c r="P617" s="187"/>
    </row>
    <row r="618" spans="16:16" ht="12.5" x14ac:dyDescent="0.25">
      <c r="P618" s="187"/>
    </row>
    <row r="619" spans="16:16" ht="12.5" x14ac:dyDescent="0.25">
      <c r="P619" s="187"/>
    </row>
    <row r="620" spans="16:16" ht="12.5" x14ac:dyDescent="0.25">
      <c r="P620" s="187"/>
    </row>
    <row r="621" spans="16:16" ht="12.5" x14ac:dyDescent="0.25">
      <c r="P621" s="187"/>
    </row>
    <row r="622" spans="16:16" ht="12.5" x14ac:dyDescent="0.25">
      <c r="P622" s="187"/>
    </row>
    <row r="623" spans="16:16" ht="12.5" x14ac:dyDescent="0.25">
      <c r="P623" s="187"/>
    </row>
    <row r="624" spans="16:16" ht="12.5" x14ac:dyDescent="0.25">
      <c r="P624" s="187"/>
    </row>
    <row r="625" spans="16:16" ht="12.5" x14ac:dyDescent="0.25">
      <c r="P625" s="187"/>
    </row>
    <row r="626" spans="16:16" ht="12.5" x14ac:dyDescent="0.25">
      <c r="P626" s="187"/>
    </row>
    <row r="627" spans="16:16" ht="12.5" x14ac:dyDescent="0.25">
      <c r="P627" s="187"/>
    </row>
    <row r="628" spans="16:16" ht="12.5" x14ac:dyDescent="0.25">
      <c r="P628" s="187"/>
    </row>
    <row r="629" spans="16:16" ht="12.5" x14ac:dyDescent="0.25">
      <c r="P629" s="187"/>
    </row>
    <row r="630" spans="16:16" ht="12.5" x14ac:dyDescent="0.25">
      <c r="P630" s="187"/>
    </row>
    <row r="631" spans="16:16" ht="12.5" x14ac:dyDescent="0.25">
      <c r="P631" s="187"/>
    </row>
    <row r="632" spans="16:16" ht="12.5" x14ac:dyDescent="0.25">
      <c r="P632" s="187"/>
    </row>
    <row r="633" spans="16:16" ht="12.5" x14ac:dyDescent="0.25">
      <c r="P633" s="187"/>
    </row>
    <row r="634" spans="16:16" ht="12.5" x14ac:dyDescent="0.25">
      <c r="P634" s="187"/>
    </row>
    <row r="635" spans="16:16" ht="12.5" x14ac:dyDescent="0.25">
      <c r="P635" s="187"/>
    </row>
    <row r="636" spans="16:16" ht="12.5" x14ac:dyDescent="0.25">
      <c r="P636" s="187"/>
    </row>
    <row r="637" spans="16:16" ht="12.5" x14ac:dyDescent="0.25">
      <c r="P637" s="187"/>
    </row>
    <row r="638" spans="16:16" ht="12.5" x14ac:dyDescent="0.25">
      <c r="P638" s="187"/>
    </row>
    <row r="639" spans="16:16" ht="12.5" x14ac:dyDescent="0.25">
      <c r="P639" s="187"/>
    </row>
    <row r="640" spans="16:16" ht="12.5" x14ac:dyDescent="0.25">
      <c r="P640" s="187"/>
    </row>
    <row r="641" spans="16:16" ht="12.5" x14ac:dyDescent="0.25">
      <c r="P641" s="187"/>
    </row>
    <row r="642" spans="16:16" ht="12.5" x14ac:dyDescent="0.25">
      <c r="P642" s="187"/>
    </row>
    <row r="643" spans="16:16" ht="12.5" x14ac:dyDescent="0.25">
      <c r="P643" s="187"/>
    </row>
    <row r="644" spans="16:16" ht="12.5" x14ac:dyDescent="0.25">
      <c r="P644" s="187"/>
    </row>
    <row r="645" spans="16:16" ht="12.5" x14ac:dyDescent="0.25">
      <c r="P645" s="187"/>
    </row>
    <row r="646" spans="16:16" ht="12.5" x14ac:dyDescent="0.25">
      <c r="P646" s="187"/>
    </row>
    <row r="647" spans="16:16" ht="12.5" x14ac:dyDescent="0.25">
      <c r="P647" s="187"/>
    </row>
    <row r="648" spans="16:16" ht="12.5" x14ac:dyDescent="0.25">
      <c r="P648" s="187"/>
    </row>
    <row r="649" spans="16:16" ht="12.5" x14ac:dyDescent="0.25">
      <c r="P649" s="187"/>
    </row>
    <row r="650" spans="16:16" ht="12.5" x14ac:dyDescent="0.25">
      <c r="P650" s="187"/>
    </row>
    <row r="651" spans="16:16" ht="12.5" x14ac:dyDescent="0.25">
      <c r="P651" s="187"/>
    </row>
    <row r="652" spans="16:16" ht="12.5" x14ac:dyDescent="0.25">
      <c r="P652" s="187"/>
    </row>
    <row r="653" spans="16:16" ht="12.5" x14ac:dyDescent="0.25">
      <c r="P653" s="187"/>
    </row>
    <row r="654" spans="16:16" ht="12.5" x14ac:dyDescent="0.25">
      <c r="P654" s="187"/>
    </row>
    <row r="655" spans="16:16" ht="12.5" x14ac:dyDescent="0.25">
      <c r="P655" s="187"/>
    </row>
    <row r="656" spans="16:16" ht="12.5" x14ac:dyDescent="0.25">
      <c r="P656" s="187"/>
    </row>
    <row r="657" spans="16:16" ht="12.5" x14ac:dyDescent="0.25">
      <c r="P657" s="187"/>
    </row>
    <row r="658" spans="16:16" ht="12.5" x14ac:dyDescent="0.25">
      <c r="P658" s="187"/>
    </row>
    <row r="659" spans="16:16" ht="12.5" x14ac:dyDescent="0.25">
      <c r="P659" s="187"/>
    </row>
    <row r="660" spans="16:16" ht="12.5" x14ac:dyDescent="0.25">
      <c r="P660" s="187"/>
    </row>
    <row r="661" spans="16:16" ht="12.5" x14ac:dyDescent="0.25">
      <c r="P661" s="187"/>
    </row>
    <row r="662" spans="16:16" ht="12.5" x14ac:dyDescent="0.25">
      <c r="P662" s="187"/>
    </row>
    <row r="663" spans="16:16" ht="12.5" x14ac:dyDescent="0.25">
      <c r="P663" s="187"/>
    </row>
    <row r="664" spans="16:16" ht="12.5" x14ac:dyDescent="0.25">
      <c r="P664" s="187"/>
    </row>
    <row r="665" spans="16:16" ht="12.5" x14ac:dyDescent="0.25">
      <c r="P665" s="187"/>
    </row>
    <row r="666" spans="16:16" ht="12.5" x14ac:dyDescent="0.25">
      <c r="P666" s="187"/>
    </row>
    <row r="667" spans="16:16" ht="12.5" x14ac:dyDescent="0.25">
      <c r="P667" s="187"/>
    </row>
    <row r="668" spans="16:16" ht="12.5" x14ac:dyDescent="0.25">
      <c r="P668" s="187"/>
    </row>
    <row r="669" spans="16:16" ht="12.5" x14ac:dyDescent="0.25">
      <c r="P669" s="187"/>
    </row>
    <row r="670" spans="16:16" ht="12.5" x14ac:dyDescent="0.25">
      <c r="P670" s="187"/>
    </row>
    <row r="671" spans="16:16" ht="12.5" x14ac:dyDescent="0.25">
      <c r="P671" s="187"/>
    </row>
    <row r="672" spans="16:16" ht="12.5" x14ac:dyDescent="0.25">
      <c r="P672" s="187"/>
    </row>
    <row r="673" spans="16:16" ht="12.5" x14ac:dyDescent="0.25">
      <c r="P673" s="187"/>
    </row>
    <row r="674" spans="16:16" ht="12.5" x14ac:dyDescent="0.25">
      <c r="P674" s="187"/>
    </row>
    <row r="675" spans="16:16" ht="12.5" x14ac:dyDescent="0.25">
      <c r="P675" s="187"/>
    </row>
    <row r="676" spans="16:16" ht="12.5" x14ac:dyDescent="0.25">
      <c r="P676" s="187"/>
    </row>
    <row r="677" spans="16:16" ht="12.5" x14ac:dyDescent="0.25">
      <c r="P677" s="187"/>
    </row>
    <row r="678" spans="16:16" ht="12.5" x14ac:dyDescent="0.25">
      <c r="P678" s="187"/>
    </row>
    <row r="679" spans="16:16" ht="12.5" x14ac:dyDescent="0.25">
      <c r="P679" s="187"/>
    </row>
    <row r="680" spans="16:16" ht="12.5" x14ac:dyDescent="0.25">
      <c r="P680" s="187"/>
    </row>
    <row r="681" spans="16:16" ht="12.5" x14ac:dyDescent="0.25">
      <c r="P681" s="187"/>
    </row>
    <row r="682" spans="16:16" ht="12.5" x14ac:dyDescent="0.25">
      <c r="P682" s="187"/>
    </row>
    <row r="683" spans="16:16" ht="12.5" x14ac:dyDescent="0.25">
      <c r="P683" s="187"/>
    </row>
    <row r="684" spans="16:16" ht="12.5" x14ac:dyDescent="0.25">
      <c r="P684" s="187"/>
    </row>
    <row r="685" spans="16:16" ht="12.5" x14ac:dyDescent="0.25">
      <c r="P685" s="187"/>
    </row>
    <row r="686" spans="16:16" ht="12.5" x14ac:dyDescent="0.25">
      <c r="P686" s="187"/>
    </row>
    <row r="687" spans="16:16" ht="12.5" x14ac:dyDescent="0.25">
      <c r="P687" s="187"/>
    </row>
    <row r="688" spans="16:16" ht="12.5" x14ac:dyDescent="0.25">
      <c r="P688" s="187"/>
    </row>
    <row r="689" spans="16:16" ht="12.5" x14ac:dyDescent="0.25">
      <c r="P689" s="187"/>
    </row>
    <row r="690" spans="16:16" ht="12.5" x14ac:dyDescent="0.25">
      <c r="P690" s="187"/>
    </row>
    <row r="691" spans="16:16" ht="12.5" x14ac:dyDescent="0.25">
      <c r="P691" s="187"/>
    </row>
    <row r="692" spans="16:16" ht="12.5" x14ac:dyDescent="0.25">
      <c r="P692" s="187"/>
    </row>
    <row r="693" spans="16:16" ht="12.5" x14ac:dyDescent="0.25">
      <c r="P693" s="187"/>
    </row>
    <row r="694" spans="16:16" ht="12.5" x14ac:dyDescent="0.25">
      <c r="P694" s="187"/>
    </row>
    <row r="695" spans="16:16" ht="12.5" x14ac:dyDescent="0.25">
      <c r="P695" s="187"/>
    </row>
    <row r="696" spans="16:16" ht="12.5" x14ac:dyDescent="0.25">
      <c r="P696" s="187"/>
    </row>
    <row r="697" spans="16:16" ht="12.5" x14ac:dyDescent="0.25">
      <c r="P697" s="187"/>
    </row>
    <row r="698" spans="16:16" ht="12.5" x14ac:dyDescent="0.25">
      <c r="P698" s="187"/>
    </row>
    <row r="699" spans="16:16" ht="12.5" x14ac:dyDescent="0.25">
      <c r="P699" s="187"/>
    </row>
    <row r="700" spans="16:16" ht="12.5" x14ac:dyDescent="0.25">
      <c r="P700" s="187"/>
    </row>
    <row r="701" spans="16:16" ht="12.5" x14ac:dyDescent="0.25">
      <c r="P701" s="187"/>
    </row>
    <row r="702" spans="16:16" ht="12.5" x14ac:dyDescent="0.25">
      <c r="P702" s="187"/>
    </row>
    <row r="703" spans="16:16" ht="12.5" x14ac:dyDescent="0.25">
      <c r="P703" s="187"/>
    </row>
    <row r="704" spans="16:16" ht="12.5" x14ac:dyDescent="0.25">
      <c r="P704" s="187"/>
    </row>
    <row r="705" spans="16:16" ht="12.5" x14ac:dyDescent="0.25">
      <c r="P705" s="187"/>
    </row>
    <row r="706" spans="16:16" ht="12.5" x14ac:dyDescent="0.25">
      <c r="P706" s="187"/>
    </row>
    <row r="707" spans="16:16" ht="12.5" x14ac:dyDescent="0.25">
      <c r="P707" s="187"/>
    </row>
    <row r="708" spans="16:16" ht="12.5" x14ac:dyDescent="0.25">
      <c r="P708" s="187"/>
    </row>
    <row r="709" spans="16:16" ht="12.5" x14ac:dyDescent="0.25">
      <c r="P709" s="187"/>
    </row>
    <row r="710" spans="16:16" ht="12.5" x14ac:dyDescent="0.25">
      <c r="P710" s="187"/>
    </row>
    <row r="711" spans="16:16" ht="12.5" x14ac:dyDescent="0.25">
      <c r="P711" s="187"/>
    </row>
    <row r="712" spans="16:16" ht="12.5" x14ac:dyDescent="0.25">
      <c r="P712" s="187"/>
    </row>
    <row r="713" spans="16:16" ht="12.5" x14ac:dyDescent="0.25">
      <c r="P713" s="187"/>
    </row>
    <row r="714" spans="16:16" ht="12.5" x14ac:dyDescent="0.25">
      <c r="P714" s="187"/>
    </row>
    <row r="715" spans="16:16" ht="12.5" x14ac:dyDescent="0.25">
      <c r="P715" s="187"/>
    </row>
    <row r="716" spans="16:16" ht="12.5" x14ac:dyDescent="0.25">
      <c r="P716" s="187"/>
    </row>
    <row r="717" spans="16:16" ht="12.5" x14ac:dyDescent="0.25">
      <c r="P717" s="187"/>
    </row>
    <row r="718" spans="16:16" ht="12.5" x14ac:dyDescent="0.25">
      <c r="P718" s="187"/>
    </row>
    <row r="719" spans="16:16" ht="12.5" x14ac:dyDescent="0.25">
      <c r="P719" s="187"/>
    </row>
    <row r="720" spans="16:16" ht="12.5" x14ac:dyDescent="0.25">
      <c r="P720" s="187"/>
    </row>
    <row r="721" spans="16:16" ht="12.5" x14ac:dyDescent="0.25">
      <c r="P721" s="187"/>
    </row>
    <row r="722" spans="16:16" ht="12.5" x14ac:dyDescent="0.25">
      <c r="P722" s="187"/>
    </row>
    <row r="723" spans="16:16" ht="12.5" x14ac:dyDescent="0.25">
      <c r="P723" s="187"/>
    </row>
    <row r="724" spans="16:16" ht="12.5" x14ac:dyDescent="0.25">
      <c r="P724" s="187"/>
    </row>
    <row r="725" spans="16:16" ht="12.5" x14ac:dyDescent="0.25">
      <c r="P725" s="187"/>
    </row>
    <row r="726" spans="16:16" ht="12.5" x14ac:dyDescent="0.25">
      <c r="P726" s="187"/>
    </row>
    <row r="727" spans="16:16" ht="12.5" x14ac:dyDescent="0.25">
      <c r="P727" s="187"/>
    </row>
    <row r="728" spans="16:16" ht="12.5" x14ac:dyDescent="0.25">
      <c r="P728" s="187"/>
    </row>
    <row r="729" spans="16:16" ht="12.5" x14ac:dyDescent="0.25">
      <c r="P729" s="187"/>
    </row>
    <row r="730" spans="16:16" ht="12.5" x14ac:dyDescent="0.25">
      <c r="P730" s="187"/>
    </row>
    <row r="731" spans="16:16" ht="12.5" x14ac:dyDescent="0.25">
      <c r="P731" s="187"/>
    </row>
    <row r="732" spans="16:16" ht="12.5" x14ac:dyDescent="0.25">
      <c r="P732" s="187"/>
    </row>
    <row r="733" spans="16:16" ht="12.5" x14ac:dyDescent="0.25">
      <c r="P733" s="187"/>
    </row>
    <row r="734" spans="16:16" ht="12.5" x14ac:dyDescent="0.25">
      <c r="P734" s="187"/>
    </row>
    <row r="735" spans="16:16" ht="12.5" x14ac:dyDescent="0.25">
      <c r="P735" s="187"/>
    </row>
    <row r="736" spans="16:16" ht="12.5" x14ac:dyDescent="0.25">
      <c r="P736" s="187"/>
    </row>
    <row r="737" spans="16:16" ht="12.5" x14ac:dyDescent="0.25">
      <c r="P737" s="187"/>
    </row>
    <row r="738" spans="16:16" ht="12.5" x14ac:dyDescent="0.25">
      <c r="P738" s="187"/>
    </row>
    <row r="739" spans="16:16" ht="12.5" x14ac:dyDescent="0.25">
      <c r="P739" s="187"/>
    </row>
    <row r="740" spans="16:16" ht="12.5" x14ac:dyDescent="0.25">
      <c r="P740" s="187"/>
    </row>
    <row r="741" spans="16:16" ht="12.5" x14ac:dyDescent="0.25">
      <c r="P741" s="187"/>
    </row>
    <row r="742" spans="16:16" ht="12.5" x14ac:dyDescent="0.25">
      <c r="P742" s="187"/>
    </row>
    <row r="743" spans="16:16" ht="12.5" x14ac:dyDescent="0.25">
      <c r="P743" s="187"/>
    </row>
    <row r="744" spans="16:16" ht="12.5" x14ac:dyDescent="0.25">
      <c r="P744" s="187"/>
    </row>
    <row r="745" spans="16:16" ht="12.5" x14ac:dyDescent="0.25">
      <c r="P745" s="187"/>
    </row>
    <row r="746" spans="16:16" ht="12.5" x14ac:dyDescent="0.25">
      <c r="P746" s="187"/>
    </row>
    <row r="747" spans="16:16" ht="12.5" x14ac:dyDescent="0.25">
      <c r="P747" s="187"/>
    </row>
    <row r="748" spans="16:16" ht="12.5" x14ac:dyDescent="0.25">
      <c r="P748" s="187"/>
    </row>
    <row r="749" spans="16:16" ht="12.5" x14ac:dyDescent="0.25">
      <c r="P749" s="187"/>
    </row>
    <row r="750" spans="16:16" ht="12.5" x14ac:dyDescent="0.25">
      <c r="P750" s="187"/>
    </row>
    <row r="751" spans="16:16" ht="12.5" x14ac:dyDescent="0.25">
      <c r="P751" s="187"/>
    </row>
    <row r="752" spans="16:16" ht="12.5" x14ac:dyDescent="0.25">
      <c r="P752" s="187"/>
    </row>
    <row r="753" spans="16:16" ht="12.5" x14ac:dyDescent="0.25">
      <c r="P753" s="187"/>
    </row>
    <row r="754" spans="16:16" ht="12.5" x14ac:dyDescent="0.25">
      <c r="P754" s="187"/>
    </row>
    <row r="755" spans="16:16" ht="12.5" x14ac:dyDescent="0.25">
      <c r="P755" s="187"/>
    </row>
    <row r="756" spans="16:16" ht="12.5" x14ac:dyDescent="0.25">
      <c r="P756" s="187"/>
    </row>
    <row r="757" spans="16:16" ht="12.5" x14ac:dyDescent="0.25">
      <c r="P757" s="187"/>
    </row>
    <row r="758" spans="16:16" ht="12.5" x14ac:dyDescent="0.25">
      <c r="P758" s="187"/>
    </row>
    <row r="759" spans="16:16" ht="12.5" x14ac:dyDescent="0.25">
      <c r="P759" s="187"/>
    </row>
    <row r="760" spans="16:16" ht="12.5" x14ac:dyDescent="0.25">
      <c r="P760" s="187"/>
    </row>
    <row r="761" spans="16:16" ht="12.5" x14ac:dyDescent="0.25">
      <c r="P761" s="187"/>
    </row>
    <row r="762" spans="16:16" ht="12.5" x14ac:dyDescent="0.25">
      <c r="P762" s="187"/>
    </row>
    <row r="763" spans="16:16" ht="12.5" x14ac:dyDescent="0.25">
      <c r="P763" s="187"/>
    </row>
    <row r="764" spans="16:16" ht="12.5" x14ac:dyDescent="0.25">
      <c r="P764" s="187"/>
    </row>
    <row r="765" spans="16:16" ht="12.5" x14ac:dyDescent="0.25">
      <c r="P765" s="187"/>
    </row>
    <row r="766" spans="16:16" ht="12.5" x14ac:dyDescent="0.25">
      <c r="P766" s="187"/>
    </row>
    <row r="767" spans="16:16" ht="12.5" x14ac:dyDescent="0.25">
      <c r="P767" s="187"/>
    </row>
    <row r="768" spans="16:16" ht="12.5" x14ac:dyDescent="0.25">
      <c r="P768" s="187"/>
    </row>
    <row r="769" spans="16:16" ht="12.5" x14ac:dyDescent="0.25">
      <c r="P769" s="187"/>
    </row>
    <row r="770" spans="16:16" ht="12.5" x14ac:dyDescent="0.25">
      <c r="P770" s="187"/>
    </row>
    <row r="771" spans="16:16" ht="12.5" x14ac:dyDescent="0.25">
      <c r="P771" s="187"/>
    </row>
    <row r="772" spans="16:16" ht="12.5" x14ac:dyDescent="0.25">
      <c r="P772" s="187"/>
    </row>
    <row r="773" spans="16:16" ht="12.5" x14ac:dyDescent="0.25">
      <c r="P773" s="187"/>
    </row>
    <row r="774" spans="16:16" ht="12.5" x14ac:dyDescent="0.25">
      <c r="P774" s="187"/>
    </row>
    <row r="775" spans="16:16" ht="12.5" x14ac:dyDescent="0.25">
      <c r="P775" s="187"/>
    </row>
    <row r="776" spans="16:16" ht="12.5" x14ac:dyDescent="0.25">
      <c r="P776" s="187"/>
    </row>
    <row r="777" spans="16:16" ht="12.5" x14ac:dyDescent="0.25">
      <c r="P777" s="187"/>
    </row>
    <row r="778" spans="16:16" ht="12.5" x14ac:dyDescent="0.25">
      <c r="P778" s="187"/>
    </row>
    <row r="779" spans="16:16" ht="12.5" x14ac:dyDescent="0.25">
      <c r="P779" s="187"/>
    </row>
    <row r="780" spans="16:16" ht="12.5" x14ac:dyDescent="0.25">
      <c r="P780" s="187"/>
    </row>
    <row r="781" spans="16:16" ht="12.5" x14ac:dyDescent="0.25">
      <c r="P781" s="187"/>
    </row>
    <row r="782" spans="16:16" ht="12.5" x14ac:dyDescent="0.25">
      <c r="P782" s="187"/>
    </row>
    <row r="783" spans="16:16" ht="12.5" x14ac:dyDescent="0.25">
      <c r="P783" s="187"/>
    </row>
    <row r="784" spans="16:16" ht="12.5" x14ac:dyDescent="0.25">
      <c r="P784" s="187"/>
    </row>
    <row r="785" spans="16:16" ht="12.5" x14ac:dyDescent="0.25">
      <c r="P785" s="187"/>
    </row>
    <row r="786" spans="16:16" ht="12.5" x14ac:dyDescent="0.25">
      <c r="P786" s="187"/>
    </row>
    <row r="787" spans="16:16" ht="12.5" x14ac:dyDescent="0.25">
      <c r="P787" s="187"/>
    </row>
    <row r="788" spans="16:16" ht="12.5" x14ac:dyDescent="0.25">
      <c r="P788" s="187"/>
    </row>
    <row r="789" spans="16:16" ht="12.5" x14ac:dyDescent="0.25">
      <c r="P789" s="187"/>
    </row>
    <row r="790" spans="16:16" ht="12.5" x14ac:dyDescent="0.25">
      <c r="P790" s="187"/>
    </row>
    <row r="791" spans="16:16" ht="12.5" x14ac:dyDescent="0.25">
      <c r="P791" s="187"/>
    </row>
    <row r="792" spans="16:16" ht="12.5" x14ac:dyDescent="0.25">
      <c r="P792" s="187"/>
    </row>
    <row r="793" spans="16:16" ht="12.5" x14ac:dyDescent="0.25">
      <c r="P793" s="187"/>
    </row>
    <row r="794" spans="16:16" ht="12.5" x14ac:dyDescent="0.25">
      <c r="P794" s="187"/>
    </row>
    <row r="795" spans="16:16" ht="12.5" x14ac:dyDescent="0.25">
      <c r="P795" s="187"/>
    </row>
    <row r="796" spans="16:16" ht="12.5" x14ac:dyDescent="0.25">
      <c r="P796" s="187"/>
    </row>
    <row r="797" spans="16:16" ht="12.5" x14ac:dyDescent="0.25">
      <c r="P797" s="187"/>
    </row>
    <row r="798" spans="16:16" ht="12.5" x14ac:dyDescent="0.25">
      <c r="P798" s="187"/>
    </row>
    <row r="799" spans="16:16" ht="12.5" x14ac:dyDescent="0.25">
      <c r="P799" s="187"/>
    </row>
    <row r="800" spans="16:16" ht="12.5" x14ac:dyDescent="0.25">
      <c r="P800" s="187"/>
    </row>
    <row r="801" spans="16:16" ht="12.5" x14ac:dyDescent="0.25">
      <c r="P801" s="187"/>
    </row>
    <row r="802" spans="16:16" ht="12.5" x14ac:dyDescent="0.25">
      <c r="P802" s="187"/>
    </row>
    <row r="803" spans="16:16" ht="12.5" x14ac:dyDescent="0.25">
      <c r="P803" s="187"/>
    </row>
    <row r="804" spans="16:16" ht="12.5" x14ac:dyDescent="0.25">
      <c r="P804" s="187"/>
    </row>
    <row r="805" spans="16:16" ht="12.5" x14ac:dyDescent="0.25">
      <c r="P805" s="187"/>
    </row>
    <row r="806" spans="16:16" ht="12.5" x14ac:dyDescent="0.25">
      <c r="P806" s="187"/>
    </row>
    <row r="807" spans="16:16" ht="12.5" x14ac:dyDescent="0.25">
      <c r="P807" s="187"/>
    </row>
    <row r="808" spans="16:16" ht="12.5" x14ac:dyDescent="0.25">
      <c r="P808" s="187"/>
    </row>
    <row r="809" spans="16:16" ht="12.5" x14ac:dyDescent="0.25">
      <c r="P809" s="187"/>
    </row>
    <row r="810" spans="16:16" ht="12.5" x14ac:dyDescent="0.25">
      <c r="P810" s="187"/>
    </row>
    <row r="811" spans="16:16" ht="12.5" x14ac:dyDescent="0.25">
      <c r="P811" s="187"/>
    </row>
    <row r="812" spans="16:16" ht="12.5" x14ac:dyDescent="0.25">
      <c r="P812" s="187"/>
    </row>
    <row r="813" spans="16:16" ht="12.5" x14ac:dyDescent="0.25">
      <c r="P813" s="187"/>
    </row>
    <row r="814" spans="16:16" ht="12.5" x14ac:dyDescent="0.25">
      <c r="P814" s="187"/>
    </row>
    <row r="815" spans="16:16" ht="12.5" x14ac:dyDescent="0.25">
      <c r="P815" s="187"/>
    </row>
    <row r="816" spans="16:16" ht="12.5" x14ac:dyDescent="0.25">
      <c r="P816" s="187"/>
    </row>
    <row r="817" spans="16:16" ht="12.5" x14ac:dyDescent="0.25">
      <c r="P817" s="187"/>
    </row>
    <row r="818" spans="16:16" ht="12.5" x14ac:dyDescent="0.25">
      <c r="P818" s="187"/>
    </row>
    <row r="819" spans="16:16" ht="12.5" x14ac:dyDescent="0.25">
      <c r="P819" s="187"/>
    </row>
    <row r="820" spans="16:16" ht="12.5" x14ac:dyDescent="0.25">
      <c r="P820" s="187"/>
    </row>
    <row r="821" spans="16:16" ht="12.5" x14ac:dyDescent="0.25">
      <c r="P821" s="187"/>
    </row>
    <row r="822" spans="16:16" ht="12.5" x14ac:dyDescent="0.25">
      <c r="P822" s="187"/>
    </row>
    <row r="823" spans="16:16" ht="12.5" x14ac:dyDescent="0.25">
      <c r="P823" s="187"/>
    </row>
    <row r="824" spans="16:16" ht="12.5" x14ac:dyDescent="0.25">
      <c r="P824" s="187"/>
    </row>
    <row r="825" spans="16:16" ht="12.5" x14ac:dyDescent="0.25">
      <c r="P825" s="187"/>
    </row>
    <row r="826" spans="16:16" ht="12.5" x14ac:dyDescent="0.25">
      <c r="P826" s="187"/>
    </row>
    <row r="827" spans="16:16" ht="12.5" x14ac:dyDescent="0.25">
      <c r="P827" s="187"/>
    </row>
    <row r="828" spans="16:16" ht="12.5" x14ac:dyDescent="0.25">
      <c r="P828" s="187"/>
    </row>
    <row r="829" spans="16:16" ht="12.5" x14ac:dyDescent="0.25">
      <c r="P829" s="187"/>
    </row>
    <row r="830" spans="16:16" ht="12.5" x14ac:dyDescent="0.25">
      <c r="P830" s="187"/>
    </row>
    <row r="831" spans="16:16" ht="12.5" x14ac:dyDescent="0.25">
      <c r="P831" s="187"/>
    </row>
    <row r="832" spans="16:16" ht="12.5" x14ac:dyDescent="0.25">
      <c r="P832" s="187"/>
    </row>
    <row r="833" spans="16:16" ht="12.5" x14ac:dyDescent="0.25">
      <c r="P833" s="187"/>
    </row>
    <row r="834" spans="16:16" ht="12.5" x14ac:dyDescent="0.25">
      <c r="P834" s="187"/>
    </row>
    <row r="835" spans="16:16" ht="12.5" x14ac:dyDescent="0.25">
      <c r="P835" s="187"/>
    </row>
    <row r="836" spans="16:16" ht="12.5" x14ac:dyDescent="0.25">
      <c r="P836" s="187"/>
    </row>
    <row r="837" spans="16:16" ht="12.5" x14ac:dyDescent="0.25">
      <c r="P837" s="187"/>
    </row>
    <row r="838" spans="16:16" ht="12.5" x14ac:dyDescent="0.25">
      <c r="P838" s="187"/>
    </row>
    <row r="839" spans="16:16" ht="12.5" x14ac:dyDescent="0.25">
      <c r="P839" s="187"/>
    </row>
    <row r="840" spans="16:16" ht="12.5" x14ac:dyDescent="0.25">
      <c r="P840" s="187"/>
    </row>
    <row r="841" spans="16:16" ht="12.5" x14ac:dyDescent="0.25">
      <c r="P841" s="187"/>
    </row>
    <row r="842" spans="16:16" ht="12.5" x14ac:dyDescent="0.25">
      <c r="P842" s="187"/>
    </row>
    <row r="843" spans="16:16" ht="12.5" x14ac:dyDescent="0.25">
      <c r="P843" s="187"/>
    </row>
    <row r="844" spans="16:16" ht="12.5" x14ac:dyDescent="0.25">
      <c r="P844" s="187"/>
    </row>
    <row r="845" spans="16:16" ht="12.5" x14ac:dyDescent="0.25">
      <c r="P845" s="187"/>
    </row>
    <row r="846" spans="16:16" ht="12.5" x14ac:dyDescent="0.25">
      <c r="P846" s="187"/>
    </row>
    <row r="847" spans="16:16" ht="12.5" x14ac:dyDescent="0.25">
      <c r="P847" s="187"/>
    </row>
    <row r="848" spans="16:16" ht="12.5" x14ac:dyDescent="0.25">
      <c r="P848" s="187"/>
    </row>
    <row r="849" spans="16:16" ht="12.5" x14ac:dyDescent="0.25">
      <c r="P849" s="187"/>
    </row>
    <row r="850" spans="16:16" ht="12.5" x14ac:dyDescent="0.25">
      <c r="P850" s="187"/>
    </row>
    <row r="851" spans="16:16" ht="12.5" x14ac:dyDescent="0.25">
      <c r="P851" s="187"/>
    </row>
    <row r="852" spans="16:16" ht="12.5" x14ac:dyDescent="0.25">
      <c r="P852" s="187"/>
    </row>
    <row r="853" spans="16:16" ht="12.5" x14ac:dyDescent="0.25">
      <c r="P853" s="187"/>
    </row>
    <row r="854" spans="16:16" ht="12.5" x14ac:dyDescent="0.25">
      <c r="P854" s="187"/>
    </row>
    <row r="855" spans="16:16" ht="12.5" x14ac:dyDescent="0.25">
      <c r="P855" s="187"/>
    </row>
    <row r="856" spans="16:16" ht="12.5" x14ac:dyDescent="0.25">
      <c r="P856" s="187"/>
    </row>
    <row r="857" spans="16:16" ht="12.5" x14ac:dyDescent="0.25">
      <c r="P857" s="187"/>
    </row>
    <row r="858" spans="16:16" ht="12.5" x14ac:dyDescent="0.25">
      <c r="P858" s="187"/>
    </row>
    <row r="859" spans="16:16" ht="12.5" x14ac:dyDescent="0.25">
      <c r="P859" s="187"/>
    </row>
    <row r="860" spans="16:16" ht="12.5" x14ac:dyDescent="0.25">
      <c r="P860" s="187"/>
    </row>
    <row r="861" spans="16:16" ht="12.5" x14ac:dyDescent="0.25">
      <c r="P861" s="187"/>
    </row>
    <row r="862" spans="16:16" ht="12.5" x14ac:dyDescent="0.25">
      <c r="P862" s="187"/>
    </row>
    <row r="863" spans="16:16" ht="12.5" x14ac:dyDescent="0.25">
      <c r="P863" s="187"/>
    </row>
    <row r="864" spans="16:16" ht="12.5" x14ac:dyDescent="0.25">
      <c r="P864" s="187"/>
    </row>
    <row r="865" spans="16:16" ht="12.5" x14ac:dyDescent="0.25">
      <c r="P865" s="187"/>
    </row>
    <row r="866" spans="16:16" ht="12.5" x14ac:dyDescent="0.25">
      <c r="P866" s="187"/>
    </row>
    <row r="867" spans="16:16" ht="12.5" x14ac:dyDescent="0.25">
      <c r="P867" s="187"/>
    </row>
    <row r="868" spans="16:16" ht="12.5" x14ac:dyDescent="0.25">
      <c r="P868" s="187"/>
    </row>
    <row r="869" spans="16:16" ht="12.5" x14ac:dyDescent="0.25">
      <c r="P869" s="187"/>
    </row>
    <row r="870" spans="16:16" ht="12.5" x14ac:dyDescent="0.25">
      <c r="P870" s="187"/>
    </row>
    <row r="871" spans="16:16" ht="12.5" x14ac:dyDescent="0.25">
      <c r="P871" s="187"/>
    </row>
    <row r="872" spans="16:16" ht="12.5" x14ac:dyDescent="0.25">
      <c r="P872" s="187"/>
    </row>
    <row r="873" spans="16:16" ht="12.5" x14ac:dyDescent="0.25">
      <c r="P873" s="187"/>
    </row>
    <row r="874" spans="16:16" ht="12.5" x14ac:dyDescent="0.25">
      <c r="P874" s="187"/>
    </row>
    <row r="875" spans="16:16" ht="12.5" x14ac:dyDescent="0.25">
      <c r="P875" s="187"/>
    </row>
    <row r="876" spans="16:16" ht="12.5" x14ac:dyDescent="0.25">
      <c r="P876" s="187"/>
    </row>
    <row r="877" spans="16:16" ht="12.5" x14ac:dyDescent="0.25">
      <c r="P877" s="187"/>
    </row>
    <row r="878" spans="16:16" ht="12.5" x14ac:dyDescent="0.25">
      <c r="P878" s="187"/>
    </row>
    <row r="879" spans="16:16" ht="12.5" x14ac:dyDescent="0.25">
      <c r="P879" s="187"/>
    </row>
    <row r="880" spans="16:16" ht="12.5" x14ac:dyDescent="0.25">
      <c r="P880" s="187"/>
    </row>
    <row r="881" spans="16:16" ht="12.5" x14ac:dyDescent="0.25">
      <c r="P881" s="187"/>
    </row>
    <row r="882" spans="16:16" ht="12.5" x14ac:dyDescent="0.25">
      <c r="P882" s="187"/>
    </row>
    <row r="883" spans="16:16" ht="12.5" x14ac:dyDescent="0.25">
      <c r="P883" s="187"/>
    </row>
    <row r="884" spans="16:16" ht="12.5" x14ac:dyDescent="0.25">
      <c r="P884" s="187"/>
    </row>
    <row r="885" spans="16:16" ht="12.5" x14ac:dyDescent="0.25">
      <c r="P885" s="187"/>
    </row>
    <row r="886" spans="16:16" ht="12.5" x14ac:dyDescent="0.25">
      <c r="P886" s="187"/>
    </row>
    <row r="887" spans="16:16" ht="12.5" x14ac:dyDescent="0.25">
      <c r="P887" s="187"/>
    </row>
    <row r="888" spans="16:16" ht="12.5" x14ac:dyDescent="0.25">
      <c r="P888" s="187"/>
    </row>
    <row r="889" spans="16:16" ht="12.5" x14ac:dyDescent="0.25">
      <c r="P889" s="187"/>
    </row>
    <row r="890" spans="16:16" ht="12.5" x14ac:dyDescent="0.25">
      <c r="P890" s="187"/>
    </row>
    <row r="891" spans="16:16" ht="12.5" x14ac:dyDescent="0.25">
      <c r="P891" s="187"/>
    </row>
    <row r="892" spans="16:16" ht="12.5" x14ac:dyDescent="0.25">
      <c r="P892" s="187"/>
    </row>
    <row r="893" spans="16:16" ht="12.5" x14ac:dyDescent="0.25">
      <c r="P893" s="187"/>
    </row>
    <row r="894" spans="16:16" ht="12.5" x14ac:dyDescent="0.25">
      <c r="P894" s="187"/>
    </row>
    <row r="895" spans="16:16" ht="12.5" x14ac:dyDescent="0.25">
      <c r="P895" s="187"/>
    </row>
    <row r="896" spans="16:16" ht="12.5" x14ac:dyDescent="0.25">
      <c r="P896" s="187"/>
    </row>
    <row r="897" spans="16:16" ht="12.5" x14ac:dyDescent="0.25">
      <c r="P897" s="187"/>
    </row>
    <row r="898" spans="16:16" ht="12.5" x14ac:dyDescent="0.25">
      <c r="P898" s="187"/>
    </row>
    <row r="899" spans="16:16" ht="12.5" x14ac:dyDescent="0.25">
      <c r="P899" s="187"/>
    </row>
    <row r="900" spans="16:16" ht="12.5" x14ac:dyDescent="0.25">
      <c r="P900" s="187"/>
    </row>
    <row r="901" spans="16:16" ht="12.5" x14ac:dyDescent="0.25">
      <c r="P901" s="187"/>
    </row>
    <row r="902" spans="16:16" ht="12.5" x14ac:dyDescent="0.25">
      <c r="P902" s="187"/>
    </row>
    <row r="903" spans="16:16" ht="12.5" x14ac:dyDescent="0.25">
      <c r="P903" s="187"/>
    </row>
    <row r="904" spans="16:16" ht="12.5" x14ac:dyDescent="0.25">
      <c r="P904" s="187"/>
    </row>
    <row r="905" spans="16:16" ht="12.5" x14ac:dyDescent="0.25">
      <c r="P905" s="187"/>
    </row>
    <row r="906" spans="16:16" ht="12.5" x14ac:dyDescent="0.25">
      <c r="P906" s="187"/>
    </row>
    <row r="907" spans="16:16" ht="12.5" x14ac:dyDescent="0.25">
      <c r="P907" s="187"/>
    </row>
    <row r="908" spans="16:16" ht="12.5" x14ac:dyDescent="0.25">
      <c r="P908" s="187"/>
    </row>
    <row r="909" spans="16:16" ht="12.5" x14ac:dyDescent="0.25">
      <c r="P909" s="187"/>
    </row>
    <row r="910" spans="16:16" ht="12.5" x14ac:dyDescent="0.25">
      <c r="P910" s="187"/>
    </row>
    <row r="911" spans="16:16" ht="12.5" x14ac:dyDescent="0.25">
      <c r="P911" s="187"/>
    </row>
    <row r="912" spans="16:16" ht="12.5" x14ac:dyDescent="0.25">
      <c r="P912" s="187"/>
    </row>
    <row r="913" spans="16:16" ht="12.5" x14ac:dyDescent="0.25">
      <c r="P913" s="187"/>
    </row>
    <row r="914" spans="16:16" ht="12.5" x14ac:dyDescent="0.25">
      <c r="P914" s="187"/>
    </row>
    <row r="915" spans="16:16" ht="12.5" x14ac:dyDescent="0.25">
      <c r="P915" s="187"/>
    </row>
    <row r="916" spans="16:16" ht="12.5" x14ac:dyDescent="0.25">
      <c r="P916" s="187"/>
    </row>
    <row r="917" spans="16:16" ht="12.5" x14ac:dyDescent="0.25">
      <c r="P917" s="187"/>
    </row>
    <row r="918" spans="16:16" ht="12.5" x14ac:dyDescent="0.25">
      <c r="P918" s="187"/>
    </row>
    <row r="919" spans="16:16" ht="12.5" x14ac:dyDescent="0.25">
      <c r="P919" s="187"/>
    </row>
    <row r="920" spans="16:16" ht="12.5" x14ac:dyDescent="0.25">
      <c r="P920" s="187"/>
    </row>
    <row r="921" spans="16:16" ht="12.5" x14ac:dyDescent="0.25">
      <c r="P921" s="187"/>
    </row>
    <row r="922" spans="16:16" ht="12.5" x14ac:dyDescent="0.25">
      <c r="P922" s="187"/>
    </row>
    <row r="923" spans="16:16" ht="12.5" x14ac:dyDescent="0.25">
      <c r="P923" s="187"/>
    </row>
    <row r="924" spans="16:16" ht="12.5" x14ac:dyDescent="0.25">
      <c r="P924" s="187"/>
    </row>
    <row r="925" spans="16:16" ht="12.5" x14ac:dyDescent="0.25">
      <c r="P925" s="187"/>
    </row>
    <row r="926" spans="16:16" ht="12.5" x14ac:dyDescent="0.25">
      <c r="P926" s="187"/>
    </row>
    <row r="927" spans="16:16" ht="12.5" x14ac:dyDescent="0.25">
      <c r="P927" s="187"/>
    </row>
    <row r="928" spans="16:16" ht="12.5" x14ac:dyDescent="0.25">
      <c r="P928" s="187"/>
    </row>
    <row r="929" spans="16:16" ht="12.5" x14ac:dyDescent="0.25">
      <c r="P929" s="187"/>
    </row>
    <row r="930" spans="16:16" ht="12.5" x14ac:dyDescent="0.25">
      <c r="P930" s="187"/>
    </row>
    <row r="931" spans="16:16" ht="12.5" x14ac:dyDescent="0.25">
      <c r="P931" s="187"/>
    </row>
    <row r="932" spans="16:16" ht="12.5" x14ac:dyDescent="0.25">
      <c r="P932" s="187"/>
    </row>
    <row r="933" spans="16:16" ht="12.5" x14ac:dyDescent="0.25">
      <c r="P933" s="187"/>
    </row>
    <row r="934" spans="16:16" ht="12.5" x14ac:dyDescent="0.25">
      <c r="P934" s="187"/>
    </row>
    <row r="935" spans="16:16" ht="12.5" x14ac:dyDescent="0.25">
      <c r="P935" s="187"/>
    </row>
    <row r="936" spans="16:16" ht="12.5" x14ac:dyDescent="0.25">
      <c r="P936" s="187"/>
    </row>
    <row r="937" spans="16:16" ht="12.5" x14ac:dyDescent="0.25">
      <c r="P937" s="187"/>
    </row>
    <row r="938" spans="16:16" ht="12.5" x14ac:dyDescent="0.25">
      <c r="P938" s="187"/>
    </row>
    <row r="939" spans="16:16" ht="12.5" x14ac:dyDescent="0.25">
      <c r="P939" s="187"/>
    </row>
    <row r="940" spans="16:16" ht="12.5" x14ac:dyDescent="0.25">
      <c r="P940" s="187"/>
    </row>
    <row r="941" spans="16:16" ht="12.5" x14ac:dyDescent="0.25">
      <c r="P941" s="187"/>
    </row>
    <row r="942" spans="16:16" ht="12.5" x14ac:dyDescent="0.25">
      <c r="P942" s="187"/>
    </row>
    <row r="943" spans="16:16" ht="12.5" x14ac:dyDescent="0.25">
      <c r="P943" s="187"/>
    </row>
    <row r="944" spans="16:16" ht="12.5" x14ac:dyDescent="0.25">
      <c r="P944" s="187"/>
    </row>
    <row r="945" spans="16:16" ht="12.5" x14ac:dyDescent="0.25">
      <c r="P945" s="187"/>
    </row>
    <row r="946" spans="16:16" ht="12.5" x14ac:dyDescent="0.25">
      <c r="P946" s="187"/>
    </row>
    <row r="947" spans="16:16" ht="12.5" x14ac:dyDescent="0.25">
      <c r="P947" s="187"/>
    </row>
    <row r="948" spans="16:16" ht="12.5" x14ac:dyDescent="0.25">
      <c r="P948" s="187"/>
    </row>
    <row r="949" spans="16:16" ht="12.5" x14ac:dyDescent="0.25">
      <c r="P949" s="187"/>
    </row>
    <row r="950" spans="16:16" ht="12.5" x14ac:dyDescent="0.25">
      <c r="P950" s="187"/>
    </row>
    <row r="951" spans="16:16" ht="12.5" x14ac:dyDescent="0.25">
      <c r="P951" s="187"/>
    </row>
    <row r="952" spans="16:16" ht="12.5" x14ac:dyDescent="0.25">
      <c r="P952" s="187"/>
    </row>
    <row r="953" spans="16:16" ht="12.5" x14ac:dyDescent="0.25">
      <c r="P953" s="187"/>
    </row>
    <row r="954" spans="16:16" ht="12.5" x14ac:dyDescent="0.25">
      <c r="P954" s="187"/>
    </row>
    <row r="955" spans="16:16" ht="12.5" x14ac:dyDescent="0.25">
      <c r="P955" s="187"/>
    </row>
    <row r="956" spans="16:16" ht="12.5" x14ac:dyDescent="0.25">
      <c r="P956" s="187"/>
    </row>
    <row r="957" spans="16:16" ht="12.5" x14ac:dyDescent="0.25">
      <c r="P957" s="187"/>
    </row>
    <row r="958" spans="16:16" ht="12.5" x14ac:dyDescent="0.25">
      <c r="P958" s="187"/>
    </row>
    <row r="959" spans="16:16" ht="12.5" x14ac:dyDescent="0.25">
      <c r="P959" s="187"/>
    </row>
    <row r="960" spans="16:16" ht="12.5" x14ac:dyDescent="0.25">
      <c r="P960" s="187"/>
    </row>
    <row r="961" spans="16:16" ht="12.5" x14ac:dyDescent="0.25">
      <c r="P961" s="187"/>
    </row>
    <row r="962" spans="16:16" ht="12.5" x14ac:dyDescent="0.25">
      <c r="P962" s="187"/>
    </row>
    <row r="963" spans="16:16" ht="12.5" x14ac:dyDescent="0.25">
      <c r="P963" s="187"/>
    </row>
    <row r="964" spans="16:16" ht="12.5" x14ac:dyDescent="0.25">
      <c r="P964" s="187"/>
    </row>
    <row r="965" spans="16:16" ht="12.5" x14ac:dyDescent="0.25">
      <c r="P965" s="187"/>
    </row>
    <row r="966" spans="16:16" ht="12.5" x14ac:dyDescent="0.25">
      <c r="P966" s="187"/>
    </row>
    <row r="967" spans="16:16" ht="12.5" x14ac:dyDescent="0.25">
      <c r="P967" s="187"/>
    </row>
    <row r="968" spans="16:16" ht="12.5" x14ac:dyDescent="0.25">
      <c r="P968" s="187"/>
    </row>
    <row r="969" spans="16:16" ht="12.5" x14ac:dyDescent="0.25">
      <c r="P969" s="187"/>
    </row>
    <row r="970" spans="16:16" ht="12.5" x14ac:dyDescent="0.25">
      <c r="P970" s="187"/>
    </row>
    <row r="971" spans="16:16" ht="12.5" x14ac:dyDescent="0.25">
      <c r="P971" s="187"/>
    </row>
    <row r="972" spans="16:16" ht="12.5" x14ac:dyDescent="0.25">
      <c r="P972" s="187"/>
    </row>
    <row r="973" spans="16:16" ht="12.5" x14ac:dyDescent="0.25">
      <c r="P973" s="187"/>
    </row>
    <row r="974" spans="16:16" ht="12.5" x14ac:dyDescent="0.25">
      <c r="P974" s="187"/>
    </row>
    <row r="975" spans="16:16" ht="12.5" x14ac:dyDescent="0.25">
      <c r="P975" s="187"/>
    </row>
    <row r="976" spans="16:16" ht="12.5" x14ac:dyDescent="0.25">
      <c r="P976" s="187"/>
    </row>
    <row r="977" spans="16:16" ht="12.5" x14ac:dyDescent="0.25">
      <c r="P977" s="187"/>
    </row>
    <row r="978" spans="16:16" ht="12.5" x14ac:dyDescent="0.25">
      <c r="P978" s="187"/>
    </row>
    <row r="979" spans="16:16" ht="12.5" x14ac:dyDescent="0.25">
      <c r="P979" s="187"/>
    </row>
    <row r="980" spans="16:16" ht="12.5" x14ac:dyDescent="0.25">
      <c r="P980" s="187"/>
    </row>
    <row r="981" spans="16:16" ht="12.5" x14ac:dyDescent="0.25">
      <c r="P981" s="187"/>
    </row>
    <row r="982" spans="16:16" ht="12.5" x14ac:dyDescent="0.25">
      <c r="P982" s="187"/>
    </row>
    <row r="983" spans="16:16" ht="12.5" x14ac:dyDescent="0.25">
      <c r="P983" s="187"/>
    </row>
    <row r="984" spans="16:16" ht="12.5" x14ac:dyDescent="0.25">
      <c r="P984" s="187"/>
    </row>
    <row r="985" spans="16:16" ht="12.5" x14ac:dyDescent="0.25">
      <c r="P985" s="187"/>
    </row>
    <row r="986" spans="16:16" ht="12.5" x14ac:dyDescent="0.25">
      <c r="P986" s="187"/>
    </row>
    <row r="987" spans="16:16" ht="12.5" x14ac:dyDescent="0.25">
      <c r="P987" s="187"/>
    </row>
    <row r="988" spans="16:16" ht="12.5" x14ac:dyDescent="0.25">
      <c r="P988" s="187"/>
    </row>
    <row r="989" spans="16:16" ht="12.5" x14ac:dyDescent="0.25">
      <c r="P989" s="187"/>
    </row>
    <row r="990" spans="16:16" ht="12.5" x14ac:dyDescent="0.25">
      <c r="P990" s="187"/>
    </row>
    <row r="991" spans="16:16" ht="12.5" x14ac:dyDescent="0.25">
      <c r="P991" s="187"/>
    </row>
    <row r="992" spans="16:16" ht="12.5" x14ac:dyDescent="0.25">
      <c r="P992" s="187"/>
    </row>
    <row r="993" spans="16:16" ht="12.5" x14ac:dyDescent="0.25">
      <c r="P993" s="187"/>
    </row>
    <row r="994" spans="16:16" ht="12.5" x14ac:dyDescent="0.25">
      <c r="P994" s="187"/>
    </row>
    <row r="995" spans="16:16" ht="12.5" x14ac:dyDescent="0.25">
      <c r="P995" s="187"/>
    </row>
    <row r="996" spans="16:16" ht="12.5" x14ac:dyDescent="0.25">
      <c r="P996" s="187"/>
    </row>
    <row r="997" spans="16:16" ht="12.5" x14ac:dyDescent="0.25">
      <c r="P997" s="187"/>
    </row>
    <row r="998" spans="16:16" ht="12.5" x14ac:dyDescent="0.25">
      <c r="P998" s="187"/>
    </row>
    <row r="999" spans="16:16" ht="12.5" x14ac:dyDescent="0.25">
      <c r="P999" s="187"/>
    </row>
    <row r="1000" spans="16:16" ht="12.5" x14ac:dyDescent="0.25">
      <c r="P1000" s="187"/>
    </row>
    <row r="1001" spans="16:16" ht="12.5" x14ac:dyDescent="0.25">
      <c r="P1001" s="187"/>
    </row>
    <row r="1002" spans="16:16" ht="12.5" x14ac:dyDescent="0.25">
      <c r="P1002" s="187"/>
    </row>
    <row r="1003" spans="16:16" ht="12.5" x14ac:dyDescent="0.25">
      <c r="P1003" s="187"/>
    </row>
    <row r="1004" spans="16:16" ht="12.5" x14ac:dyDescent="0.25">
      <c r="P1004" s="187"/>
    </row>
    <row r="1005" spans="16:16" ht="12.5" x14ac:dyDescent="0.25">
      <c r="P1005" s="187"/>
    </row>
    <row r="1006" spans="16:16" ht="12.5" x14ac:dyDescent="0.25">
      <c r="P1006" s="187"/>
    </row>
    <row r="1007" spans="16:16" ht="12.5" x14ac:dyDescent="0.25">
      <c r="P1007" s="187"/>
    </row>
    <row r="1008" spans="16:16" ht="12.5" x14ac:dyDescent="0.25">
      <c r="P1008" s="187"/>
    </row>
    <row r="1009" spans="16:16" ht="12.5" x14ac:dyDescent="0.25">
      <c r="P1009" s="187"/>
    </row>
    <row r="1010" spans="16:16" ht="12.5" x14ac:dyDescent="0.25">
      <c r="P1010" s="187"/>
    </row>
    <row r="1011" spans="16:16" ht="12.5" x14ac:dyDescent="0.25">
      <c r="P1011" s="187"/>
    </row>
    <row r="1012" spans="16:16" ht="12.5" x14ac:dyDescent="0.25">
      <c r="P1012" s="187"/>
    </row>
    <row r="1013" spans="16:16" ht="12.5" x14ac:dyDescent="0.25">
      <c r="P1013" s="187"/>
    </row>
    <row r="1014" spans="16:16" ht="12.5" x14ac:dyDescent="0.25">
      <c r="P1014" s="187"/>
    </row>
    <row r="1015" spans="16:16" ht="12.5" x14ac:dyDescent="0.25">
      <c r="P1015" s="187"/>
    </row>
    <row r="1016" spans="16:16" ht="12.5" x14ac:dyDescent="0.25">
      <c r="P1016" s="187"/>
    </row>
    <row r="1017" spans="16:16" ht="12.5" x14ac:dyDescent="0.25">
      <c r="P1017" s="187"/>
    </row>
    <row r="1018" spans="16:16" ht="12.5" x14ac:dyDescent="0.25">
      <c r="P1018" s="187"/>
    </row>
    <row r="1019" spans="16:16" ht="12.5" x14ac:dyDescent="0.25">
      <c r="P1019" s="187"/>
    </row>
    <row r="1020" spans="16:16" ht="12.5" x14ac:dyDescent="0.25">
      <c r="P1020" s="187"/>
    </row>
    <row r="1021" spans="16:16" ht="12.5" x14ac:dyDescent="0.25">
      <c r="P1021" s="18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J6" sqref="J6"/>
    </sheetView>
  </sheetViews>
  <sheetFormatPr defaultRowHeight="12.5" x14ac:dyDescent="0.25"/>
  <cols>
    <col min="1" max="1" width="17.90625" bestFit="1" customWidth="1"/>
  </cols>
  <sheetData>
    <row r="1" spans="1:14" x14ac:dyDescent="0.25">
      <c r="A1" s="200" t="s">
        <v>1</v>
      </c>
      <c r="B1" t="s">
        <v>144</v>
      </c>
      <c r="C1" t="s">
        <v>102</v>
      </c>
      <c r="D1" t="s">
        <v>244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</row>
    <row r="2" spans="1:14" x14ac:dyDescent="0.25">
      <c r="A2" t="s">
        <v>245</v>
      </c>
      <c r="B2" t="s">
        <v>145</v>
      </c>
      <c r="C2" t="s">
        <v>4</v>
      </c>
      <c r="D2" t="s">
        <v>106</v>
      </c>
      <c r="E2">
        <v>10877.64</v>
      </c>
      <c r="F2">
        <v>11980.362999999999</v>
      </c>
      <c r="G2">
        <v>90.795579399388814</v>
      </c>
      <c r="H2">
        <v>5606</v>
      </c>
      <c r="I2">
        <v>6595</v>
      </c>
      <c r="J2">
        <v>85</v>
      </c>
      <c r="N2" s="200"/>
    </row>
    <row r="3" spans="1:14" x14ac:dyDescent="0.25">
      <c r="A3" t="s">
        <v>246</v>
      </c>
      <c r="B3" t="s">
        <v>145</v>
      </c>
      <c r="C3" t="s">
        <v>4</v>
      </c>
      <c r="D3" t="s">
        <v>106</v>
      </c>
      <c r="E3">
        <v>16026.43</v>
      </c>
      <c r="F3">
        <v>16712.048999999999</v>
      </c>
      <c r="G3">
        <v>95.897456978494986</v>
      </c>
      <c r="H3">
        <v>14025</v>
      </c>
      <c r="I3">
        <v>14685</v>
      </c>
      <c r="J3">
        <v>95.5</v>
      </c>
    </row>
    <row r="4" spans="1:14" x14ac:dyDescent="0.25">
      <c r="A4" t="s">
        <v>247</v>
      </c>
      <c r="B4" t="s">
        <v>145</v>
      </c>
      <c r="C4" t="s">
        <v>4</v>
      </c>
      <c r="D4" t="s">
        <v>106</v>
      </c>
      <c r="E4">
        <v>22535.03</v>
      </c>
      <c r="F4">
        <v>26375.633000000002</v>
      </c>
      <c r="G4">
        <v>85.438821506198536</v>
      </c>
      <c r="H4">
        <v>43182</v>
      </c>
      <c r="I4">
        <v>48848</v>
      </c>
      <c r="J4">
        <v>88.4</v>
      </c>
    </row>
    <row r="5" spans="1:14" x14ac:dyDescent="0.25">
      <c r="A5" t="s">
        <v>248</v>
      </c>
      <c r="B5" t="s">
        <v>145</v>
      </c>
      <c r="C5" t="s">
        <v>4</v>
      </c>
      <c r="D5" t="s">
        <v>106</v>
      </c>
      <c r="E5">
        <v>73473.11</v>
      </c>
      <c r="F5">
        <v>82730.198999999993</v>
      </c>
      <c r="G5">
        <v>88.810507998415432</v>
      </c>
      <c r="H5">
        <v>74574</v>
      </c>
      <c r="I5">
        <v>84550</v>
      </c>
      <c r="J5">
        <v>88.2</v>
      </c>
    </row>
    <row r="6" spans="1:14" x14ac:dyDescent="0.25">
      <c r="A6" t="s">
        <v>249</v>
      </c>
      <c r="B6" t="s">
        <v>145</v>
      </c>
      <c r="C6" t="s">
        <v>4</v>
      </c>
      <c r="D6" t="s">
        <v>106</v>
      </c>
      <c r="E6">
        <v>1851.01</v>
      </c>
      <c r="F6">
        <v>1899.8810000000001</v>
      </c>
      <c r="G6">
        <v>97.427680996862435</v>
      </c>
      <c r="H6">
        <v>1771</v>
      </c>
      <c r="I6">
        <v>1837</v>
      </c>
      <c r="J6">
        <v>96.4</v>
      </c>
    </row>
    <row r="7" spans="1:14" x14ac:dyDescent="0.25">
      <c r="A7" t="s">
        <v>250</v>
      </c>
      <c r="B7" t="s">
        <v>145</v>
      </c>
      <c r="C7" t="s">
        <v>4</v>
      </c>
      <c r="D7" t="s">
        <v>106</v>
      </c>
      <c r="E7">
        <v>9467.27</v>
      </c>
      <c r="F7">
        <v>10040.27</v>
      </c>
      <c r="G7">
        <v>94.292982160838307</v>
      </c>
      <c r="H7">
        <v>2129</v>
      </c>
      <c r="I7">
        <v>2270</v>
      </c>
      <c r="J7">
        <v>93.8</v>
      </c>
    </row>
    <row r="8" spans="1:14" x14ac:dyDescent="0.25">
      <c r="A8" t="s">
        <v>251</v>
      </c>
      <c r="B8" t="s">
        <v>145</v>
      </c>
      <c r="C8" t="s">
        <v>4</v>
      </c>
      <c r="D8" t="s">
        <v>106</v>
      </c>
      <c r="E8">
        <v>10914.45</v>
      </c>
      <c r="F8">
        <v>15003.357</v>
      </c>
      <c r="G8">
        <v>72.746719284224199</v>
      </c>
      <c r="H8">
        <v>8883</v>
      </c>
      <c r="I8">
        <v>12689</v>
      </c>
      <c r="J8">
        <v>70</v>
      </c>
    </row>
    <row r="9" spans="1:14" x14ac:dyDescent="0.25">
      <c r="A9" t="s">
        <v>252</v>
      </c>
      <c r="B9" t="s">
        <v>146</v>
      </c>
      <c r="C9" t="s">
        <v>4</v>
      </c>
      <c r="D9" t="s">
        <v>106</v>
      </c>
      <c r="E9">
        <v>124793.553</v>
      </c>
      <c r="F9">
        <v>214051.26500000001</v>
      </c>
      <c r="G9">
        <v>58.300778086969018</v>
      </c>
      <c r="H9">
        <v>131214</v>
      </c>
      <c r="I9">
        <v>226231</v>
      </c>
      <c r="J9">
        <v>58</v>
      </c>
    </row>
    <row r="10" spans="1:14" x14ac:dyDescent="0.25">
      <c r="A10" t="s">
        <v>253</v>
      </c>
      <c r="B10" t="s">
        <v>146</v>
      </c>
      <c r="C10" t="s">
        <v>4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 x14ac:dyDescent="0.25">
      <c r="A11" t="s">
        <v>254</v>
      </c>
      <c r="B11" t="s">
        <v>146</v>
      </c>
      <c r="C11" t="s">
        <v>4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4" x14ac:dyDescent="0.25">
      <c r="A12" s="200" t="s">
        <v>277</v>
      </c>
      <c r="B12" t="s">
        <v>147</v>
      </c>
      <c r="C12" t="s">
        <v>4</v>
      </c>
      <c r="D12" t="s">
        <v>106</v>
      </c>
      <c r="E12">
        <v>97181.922999999995</v>
      </c>
      <c r="F12">
        <v>160972.84</v>
      </c>
      <c r="G12">
        <v>60.371627288181038</v>
      </c>
      <c r="H12">
        <v>90096</v>
      </c>
      <c r="I12">
        <v>155339</v>
      </c>
      <c r="J12">
        <v>58</v>
      </c>
    </row>
    <row r="13" spans="1:14" x14ac:dyDescent="0.25">
      <c r="A13" t="s">
        <v>255</v>
      </c>
      <c r="B13" t="s">
        <v>148</v>
      </c>
      <c r="C13" t="s">
        <v>4</v>
      </c>
      <c r="D13" t="s">
        <v>106</v>
      </c>
      <c r="E13">
        <v>18217.190999999999</v>
      </c>
      <c r="F13">
        <v>20891.862000000001</v>
      </c>
      <c r="G13">
        <v>87.197546106708913</v>
      </c>
      <c r="H13">
        <v>4945</v>
      </c>
      <c r="I13">
        <v>5232</v>
      </c>
      <c r="J13">
        <v>94.52</v>
      </c>
    </row>
    <row r="14" spans="1:14" x14ac:dyDescent="0.25">
      <c r="A14" t="s">
        <v>256</v>
      </c>
      <c r="B14" t="s">
        <v>148</v>
      </c>
      <c r="C14" t="s">
        <v>4</v>
      </c>
      <c r="D14" t="s">
        <v>106</v>
      </c>
      <c r="E14">
        <v>31210.999</v>
      </c>
      <c r="F14">
        <v>34515.258999999998</v>
      </c>
      <c r="G14">
        <v>90.426668969802606</v>
      </c>
      <c r="H14">
        <v>0</v>
      </c>
      <c r="I14">
        <v>0</v>
      </c>
      <c r="J14">
        <v>0</v>
      </c>
    </row>
    <row r="15" spans="1:14" x14ac:dyDescent="0.25">
      <c r="A15" t="s">
        <v>257</v>
      </c>
      <c r="B15" t="s">
        <v>148</v>
      </c>
      <c r="C15" t="s">
        <v>4</v>
      </c>
      <c r="D15" t="s">
        <v>106</v>
      </c>
      <c r="E15">
        <v>51151.207999999999</v>
      </c>
      <c r="F15">
        <v>59399.883000000002</v>
      </c>
      <c r="G15">
        <v>86.113314398279201</v>
      </c>
      <c r="H15">
        <v>10467</v>
      </c>
      <c r="I15">
        <v>12037</v>
      </c>
      <c r="J15">
        <v>86.96</v>
      </c>
    </row>
    <row r="16" spans="1:14" x14ac:dyDescent="0.25">
      <c r="A16" t="s">
        <v>258</v>
      </c>
      <c r="B16" t="s">
        <v>148</v>
      </c>
      <c r="C16" t="s">
        <v>4</v>
      </c>
      <c r="D16" t="s">
        <v>106</v>
      </c>
      <c r="E16">
        <v>0</v>
      </c>
      <c r="F16">
        <v>0</v>
      </c>
      <c r="G16">
        <v>0</v>
      </c>
      <c r="H16">
        <v>29479</v>
      </c>
      <c r="I16">
        <v>30868</v>
      </c>
      <c r="J16">
        <v>95.5</v>
      </c>
    </row>
    <row r="17" spans="1:10" x14ac:dyDescent="0.25">
      <c r="A17" t="s">
        <v>259</v>
      </c>
      <c r="B17" t="s">
        <v>149</v>
      </c>
      <c r="C17" t="s">
        <v>4</v>
      </c>
      <c r="D17" t="s">
        <v>106</v>
      </c>
      <c r="E17">
        <v>29341</v>
      </c>
      <c r="F17">
        <v>50770</v>
      </c>
      <c r="G17">
        <v>57.792003151467398</v>
      </c>
      <c r="H17">
        <v>47877</v>
      </c>
      <c r="I17">
        <v>79813</v>
      </c>
      <c r="J17">
        <v>59.99</v>
      </c>
    </row>
    <row r="18" spans="1:10" x14ac:dyDescent="0.25">
      <c r="A18" t="s">
        <v>260</v>
      </c>
      <c r="B18" t="s">
        <v>149</v>
      </c>
      <c r="C18" t="s">
        <v>4</v>
      </c>
      <c r="D18" t="s">
        <v>106</v>
      </c>
      <c r="E18">
        <v>2908.8119999999999</v>
      </c>
      <c r="F18">
        <v>3063.0459999999998</v>
      </c>
      <c r="G18">
        <v>94.964685479747928</v>
      </c>
      <c r="H18">
        <v>0</v>
      </c>
      <c r="I18">
        <v>0</v>
      </c>
      <c r="J18">
        <v>0</v>
      </c>
    </row>
    <row r="19" spans="1:10" x14ac:dyDescent="0.25">
      <c r="A19" t="s">
        <v>261</v>
      </c>
      <c r="B19" t="s">
        <v>149</v>
      </c>
      <c r="C19" t="s">
        <v>4</v>
      </c>
      <c r="D19" t="s">
        <v>106</v>
      </c>
      <c r="E19">
        <v>812.78</v>
      </c>
      <c r="F19">
        <v>934.39400000000001</v>
      </c>
      <c r="G19">
        <v>86.984719508044776</v>
      </c>
      <c r="H19">
        <v>10467</v>
      </c>
      <c r="I19">
        <v>12037</v>
      </c>
      <c r="J19">
        <v>86.96</v>
      </c>
    </row>
    <row r="20" spans="1:10" x14ac:dyDescent="0.25">
      <c r="A20" t="s">
        <v>262</v>
      </c>
      <c r="B20" t="s">
        <v>149</v>
      </c>
      <c r="C20" t="s">
        <v>4</v>
      </c>
      <c r="D20" t="s">
        <v>106</v>
      </c>
      <c r="E20">
        <v>0</v>
      </c>
      <c r="F20">
        <v>0</v>
      </c>
      <c r="G20">
        <v>0</v>
      </c>
      <c r="H20">
        <v>13150</v>
      </c>
      <c r="I20">
        <v>14559</v>
      </c>
      <c r="J20">
        <v>90.32</v>
      </c>
    </row>
    <row r="21" spans="1:10" x14ac:dyDescent="0.25">
      <c r="A21" t="s">
        <v>263</v>
      </c>
      <c r="B21" t="s">
        <v>149</v>
      </c>
      <c r="C21" t="s">
        <v>4</v>
      </c>
      <c r="D21" t="s">
        <v>106</v>
      </c>
      <c r="E21">
        <v>9320</v>
      </c>
      <c r="F21">
        <v>15386</v>
      </c>
      <c r="G21">
        <v>60.574548290653837</v>
      </c>
      <c r="H21">
        <v>0</v>
      </c>
      <c r="I21">
        <v>0</v>
      </c>
      <c r="J21">
        <v>0</v>
      </c>
    </row>
    <row r="22" spans="1:10" x14ac:dyDescent="0.25">
      <c r="A22" t="s">
        <v>264</v>
      </c>
      <c r="B22" t="s">
        <v>150</v>
      </c>
      <c r="C22" t="s">
        <v>4</v>
      </c>
      <c r="D22" t="s">
        <v>106</v>
      </c>
      <c r="E22">
        <v>42911.133999999998</v>
      </c>
      <c r="F22">
        <v>74037.744999999995</v>
      </c>
      <c r="G22">
        <v>57.958456190150045</v>
      </c>
      <c r="H22">
        <v>44878</v>
      </c>
      <c r="I22">
        <v>76715</v>
      </c>
      <c r="J22">
        <v>58.5</v>
      </c>
    </row>
    <row r="23" spans="1:10" x14ac:dyDescent="0.25">
      <c r="A23" t="s">
        <v>265</v>
      </c>
      <c r="B23" t="s">
        <v>150</v>
      </c>
      <c r="C23" t="s">
        <v>4</v>
      </c>
      <c r="D23" t="s">
        <v>106</v>
      </c>
      <c r="E23">
        <v>15732.723000000002</v>
      </c>
      <c r="F23">
        <v>18386.919999999998</v>
      </c>
      <c r="G23">
        <v>85.564754727817402</v>
      </c>
      <c r="H23">
        <v>12824</v>
      </c>
      <c r="I23">
        <v>14998</v>
      </c>
      <c r="J23">
        <v>85.5</v>
      </c>
    </row>
    <row r="24" spans="1:10" x14ac:dyDescent="0.25">
      <c r="A24" t="s">
        <v>245</v>
      </c>
      <c r="B24" t="s">
        <v>145</v>
      </c>
      <c r="C24" t="s">
        <v>5</v>
      </c>
      <c r="D24" t="s">
        <v>106</v>
      </c>
      <c r="E24">
        <v>14283.27</v>
      </c>
      <c r="F24">
        <v>14987.189</v>
      </c>
      <c r="G24">
        <v>95.303195282317461</v>
      </c>
      <c r="H24">
        <v>5872</v>
      </c>
      <c r="I24">
        <v>6909</v>
      </c>
      <c r="J24">
        <v>85</v>
      </c>
    </row>
    <row r="25" spans="1:10" x14ac:dyDescent="0.25">
      <c r="A25" t="s">
        <v>246</v>
      </c>
      <c r="B25" t="s">
        <v>145</v>
      </c>
      <c r="C25" t="s">
        <v>5</v>
      </c>
      <c r="D25" t="s">
        <v>106</v>
      </c>
      <c r="E25">
        <v>15070.18</v>
      </c>
      <c r="F25">
        <v>15933.263000000001</v>
      </c>
      <c r="G25">
        <v>94.583137176609711</v>
      </c>
      <c r="H25">
        <v>14703</v>
      </c>
      <c r="I25">
        <v>15395</v>
      </c>
      <c r="J25">
        <v>95.5</v>
      </c>
    </row>
    <row r="26" spans="1:10" x14ac:dyDescent="0.25">
      <c r="A26" t="s">
        <v>247</v>
      </c>
      <c r="B26" t="s">
        <v>145</v>
      </c>
      <c r="C26" t="s">
        <v>5</v>
      </c>
      <c r="D26" t="s">
        <v>106</v>
      </c>
      <c r="E26">
        <v>36467.78</v>
      </c>
      <c r="F26">
        <v>41472.237999999998</v>
      </c>
      <c r="G26">
        <v>87.932992668493085</v>
      </c>
      <c r="H26">
        <v>45270</v>
      </c>
      <c r="I26">
        <v>51210</v>
      </c>
      <c r="J26">
        <v>88.4</v>
      </c>
    </row>
    <row r="27" spans="1:10" x14ac:dyDescent="0.25">
      <c r="A27" t="s">
        <v>248</v>
      </c>
      <c r="B27" t="s">
        <v>145</v>
      </c>
      <c r="C27" t="s">
        <v>5</v>
      </c>
      <c r="D27" t="s">
        <v>106</v>
      </c>
      <c r="E27">
        <v>74350.2</v>
      </c>
      <c r="F27">
        <v>85183.566000000006</v>
      </c>
      <c r="G27">
        <v>87.282328612540113</v>
      </c>
      <c r="H27">
        <v>78179</v>
      </c>
      <c r="I27">
        <v>88638</v>
      </c>
      <c r="J27">
        <v>88.2</v>
      </c>
    </row>
    <row r="28" spans="1:10" x14ac:dyDescent="0.25">
      <c r="A28" t="s">
        <v>249</v>
      </c>
      <c r="B28" t="s">
        <v>145</v>
      </c>
      <c r="C28" t="s">
        <v>5</v>
      </c>
      <c r="D28" t="s">
        <v>106</v>
      </c>
      <c r="E28">
        <v>3038.54</v>
      </c>
      <c r="F28">
        <v>3170.11</v>
      </c>
      <c r="G28">
        <v>95.849670831611505</v>
      </c>
      <c r="H28">
        <v>1857</v>
      </c>
      <c r="I28">
        <v>1926</v>
      </c>
      <c r="J28">
        <v>96.4</v>
      </c>
    </row>
    <row r="29" spans="1:10" x14ac:dyDescent="0.25">
      <c r="A29" t="s">
        <v>250</v>
      </c>
      <c r="B29" t="s">
        <v>145</v>
      </c>
      <c r="C29" t="s">
        <v>5</v>
      </c>
      <c r="D29" t="s">
        <v>106</v>
      </c>
      <c r="E29">
        <v>3228.65</v>
      </c>
      <c r="F29">
        <v>3476.7939999999999</v>
      </c>
      <c r="G29">
        <v>92.862850085452294</v>
      </c>
      <c r="H29">
        <v>2232</v>
      </c>
      <c r="I29">
        <v>2380</v>
      </c>
      <c r="J29">
        <v>93.8</v>
      </c>
    </row>
    <row r="30" spans="1:10" x14ac:dyDescent="0.25">
      <c r="A30" t="s">
        <v>251</v>
      </c>
      <c r="B30" t="s">
        <v>145</v>
      </c>
      <c r="C30" t="s">
        <v>5</v>
      </c>
      <c r="D30" t="s">
        <v>106</v>
      </c>
      <c r="E30">
        <v>18698.41</v>
      </c>
      <c r="F30">
        <v>25242.720000000001</v>
      </c>
      <c r="G30">
        <v>74.074465826186724</v>
      </c>
      <c r="H30">
        <v>9219</v>
      </c>
      <c r="I30">
        <v>13170</v>
      </c>
      <c r="J30">
        <v>70</v>
      </c>
    </row>
    <row r="31" spans="1:10" x14ac:dyDescent="0.25">
      <c r="A31" t="s">
        <v>252</v>
      </c>
      <c r="B31" t="s">
        <v>146</v>
      </c>
      <c r="C31" t="s">
        <v>5</v>
      </c>
      <c r="D31" t="s">
        <v>106</v>
      </c>
      <c r="E31">
        <v>108925.52899999999</v>
      </c>
      <c r="F31">
        <v>187092.16399999999</v>
      </c>
      <c r="G31">
        <v>58.220251811294453</v>
      </c>
      <c r="H31">
        <v>110973</v>
      </c>
      <c r="I31">
        <v>191332</v>
      </c>
      <c r="J31">
        <v>58</v>
      </c>
    </row>
    <row r="32" spans="1:10" x14ac:dyDescent="0.25">
      <c r="A32" t="s">
        <v>253</v>
      </c>
      <c r="B32" t="s">
        <v>146</v>
      </c>
      <c r="C32" t="s">
        <v>5</v>
      </c>
      <c r="D32" t="s">
        <v>106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254</v>
      </c>
      <c r="B33" t="s">
        <v>146</v>
      </c>
      <c r="C33" t="s">
        <v>5</v>
      </c>
      <c r="D33" t="s">
        <v>106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277</v>
      </c>
      <c r="B34" t="s">
        <v>147</v>
      </c>
      <c r="C34" t="s">
        <v>5</v>
      </c>
      <c r="D34" t="s">
        <v>106</v>
      </c>
      <c r="E34">
        <v>75848.406000000003</v>
      </c>
      <c r="F34">
        <v>130829.227</v>
      </c>
      <c r="G34">
        <v>57.975123555533969</v>
      </c>
      <c r="H34">
        <v>89106</v>
      </c>
      <c r="I34">
        <v>153631</v>
      </c>
      <c r="J34">
        <v>58</v>
      </c>
    </row>
    <row r="35" spans="1:10" x14ac:dyDescent="0.25">
      <c r="A35" t="s">
        <v>255</v>
      </c>
      <c r="B35" t="s">
        <v>148</v>
      </c>
      <c r="C35" t="s">
        <v>5</v>
      </c>
      <c r="D35" t="s">
        <v>106</v>
      </c>
      <c r="E35">
        <v>18647.021000000001</v>
      </c>
      <c r="F35">
        <v>20653.060000000001</v>
      </c>
      <c r="G35">
        <v>90.286964740333872</v>
      </c>
      <c r="H35">
        <v>4977</v>
      </c>
      <c r="I35">
        <v>5268</v>
      </c>
      <c r="J35">
        <v>94.48</v>
      </c>
    </row>
    <row r="36" spans="1:10" x14ac:dyDescent="0.25">
      <c r="A36" t="s">
        <v>256</v>
      </c>
      <c r="B36" t="s">
        <v>148</v>
      </c>
      <c r="C36" t="s">
        <v>5</v>
      </c>
      <c r="D36" t="s">
        <v>106</v>
      </c>
      <c r="E36">
        <v>26552.100999999999</v>
      </c>
      <c r="F36">
        <v>29049.656999999999</v>
      </c>
      <c r="G36">
        <v>91.402459588421308</v>
      </c>
      <c r="H36">
        <v>0</v>
      </c>
      <c r="I36">
        <v>0</v>
      </c>
      <c r="J36">
        <v>0</v>
      </c>
    </row>
    <row r="37" spans="1:10" x14ac:dyDescent="0.25">
      <c r="A37" t="s">
        <v>257</v>
      </c>
      <c r="B37" t="s">
        <v>148</v>
      </c>
      <c r="C37" t="s">
        <v>5</v>
      </c>
      <c r="D37" t="s">
        <v>106</v>
      </c>
      <c r="E37">
        <v>40267.300000000003</v>
      </c>
      <c r="F37">
        <v>46399.911</v>
      </c>
      <c r="G37">
        <v>86.783140596972274</v>
      </c>
      <c r="H37">
        <v>10974</v>
      </c>
      <c r="I37">
        <v>12619</v>
      </c>
      <c r="J37">
        <v>86.96</v>
      </c>
    </row>
    <row r="38" spans="1:10" x14ac:dyDescent="0.25">
      <c r="A38" t="s">
        <v>258</v>
      </c>
      <c r="B38" t="s">
        <v>148</v>
      </c>
      <c r="C38" t="s">
        <v>5</v>
      </c>
      <c r="D38" t="s">
        <v>106</v>
      </c>
      <c r="E38">
        <v>1434.18</v>
      </c>
      <c r="F38">
        <v>1514.046</v>
      </c>
      <c r="G38">
        <v>94.724995145457939</v>
      </c>
      <c r="H38">
        <v>29519</v>
      </c>
      <c r="I38">
        <v>30910</v>
      </c>
      <c r="J38">
        <v>95.5</v>
      </c>
    </row>
    <row r="39" spans="1:10" x14ac:dyDescent="0.25">
      <c r="A39" t="s">
        <v>259</v>
      </c>
      <c r="B39" t="s">
        <v>149</v>
      </c>
      <c r="C39" t="s">
        <v>5</v>
      </c>
      <c r="D39" t="s">
        <v>106</v>
      </c>
      <c r="E39">
        <v>32104</v>
      </c>
      <c r="F39">
        <v>56014</v>
      </c>
      <c r="G39">
        <v>57.314242867854468</v>
      </c>
      <c r="H39">
        <v>41132</v>
      </c>
      <c r="I39">
        <v>68050</v>
      </c>
      <c r="J39">
        <v>60.44</v>
      </c>
    </row>
    <row r="40" spans="1:10" x14ac:dyDescent="0.25">
      <c r="A40" t="s">
        <v>260</v>
      </c>
      <c r="B40" t="s">
        <v>149</v>
      </c>
      <c r="C40" t="s">
        <v>5</v>
      </c>
      <c r="D40" t="s">
        <v>106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261</v>
      </c>
      <c r="B41" t="s">
        <v>149</v>
      </c>
      <c r="C41" t="s">
        <v>5</v>
      </c>
      <c r="D41" t="s">
        <v>106</v>
      </c>
      <c r="E41">
        <v>492.30700000000002</v>
      </c>
      <c r="F41">
        <v>569.17999999999995</v>
      </c>
      <c r="G41">
        <v>86.494079201658536</v>
      </c>
      <c r="H41">
        <v>10974</v>
      </c>
      <c r="I41">
        <v>12619</v>
      </c>
      <c r="J41">
        <v>86.96</v>
      </c>
    </row>
    <row r="42" spans="1:10" x14ac:dyDescent="0.25">
      <c r="A42" t="s">
        <v>262</v>
      </c>
      <c r="B42" t="s">
        <v>149</v>
      </c>
      <c r="C42" t="s">
        <v>5</v>
      </c>
      <c r="D42" t="s">
        <v>106</v>
      </c>
      <c r="E42">
        <v>2828.16</v>
      </c>
      <c r="F42">
        <v>3104.7660000000001</v>
      </c>
      <c r="G42">
        <v>91.09092279418158</v>
      </c>
      <c r="H42">
        <v>13786</v>
      </c>
      <c r="I42">
        <v>15263</v>
      </c>
      <c r="J42">
        <v>90.32</v>
      </c>
    </row>
    <row r="43" spans="1:10" x14ac:dyDescent="0.25">
      <c r="A43" t="s">
        <v>263</v>
      </c>
      <c r="B43" t="s">
        <v>149</v>
      </c>
      <c r="C43" t="s">
        <v>5</v>
      </c>
      <c r="D43" t="s">
        <v>106</v>
      </c>
      <c r="E43">
        <v>6997</v>
      </c>
      <c r="F43">
        <v>11344</v>
      </c>
      <c r="G43">
        <v>61.680183356840622</v>
      </c>
      <c r="H43">
        <v>0</v>
      </c>
      <c r="I43">
        <v>0</v>
      </c>
      <c r="J43">
        <v>0</v>
      </c>
    </row>
    <row r="44" spans="1:10" x14ac:dyDescent="0.25">
      <c r="A44" t="s">
        <v>264</v>
      </c>
      <c r="B44" t="s">
        <v>150</v>
      </c>
      <c r="C44" t="s">
        <v>5</v>
      </c>
      <c r="D44" t="s">
        <v>106</v>
      </c>
      <c r="E44">
        <v>43596.040999999997</v>
      </c>
      <c r="F44">
        <v>75269.98</v>
      </c>
      <c r="G44">
        <v>57.919559696973479</v>
      </c>
      <c r="H44">
        <v>51719</v>
      </c>
      <c r="I44">
        <v>88408</v>
      </c>
      <c r="J44">
        <v>58.5</v>
      </c>
    </row>
    <row r="45" spans="1:10" x14ac:dyDescent="0.25">
      <c r="A45" t="s">
        <v>265</v>
      </c>
      <c r="B45" t="s">
        <v>150</v>
      </c>
      <c r="C45" t="s">
        <v>5</v>
      </c>
      <c r="D45" t="s">
        <v>106</v>
      </c>
      <c r="E45">
        <v>11119.61</v>
      </c>
      <c r="F45">
        <v>12949.074000000001</v>
      </c>
      <c r="G45">
        <v>85.871854620646999</v>
      </c>
      <c r="H45">
        <v>13843</v>
      </c>
      <c r="I45">
        <v>16190</v>
      </c>
      <c r="J45">
        <v>85.5</v>
      </c>
    </row>
    <row r="46" spans="1:10" x14ac:dyDescent="0.25">
      <c r="A46" t="s">
        <v>245</v>
      </c>
      <c r="B46" t="s">
        <v>145</v>
      </c>
      <c r="C46" t="s">
        <v>6</v>
      </c>
      <c r="D46" t="s">
        <v>106</v>
      </c>
      <c r="E46">
        <v>2041.13</v>
      </c>
      <c r="F46">
        <v>2207.3380000000002</v>
      </c>
      <c r="G46">
        <v>92.470206194067245</v>
      </c>
      <c r="H46">
        <v>3447</v>
      </c>
      <c r="I46">
        <v>4055</v>
      </c>
      <c r="J46">
        <v>85</v>
      </c>
    </row>
    <row r="47" spans="1:10" x14ac:dyDescent="0.25">
      <c r="A47" t="s">
        <v>246</v>
      </c>
      <c r="B47" t="s">
        <v>145</v>
      </c>
      <c r="C47" t="s">
        <v>6</v>
      </c>
      <c r="D47" t="s">
        <v>106</v>
      </c>
      <c r="E47">
        <v>10373.61</v>
      </c>
      <c r="F47">
        <v>11045.397000000001</v>
      </c>
      <c r="G47">
        <v>93.917946091027787</v>
      </c>
      <c r="H47">
        <v>8611</v>
      </c>
      <c r="I47">
        <v>9017</v>
      </c>
      <c r="J47">
        <v>95.5</v>
      </c>
    </row>
    <row r="48" spans="1:10" x14ac:dyDescent="0.25">
      <c r="A48" t="s">
        <v>247</v>
      </c>
      <c r="B48" t="s">
        <v>145</v>
      </c>
      <c r="C48" t="s">
        <v>6</v>
      </c>
      <c r="D48" t="s">
        <v>106</v>
      </c>
      <c r="E48">
        <v>26280.25</v>
      </c>
      <c r="F48">
        <v>29827.789000000001</v>
      </c>
      <c r="G48">
        <v>88.106597508786194</v>
      </c>
      <c r="H48">
        <v>26513</v>
      </c>
      <c r="I48">
        <v>29992</v>
      </c>
      <c r="J48">
        <v>88.4</v>
      </c>
    </row>
    <row r="49" spans="1:10" x14ac:dyDescent="0.25">
      <c r="A49" t="s">
        <v>248</v>
      </c>
      <c r="B49" t="s">
        <v>145</v>
      </c>
      <c r="C49" t="s">
        <v>6</v>
      </c>
      <c r="D49" t="s">
        <v>106</v>
      </c>
      <c r="E49">
        <v>82213.14</v>
      </c>
      <c r="F49">
        <v>93747.244999999995</v>
      </c>
      <c r="G49">
        <v>87.696593110549543</v>
      </c>
      <c r="H49">
        <v>45787</v>
      </c>
      <c r="I49">
        <v>51913</v>
      </c>
      <c r="J49">
        <v>88.2</v>
      </c>
    </row>
    <row r="50" spans="1:10" x14ac:dyDescent="0.25">
      <c r="A50" t="s">
        <v>249</v>
      </c>
      <c r="B50" t="s">
        <v>145</v>
      </c>
      <c r="C50" t="s">
        <v>6</v>
      </c>
      <c r="D50" t="s">
        <v>106</v>
      </c>
      <c r="E50">
        <v>2402.79</v>
      </c>
      <c r="F50">
        <v>2516.3649999999998</v>
      </c>
      <c r="G50">
        <v>95.486545075932952</v>
      </c>
      <c r="H50">
        <v>1088</v>
      </c>
      <c r="I50">
        <v>1128</v>
      </c>
      <c r="J50">
        <v>96.4</v>
      </c>
    </row>
    <row r="51" spans="1:10" x14ac:dyDescent="0.25">
      <c r="A51" t="s">
        <v>250</v>
      </c>
      <c r="B51" t="s">
        <v>145</v>
      </c>
      <c r="C51" t="s">
        <v>6</v>
      </c>
      <c r="D51" t="s">
        <v>106</v>
      </c>
      <c r="E51">
        <v>3886.37</v>
      </c>
      <c r="F51">
        <v>4216.3379999999997</v>
      </c>
      <c r="G51">
        <v>92.174061946646589</v>
      </c>
      <c r="H51">
        <v>1307</v>
      </c>
      <c r="I51">
        <v>1394</v>
      </c>
      <c r="J51">
        <v>93.8</v>
      </c>
    </row>
    <row r="52" spans="1:10" x14ac:dyDescent="0.25">
      <c r="A52" t="s">
        <v>251</v>
      </c>
      <c r="B52" t="s">
        <v>145</v>
      </c>
      <c r="C52" t="s">
        <v>6</v>
      </c>
      <c r="D52" t="s">
        <v>106</v>
      </c>
      <c r="E52">
        <v>9595.58</v>
      </c>
      <c r="F52">
        <v>13194.564</v>
      </c>
      <c r="G52">
        <v>72.723736835866646</v>
      </c>
      <c r="H52">
        <v>5560</v>
      </c>
      <c r="I52">
        <v>7943</v>
      </c>
      <c r="J52">
        <v>70</v>
      </c>
    </row>
    <row r="53" spans="1:10" x14ac:dyDescent="0.25">
      <c r="A53" t="s">
        <v>252</v>
      </c>
      <c r="B53" t="s">
        <v>146</v>
      </c>
      <c r="C53" t="s">
        <v>6</v>
      </c>
      <c r="D53" t="s">
        <v>106</v>
      </c>
      <c r="E53">
        <v>75255.286999999997</v>
      </c>
      <c r="F53">
        <v>128848.795</v>
      </c>
      <c r="G53">
        <v>58.405891184314143</v>
      </c>
      <c r="H53">
        <v>73998</v>
      </c>
      <c r="I53">
        <v>127583</v>
      </c>
      <c r="J53">
        <v>58</v>
      </c>
    </row>
    <row r="54" spans="1:10" x14ac:dyDescent="0.25">
      <c r="A54" t="s">
        <v>253</v>
      </c>
      <c r="B54" t="s">
        <v>146</v>
      </c>
      <c r="C54" t="s">
        <v>6</v>
      </c>
      <c r="D54" t="s">
        <v>106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254</v>
      </c>
      <c r="B55" t="s">
        <v>146</v>
      </c>
      <c r="C55" t="s">
        <v>6</v>
      </c>
      <c r="D55" t="s">
        <v>106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277</v>
      </c>
      <c r="B56" t="s">
        <v>147</v>
      </c>
      <c r="C56" t="s">
        <v>6</v>
      </c>
      <c r="D56" t="s">
        <v>106</v>
      </c>
      <c r="E56">
        <v>67612.383000000002</v>
      </c>
      <c r="F56">
        <v>115515.656</v>
      </c>
      <c r="G56">
        <v>58.530925885924937</v>
      </c>
      <c r="H56">
        <v>59450</v>
      </c>
      <c r="I56">
        <v>102500</v>
      </c>
      <c r="J56">
        <v>58</v>
      </c>
    </row>
    <row r="57" spans="1:10" x14ac:dyDescent="0.25">
      <c r="A57" t="s">
        <v>255</v>
      </c>
      <c r="B57" t="s">
        <v>148</v>
      </c>
      <c r="C57" t="s">
        <v>6</v>
      </c>
      <c r="D57" t="s">
        <v>106</v>
      </c>
      <c r="E57">
        <v>10441.049999999999</v>
      </c>
      <c r="F57">
        <v>11537.057000000001</v>
      </c>
      <c r="G57">
        <v>90.500116277487393</v>
      </c>
      <c r="H57">
        <v>4695</v>
      </c>
      <c r="I57">
        <v>4950</v>
      </c>
      <c r="J57">
        <v>94.86</v>
      </c>
    </row>
    <row r="58" spans="1:10" x14ac:dyDescent="0.25">
      <c r="A58" t="s">
        <v>256</v>
      </c>
      <c r="B58" t="s">
        <v>148</v>
      </c>
      <c r="C58" t="s">
        <v>6</v>
      </c>
      <c r="D58" t="s">
        <v>106</v>
      </c>
      <c r="E58">
        <v>28605.412</v>
      </c>
      <c r="F58">
        <v>31496.331999999999</v>
      </c>
      <c r="G58">
        <v>90.821407394359454</v>
      </c>
      <c r="H58">
        <v>0</v>
      </c>
      <c r="I58">
        <v>0</v>
      </c>
      <c r="J58">
        <v>0</v>
      </c>
    </row>
    <row r="59" spans="1:10" x14ac:dyDescent="0.25">
      <c r="A59" t="s">
        <v>257</v>
      </c>
      <c r="B59" t="s">
        <v>148</v>
      </c>
      <c r="C59" t="s">
        <v>6</v>
      </c>
      <c r="D59" t="s">
        <v>106</v>
      </c>
      <c r="E59">
        <v>28197.276000000002</v>
      </c>
      <c r="F59">
        <v>32470.278999999999</v>
      </c>
      <c r="G59">
        <v>86.840263984180737</v>
      </c>
      <c r="H59">
        <v>6427</v>
      </c>
      <c r="I59">
        <v>7391</v>
      </c>
      <c r="J59">
        <v>86.96</v>
      </c>
    </row>
    <row r="60" spans="1:10" x14ac:dyDescent="0.25">
      <c r="A60" t="s">
        <v>258</v>
      </c>
      <c r="B60" t="s">
        <v>148</v>
      </c>
      <c r="C60" t="s">
        <v>6</v>
      </c>
      <c r="D60" t="s">
        <v>106</v>
      </c>
      <c r="E60">
        <v>8544.1530000000002</v>
      </c>
      <c r="F60">
        <v>8988.116</v>
      </c>
      <c r="G60">
        <v>95.060555515749911</v>
      </c>
      <c r="H60">
        <v>29159</v>
      </c>
      <c r="I60">
        <v>30533</v>
      </c>
      <c r="J60">
        <v>95.5</v>
      </c>
    </row>
    <row r="61" spans="1:10" x14ac:dyDescent="0.25">
      <c r="A61" t="s">
        <v>259</v>
      </c>
      <c r="B61" t="s">
        <v>149</v>
      </c>
      <c r="C61" t="s">
        <v>6</v>
      </c>
      <c r="D61" t="s">
        <v>106</v>
      </c>
      <c r="E61">
        <v>32396</v>
      </c>
      <c r="F61">
        <v>55955</v>
      </c>
      <c r="G61">
        <v>57.896523992493968</v>
      </c>
      <c r="H61">
        <v>27320</v>
      </c>
      <c r="I61">
        <v>45424</v>
      </c>
      <c r="J61">
        <v>60.14</v>
      </c>
    </row>
    <row r="62" spans="1:10" x14ac:dyDescent="0.25">
      <c r="A62" t="s">
        <v>260</v>
      </c>
      <c r="B62" t="s">
        <v>149</v>
      </c>
      <c r="C62" t="s">
        <v>6</v>
      </c>
      <c r="D62" t="s">
        <v>106</v>
      </c>
      <c r="E62">
        <v>1152.8219999999999</v>
      </c>
      <c r="F62">
        <v>1216.0060000000001</v>
      </c>
      <c r="G62">
        <v>94.803973006712113</v>
      </c>
      <c r="H62">
        <v>0</v>
      </c>
      <c r="I62">
        <v>0</v>
      </c>
      <c r="J62">
        <v>0</v>
      </c>
    </row>
    <row r="63" spans="1:10" x14ac:dyDescent="0.25">
      <c r="A63" t="s">
        <v>261</v>
      </c>
      <c r="B63" t="s">
        <v>149</v>
      </c>
      <c r="C63" t="s">
        <v>6</v>
      </c>
      <c r="D63" t="s">
        <v>106</v>
      </c>
      <c r="E63">
        <v>7766.9110000000001</v>
      </c>
      <c r="F63">
        <v>8743.4840000000004</v>
      </c>
      <c r="G63">
        <v>88.830848206504413</v>
      </c>
      <c r="H63">
        <v>6427</v>
      </c>
      <c r="I63">
        <v>7391</v>
      </c>
      <c r="J63">
        <v>86.96</v>
      </c>
    </row>
    <row r="64" spans="1:10" x14ac:dyDescent="0.25">
      <c r="A64" t="s">
        <v>262</v>
      </c>
      <c r="B64" t="s">
        <v>149</v>
      </c>
      <c r="C64" t="s">
        <v>6</v>
      </c>
      <c r="D64" t="s">
        <v>106</v>
      </c>
      <c r="E64">
        <v>1658.674</v>
      </c>
      <c r="F64">
        <v>1813.8219999999999</v>
      </c>
      <c r="G64">
        <v>91.446349200748472</v>
      </c>
      <c r="H64">
        <v>8074</v>
      </c>
      <c r="I64">
        <v>8939</v>
      </c>
      <c r="J64">
        <v>90.32</v>
      </c>
    </row>
    <row r="65" spans="1:10" x14ac:dyDescent="0.25">
      <c r="A65" t="s">
        <v>263</v>
      </c>
      <c r="B65" t="s">
        <v>149</v>
      </c>
      <c r="C65" t="s">
        <v>6</v>
      </c>
      <c r="D65" t="s">
        <v>106</v>
      </c>
      <c r="E65">
        <v>8480</v>
      </c>
      <c r="F65">
        <v>11529</v>
      </c>
      <c r="G65">
        <v>73.553647324139121</v>
      </c>
      <c r="H65">
        <v>0</v>
      </c>
      <c r="I65">
        <v>0</v>
      </c>
      <c r="J65">
        <v>0</v>
      </c>
    </row>
    <row r="66" spans="1:10" x14ac:dyDescent="0.25">
      <c r="A66" t="s">
        <v>264</v>
      </c>
      <c r="B66" t="s">
        <v>150</v>
      </c>
      <c r="C66" t="s">
        <v>6</v>
      </c>
      <c r="D66" t="s">
        <v>106</v>
      </c>
      <c r="E66">
        <v>41396.917999999998</v>
      </c>
      <c r="F66">
        <v>71690.703999999998</v>
      </c>
      <c r="G66">
        <v>57.743773865018824</v>
      </c>
      <c r="H66">
        <v>30459</v>
      </c>
      <c r="I66">
        <v>52066</v>
      </c>
      <c r="J66">
        <v>58.5</v>
      </c>
    </row>
    <row r="67" spans="1:10" x14ac:dyDescent="0.25">
      <c r="A67" t="s">
        <v>265</v>
      </c>
      <c r="B67" t="s">
        <v>150</v>
      </c>
      <c r="C67" t="s">
        <v>6</v>
      </c>
      <c r="D67" t="s">
        <v>106</v>
      </c>
      <c r="E67">
        <v>6982.9050000000007</v>
      </c>
      <c r="F67">
        <v>8149.0509999999995</v>
      </c>
      <c r="G67">
        <v>85.689793817709585</v>
      </c>
      <c r="H67">
        <v>7873</v>
      </c>
      <c r="I67">
        <v>9209</v>
      </c>
      <c r="J67">
        <v>85.5</v>
      </c>
    </row>
    <row r="68" spans="1:10" x14ac:dyDescent="0.25">
      <c r="A68" t="s">
        <v>245</v>
      </c>
      <c r="B68" t="s">
        <v>145</v>
      </c>
      <c r="C68" t="s">
        <v>7</v>
      </c>
      <c r="D68" t="s">
        <v>106</v>
      </c>
      <c r="E68">
        <v>9117.91</v>
      </c>
      <c r="F68">
        <v>9911.23</v>
      </c>
      <c r="G68">
        <v>91.995746239366866</v>
      </c>
      <c r="H68">
        <v>5597</v>
      </c>
      <c r="I68">
        <v>6585</v>
      </c>
      <c r="J68">
        <v>85</v>
      </c>
    </row>
    <row r="69" spans="1:10" x14ac:dyDescent="0.25">
      <c r="A69" t="s">
        <v>246</v>
      </c>
      <c r="B69" t="s">
        <v>145</v>
      </c>
      <c r="C69" t="s">
        <v>7</v>
      </c>
      <c r="D69" t="s">
        <v>106</v>
      </c>
      <c r="E69">
        <v>7320</v>
      </c>
      <c r="F69">
        <v>7784.3509999999997</v>
      </c>
      <c r="G69">
        <v>94.034814206091184</v>
      </c>
      <c r="H69">
        <v>14002</v>
      </c>
      <c r="I69">
        <v>14661</v>
      </c>
      <c r="J69">
        <v>95.5</v>
      </c>
    </row>
    <row r="70" spans="1:10" x14ac:dyDescent="0.25">
      <c r="A70" t="s">
        <v>247</v>
      </c>
      <c r="B70" t="s">
        <v>145</v>
      </c>
      <c r="C70" t="s">
        <v>7</v>
      </c>
      <c r="D70" t="s">
        <v>106</v>
      </c>
      <c r="E70">
        <v>19321.080000000002</v>
      </c>
      <c r="F70">
        <v>22152.856</v>
      </c>
      <c r="G70">
        <v>87.217106453452331</v>
      </c>
      <c r="H70">
        <v>43112</v>
      </c>
      <c r="I70">
        <v>48769</v>
      </c>
      <c r="J70">
        <v>88.4</v>
      </c>
    </row>
    <row r="71" spans="1:10" x14ac:dyDescent="0.25">
      <c r="A71" t="s">
        <v>248</v>
      </c>
      <c r="B71" t="s">
        <v>145</v>
      </c>
      <c r="C71" t="s">
        <v>7</v>
      </c>
      <c r="D71" t="s">
        <v>106</v>
      </c>
      <c r="E71">
        <v>52227.22</v>
      </c>
      <c r="F71">
        <v>59732.73</v>
      </c>
      <c r="G71">
        <v>87.434845184541203</v>
      </c>
      <c r="H71">
        <v>74452</v>
      </c>
      <c r="I71">
        <v>84413</v>
      </c>
      <c r="J71">
        <v>88.2</v>
      </c>
    </row>
    <row r="72" spans="1:10" x14ac:dyDescent="0.25">
      <c r="A72" t="s">
        <v>249</v>
      </c>
      <c r="B72" t="s">
        <v>145</v>
      </c>
      <c r="C72" t="s">
        <v>7</v>
      </c>
      <c r="D72" t="s">
        <v>106</v>
      </c>
      <c r="E72">
        <v>0</v>
      </c>
      <c r="F72">
        <v>0</v>
      </c>
      <c r="G72">
        <v>0</v>
      </c>
      <c r="H72">
        <v>1768</v>
      </c>
      <c r="I72">
        <v>1834</v>
      </c>
      <c r="J72">
        <v>96.4</v>
      </c>
    </row>
    <row r="73" spans="1:10" x14ac:dyDescent="0.25">
      <c r="A73" t="s">
        <v>250</v>
      </c>
      <c r="B73" t="s">
        <v>145</v>
      </c>
      <c r="C73" t="s">
        <v>7</v>
      </c>
      <c r="D73" t="s">
        <v>106</v>
      </c>
      <c r="E73">
        <v>2959.08</v>
      </c>
      <c r="F73">
        <v>3186.08</v>
      </c>
      <c r="G73">
        <v>92.875257369557573</v>
      </c>
      <c r="H73">
        <v>2126</v>
      </c>
      <c r="I73">
        <v>2266</v>
      </c>
      <c r="J73">
        <v>93.8</v>
      </c>
    </row>
    <row r="74" spans="1:10" x14ac:dyDescent="0.25">
      <c r="A74" t="s">
        <v>251</v>
      </c>
      <c r="B74" t="s">
        <v>145</v>
      </c>
      <c r="C74" t="s">
        <v>7</v>
      </c>
      <c r="D74" t="s">
        <v>106</v>
      </c>
      <c r="E74">
        <v>8907.58</v>
      </c>
      <c r="F74">
        <v>11821.72</v>
      </c>
      <c r="G74">
        <v>75.349272356306869</v>
      </c>
      <c r="H74">
        <v>8873</v>
      </c>
      <c r="I74">
        <v>12675</v>
      </c>
      <c r="J74">
        <v>70</v>
      </c>
    </row>
    <row r="75" spans="1:10" x14ac:dyDescent="0.25">
      <c r="A75" t="s">
        <v>252</v>
      </c>
      <c r="B75" t="s">
        <v>146</v>
      </c>
      <c r="C75" t="s">
        <v>7</v>
      </c>
      <c r="D75" t="s">
        <v>106</v>
      </c>
      <c r="E75">
        <v>74904.350000000006</v>
      </c>
      <c r="F75">
        <v>125903.77</v>
      </c>
      <c r="G75">
        <v>59.493333678570551</v>
      </c>
      <c r="H75">
        <v>107056</v>
      </c>
      <c r="I75">
        <v>184580</v>
      </c>
      <c r="J75">
        <v>58</v>
      </c>
    </row>
    <row r="76" spans="1:10" x14ac:dyDescent="0.25">
      <c r="A76" t="s">
        <v>253</v>
      </c>
      <c r="B76" t="s">
        <v>146</v>
      </c>
      <c r="C76" t="s">
        <v>7</v>
      </c>
      <c r="D76" t="s">
        <v>106</v>
      </c>
      <c r="E76">
        <v>13406.61</v>
      </c>
      <c r="F76">
        <v>14658.356</v>
      </c>
      <c r="G76">
        <v>91.460529407254128</v>
      </c>
      <c r="H76">
        <v>0</v>
      </c>
      <c r="I76">
        <v>0</v>
      </c>
      <c r="J76">
        <v>0</v>
      </c>
    </row>
    <row r="77" spans="1:10" x14ac:dyDescent="0.25">
      <c r="A77" t="s">
        <v>254</v>
      </c>
      <c r="B77" t="s">
        <v>146</v>
      </c>
      <c r="C77" t="s">
        <v>7</v>
      </c>
      <c r="D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277</v>
      </c>
      <c r="B78" t="s">
        <v>147</v>
      </c>
      <c r="C78" t="s">
        <v>7</v>
      </c>
      <c r="D78" t="s">
        <v>106</v>
      </c>
      <c r="E78">
        <v>70741.456000000006</v>
      </c>
      <c r="F78">
        <v>122003.783</v>
      </c>
      <c r="G78">
        <v>57.983002051665899</v>
      </c>
      <c r="H78">
        <v>90007</v>
      </c>
      <c r="I78">
        <v>155184</v>
      </c>
      <c r="J78">
        <v>58</v>
      </c>
    </row>
    <row r="79" spans="1:10" x14ac:dyDescent="0.25">
      <c r="A79" t="s">
        <v>255</v>
      </c>
      <c r="B79" t="s">
        <v>148</v>
      </c>
      <c r="C79" t="s">
        <v>7</v>
      </c>
      <c r="D79" t="s">
        <v>106</v>
      </c>
      <c r="E79">
        <v>14730.24</v>
      </c>
      <c r="F79">
        <v>16609.934000000001</v>
      </c>
      <c r="G79">
        <v>88.683314455072477</v>
      </c>
      <c r="H79">
        <v>5104</v>
      </c>
      <c r="I79">
        <v>5415</v>
      </c>
      <c r="J79">
        <v>94.26</v>
      </c>
    </row>
    <row r="80" spans="1:10" x14ac:dyDescent="0.25">
      <c r="A80" t="s">
        <v>256</v>
      </c>
      <c r="B80" t="s">
        <v>148</v>
      </c>
      <c r="C80" t="s">
        <v>7</v>
      </c>
      <c r="D80" t="s">
        <v>106</v>
      </c>
      <c r="E80">
        <v>26171.092000000001</v>
      </c>
      <c r="F80">
        <v>29044.187999999998</v>
      </c>
      <c r="G80">
        <v>90.107845328642014</v>
      </c>
      <c r="H80">
        <v>0</v>
      </c>
      <c r="I80">
        <v>0</v>
      </c>
      <c r="J80">
        <v>0</v>
      </c>
    </row>
    <row r="81" spans="1:10" x14ac:dyDescent="0.25">
      <c r="A81" t="s">
        <v>257</v>
      </c>
      <c r="B81" t="s">
        <v>148</v>
      </c>
      <c r="C81" t="s">
        <v>7</v>
      </c>
      <c r="D81" t="s">
        <v>106</v>
      </c>
      <c r="E81">
        <v>34367.232000000004</v>
      </c>
      <c r="F81">
        <v>39742.853999999999</v>
      </c>
      <c r="G81">
        <v>86.473991022386073</v>
      </c>
      <c r="H81">
        <v>13646</v>
      </c>
      <c r="I81">
        <v>15693</v>
      </c>
      <c r="J81">
        <v>86.96</v>
      </c>
    </row>
    <row r="82" spans="1:10" x14ac:dyDescent="0.25">
      <c r="A82" t="s">
        <v>258</v>
      </c>
      <c r="B82" t="s">
        <v>148</v>
      </c>
      <c r="C82" t="s">
        <v>7</v>
      </c>
      <c r="D82" t="s">
        <v>106</v>
      </c>
      <c r="E82">
        <v>0</v>
      </c>
      <c r="F82">
        <v>0</v>
      </c>
      <c r="G82">
        <v>0</v>
      </c>
      <c r="H82">
        <v>29478</v>
      </c>
      <c r="I82">
        <v>30867</v>
      </c>
      <c r="J82">
        <v>95.5</v>
      </c>
    </row>
    <row r="83" spans="1:10" x14ac:dyDescent="0.25">
      <c r="A83" t="s">
        <v>259</v>
      </c>
      <c r="B83" t="s">
        <v>149</v>
      </c>
      <c r="C83" t="s">
        <v>7</v>
      </c>
      <c r="D83" t="s">
        <v>106</v>
      </c>
      <c r="E83">
        <v>34129</v>
      </c>
      <c r="F83">
        <v>59064</v>
      </c>
      <c r="G83">
        <v>57.783082757686579</v>
      </c>
      <c r="H83">
        <v>44150</v>
      </c>
      <c r="I83">
        <v>72814</v>
      </c>
      <c r="J83">
        <v>60.63</v>
      </c>
    </row>
    <row r="84" spans="1:10" x14ac:dyDescent="0.25">
      <c r="A84" t="s">
        <v>260</v>
      </c>
      <c r="B84" t="s">
        <v>149</v>
      </c>
      <c r="C84" t="s">
        <v>7</v>
      </c>
      <c r="D84" t="s">
        <v>106</v>
      </c>
      <c r="E84">
        <v>4322.1899999999996</v>
      </c>
      <c r="F84">
        <v>4560.6019999999999</v>
      </c>
      <c r="G84">
        <v>94.772356807281128</v>
      </c>
      <c r="H84">
        <v>0</v>
      </c>
      <c r="I84">
        <v>0</v>
      </c>
      <c r="J84">
        <v>0</v>
      </c>
    </row>
    <row r="85" spans="1:10" x14ac:dyDescent="0.25">
      <c r="A85" t="s">
        <v>261</v>
      </c>
      <c r="B85" t="s">
        <v>149</v>
      </c>
      <c r="C85" t="s">
        <v>7</v>
      </c>
      <c r="D85" t="s">
        <v>106</v>
      </c>
      <c r="E85">
        <v>582.17600000000004</v>
      </c>
      <c r="F85">
        <v>667.53399999999999</v>
      </c>
      <c r="G85">
        <v>87.212935970302638</v>
      </c>
      <c r="H85">
        <v>13646</v>
      </c>
      <c r="I85">
        <v>15693</v>
      </c>
      <c r="J85">
        <v>86.96</v>
      </c>
    </row>
    <row r="86" spans="1:10" x14ac:dyDescent="0.25">
      <c r="A86" t="s">
        <v>262</v>
      </c>
      <c r="B86" t="s">
        <v>149</v>
      </c>
      <c r="C86" t="s">
        <v>7</v>
      </c>
      <c r="D86" t="s">
        <v>106</v>
      </c>
      <c r="E86">
        <v>572.62599999999998</v>
      </c>
      <c r="F86">
        <v>631.63400000000001</v>
      </c>
      <c r="G86">
        <v>90.657880988040546</v>
      </c>
      <c r="H86">
        <v>15748</v>
      </c>
      <c r="I86">
        <v>17436</v>
      </c>
      <c r="J86">
        <v>90.32</v>
      </c>
    </row>
    <row r="87" spans="1:10" x14ac:dyDescent="0.25">
      <c r="A87" t="s">
        <v>263</v>
      </c>
      <c r="B87" t="s">
        <v>149</v>
      </c>
      <c r="C87" t="s">
        <v>7</v>
      </c>
      <c r="D87" t="s">
        <v>106</v>
      </c>
      <c r="E87">
        <v>9892</v>
      </c>
      <c r="F87">
        <v>15145</v>
      </c>
      <c r="G87">
        <v>65.315285572796299</v>
      </c>
      <c r="H87">
        <v>0</v>
      </c>
      <c r="I87">
        <v>0</v>
      </c>
      <c r="J87">
        <v>0</v>
      </c>
    </row>
    <row r="88" spans="1:10" x14ac:dyDescent="0.25">
      <c r="A88" t="s">
        <v>264</v>
      </c>
      <c r="B88" t="s">
        <v>150</v>
      </c>
      <c r="C88" t="s">
        <v>7</v>
      </c>
      <c r="D88" t="s">
        <v>106</v>
      </c>
      <c r="E88">
        <v>53040.057000000001</v>
      </c>
      <c r="F88">
        <v>91953.633999999991</v>
      </c>
      <c r="G88">
        <v>57.681305993844688</v>
      </c>
      <c r="H88">
        <v>45234</v>
      </c>
      <c r="I88">
        <v>77323</v>
      </c>
      <c r="J88">
        <v>58.5</v>
      </c>
    </row>
    <row r="89" spans="1:10" x14ac:dyDescent="0.25">
      <c r="A89" t="s">
        <v>265</v>
      </c>
      <c r="B89" t="s">
        <v>150</v>
      </c>
      <c r="C89" t="s">
        <v>7</v>
      </c>
      <c r="D89" t="s">
        <v>106</v>
      </c>
      <c r="E89">
        <v>10749.582999999999</v>
      </c>
      <c r="F89">
        <v>12632.175999999999</v>
      </c>
      <c r="G89">
        <v>85.096843172546031</v>
      </c>
      <c r="H89">
        <v>12803</v>
      </c>
      <c r="I89">
        <v>14974</v>
      </c>
      <c r="J89">
        <v>85.5</v>
      </c>
    </row>
    <row r="90" spans="1:10" x14ac:dyDescent="0.25">
      <c r="A90" t="s">
        <v>245</v>
      </c>
      <c r="B90" t="s">
        <v>145</v>
      </c>
      <c r="C90" t="s">
        <v>8</v>
      </c>
      <c r="D90" t="s">
        <v>106</v>
      </c>
      <c r="E90">
        <v>3043.67</v>
      </c>
      <c r="F90">
        <v>3387.529</v>
      </c>
      <c r="G90">
        <v>89.849267711066091</v>
      </c>
      <c r="H90">
        <v>7389</v>
      </c>
      <c r="I90">
        <v>8693</v>
      </c>
      <c r="J90">
        <v>85</v>
      </c>
    </row>
    <row r="91" spans="1:10" x14ac:dyDescent="0.25">
      <c r="A91" t="s">
        <v>246</v>
      </c>
      <c r="B91" t="s">
        <v>145</v>
      </c>
      <c r="C91" t="s">
        <v>8</v>
      </c>
      <c r="D91" t="s">
        <v>106</v>
      </c>
      <c r="E91">
        <v>15657.64</v>
      </c>
      <c r="F91">
        <v>16736.54</v>
      </c>
      <c r="G91">
        <v>93.553625779282925</v>
      </c>
      <c r="H91">
        <v>20783</v>
      </c>
      <c r="I91">
        <v>21762</v>
      </c>
      <c r="J91">
        <v>95.5</v>
      </c>
    </row>
    <row r="92" spans="1:10" x14ac:dyDescent="0.25">
      <c r="A92" t="s">
        <v>247</v>
      </c>
      <c r="B92" t="s">
        <v>145</v>
      </c>
      <c r="C92" t="s">
        <v>8</v>
      </c>
      <c r="D92" t="s">
        <v>106</v>
      </c>
      <c r="E92">
        <v>7858.15</v>
      </c>
      <c r="F92">
        <v>8975.6970000000001</v>
      </c>
      <c r="G92">
        <v>87.549189773228747</v>
      </c>
      <c r="H92">
        <v>49801</v>
      </c>
      <c r="I92">
        <v>56336</v>
      </c>
      <c r="J92">
        <v>88.4</v>
      </c>
    </row>
    <row r="93" spans="1:10" x14ac:dyDescent="0.25">
      <c r="A93" t="s">
        <v>248</v>
      </c>
      <c r="B93" t="s">
        <v>145</v>
      </c>
      <c r="C93" t="s">
        <v>8</v>
      </c>
      <c r="D93" t="s">
        <v>106</v>
      </c>
      <c r="E93">
        <v>100891.67</v>
      </c>
      <c r="F93">
        <v>117396.961</v>
      </c>
      <c r="G93">
        <v>85.94061476599893</v>
      </c>
      <c r="H93">
        <v>104047</v>
      </c>
      <c r="I93">
        <v>117967</v>
      </c>
      <c r="J93">
        <v>88.2</v>
      </c>
    </row>
    <row r="94" spans="1:10" x14ac:dyDescent="0.25">
      <c r="A94" t="s">
        <v>249</v>
      </c>
      <c r="B94" t="s">
        <v>145</v>
      </c>
      <c r="C94" t="s">
        <v>8</v>
      </c>
      <c r="D94" t="s">
        <v>106</v>
      </c>
      <c r="E94">
        <v>2372.2600000000002</v>
      </c>
      <c r="F94">
        <v>2482.0680000000002</v>
      </c>
      <c r="G94">
        <v>95.57594715374438</v>
      </c>
      <c r="H94">
        <v>2625</v>
      </c>
      <c r="I94">
        <v>2723</v>
      </c>
      <c r="J94">
        <v>96.4</v>
      </c>
    </row>
    <row r="95" spans="1:10" x14ac:dyDescent="0.25">
      <c r="A95" t="s">
        <v>250</v>
      </c>
      <c r="B95" t="s">
        <v>145</v>
      </c>
      <c r="C95" t="s">
        <v>8</v>
      </c>
      <c r="D95" t="s">
        <v>106</v>
      </c>
      <c r="E95">
        <v>2803.81</v>
      </c>
      <c r="F95">
        <v>3020.377</v>
      </c>
      <c r="G95">
        <v>92.829802372352859</v>
      </c>
      <c r="H95">
        <v>2497</v>
      </c>
      <c r="I95">
        <v>2662</v>
      </c>
      <c r="J95">
        <v>93.8</v>
      </c>
    </row>
    <row r="96" spans="1:10" x14ac:dyDescent="0.25">
      <c r="A96" t="s">
        <v>251</v>
      </c>
      <c r="B96" t="s">
        <v>145</v>
      </c>
      <c r="C96" t="s">
        <v>8</v>
      </c>
      <c r="D96" t="s">
        <v>106</v>
      </c>
      <c r="E96">
        <v>7753.9</v>
      </c>
      <c r="F96">
        <v>10719.630999999999</v>
      </c>
      <c r="G96">
        <v>72.333646559289207</v>
      </c>
      <c r="H96">
        <v>11121</v>
      </c>
      <c r="I96">
        <v>15886</v>
      </c>
      <c r="J96">
        <v>70</v>
      </c>
    </row>
    <row r="97" spans="1:10" x14ac:dyDescent="0.25">
      <c r="A97" t="s">
        <v>252</v>
      </c>
      <c r="B97" t="s">
        <v>146</v>
      </c>
      <c r="C97" t="s">
        <v>8</v>
      </c>
      <c r="D97" t="s">
        <v>106</v>
      </c>
      <c r="E97">
        <v>118891.428</v>
      </c>
      <c r="F97">
        <v>196309.71</v>
      </c>
      <c r="G97">
        <v>60.563192722356938</v>
      </c>
      <c r="H97">
        <v>130337</v>
      </c>
      <c r="I97">
        <v>224719</v>
      </c>
      <c r="J97">
        <v>58</v>
      </c>
    </row>
    <row r="98" spans="1:10" x14ac:dyDescent="0.25">
      <c r="A98" t="s">
        <v>253</v>
      </c>
      <c r="B98" t="s">
        <v>146</v>
      </c>
      <c r="C98" t="s">
        <v>8</v>
      </c>
      <c r="D98" t="s">
        <v>106</v>
      </c>
      <c r="E98">
        <v>29171.06</v>
      </c>
      <c r="F98">
        <v>33004.095999999998</v>
      </c>
      <c r="G98">
        <v>88.386180915241567</v>
      </c>
      <c r="H98">
        <v>0</v>
      </c>
      <c r="I98">
        <v>0</v>
      </c>
      <c r="J98">
        <v>0</v>
      </c>
    </row>
    <row r="99" spans="1:10" x14ac:dyDescent="0.25">
      <c r="A99" t="s">
        <v>254</v>
      </c>
      <c r="B99" t="s">
        <v>146</v>
      </c>
      <c r="C99" t="s">
        <v>8</v>
      </c>
      <c r="D99" t="s">
        <v>106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277</v>
      </c>
      <c r="B100" t="s">
        <v>147</v>
      </c>
      <c r="C100" t="s">
        <v>8</v>
      </c>
      <c r="D100" t="s">
        <v>106</v>
      </c>
      <c r="E100">
        <v>94614.418999999994</v>
      </c>
      <c r="F100">
        <v>158412.98699999999</v>
      </c>
      <c r="G100">
        <v>59.726428237856531</v>
      </c>
      <c r="H100">
        <v>130790</v>
      </c>
      <c r="I100">
        <v>225499</v>
      </c>
      <c r="J100">
        <v>58</v>
      </c>
    </row>
    <row r="101" spans="1:10" x14ac:dyDescent="0.25">
      <c r="A101" t="s">
        <v>255</v>
      </c>
      <c r="B101" t="s">
        <v>148</v>
      </c>
      <c r="C101" t="s">
        <v>8</v>
      </c>
      <c r="D101" t="s">
        <v>106</v>
      </c>
      <c r="E101">
        <v>20704.27</v>
      </c>
      <c r="F101">
        <v>23532.661</v>
      </c>
      <c r="G101">
        <v>87.980997984035895</v>
      </c>
      <c r="H101">
        <v>1214</v>
      </c>
      <c r="I101">
        <v>1366</v>
      </c>
      <c r="J101">
        <v>88.83</v>
      </c>
    </row>
    <row r="102" spans="1:10" x14ac:dyDescent="0.25">
      <c r="A102" t="s">
        <v>256</v>
      </c>
      <c r="B102" t="s">
        <v>148</v>
      </c>
      <c r="C102" t="s">
        <v>8</v>
      </c>
      <c r="D102" t="s">
        <v>106</v>
      </c>
      <c r="E102">
        <v>30592.091</v>
      </c>
      <c r="F102">
        <v>33955.569000000003</v>
      </c>
      <c r="G102">
        <v>90.094473162855834</v>
      </c>
      <c r="H102">
        <v>0</v>
      </c>
      <c r="I102">
        <v>0</v>
      </c>
      <c r="J102">
        <v>0</v>
      </c>
    </row>
    <row r="103" spans="1:10" x14ac:dyDescent="0.25">
      <c r="A103" t="s">
        <v>257</v>
      </c>
      <c r="B103" t="s">
        <v>148</v>
      </c>
      <c r="C103" t="s">
        <v>8</v>
      </c>
      <c r="D103" t="s">
        <v>106</v>
      </c>
      <c r="E103">
        <v>46583.341</v>
      </c>
      <c r="F103">
        <v>53721.339</v>
      </c>
      <c r="G103">
        <v>86.712918678367274</v>
      </c>
      <c r="H103">
        <v>18573</v>
      </c>
      <c r="I103">
        <v>21358</v>
      </c>
      <c r="J103">
        <v>86.96</v>
      </c>
    </row>
    <row r="104" spans="1:10" x14ac:dyDescent="0.25">
      <c r="A104" t="s">
        <v>258</v>
      </c>
      <c r="B104" t="s">
        <v>148</v>
      </c>
      <c r="C104" t="s">
        <v>8</v>
      </c>
      <c r="D104" t="s">
        <v>106</v>
      </c>
      <c r="E104">
        <v>0</v>
      </c>
      <c r="F104">
        <v>0</v>
      </c>
      <c r="G104">
        <v>0</v>
      </c>
      <c r="H104">
        <v>1900</v>
      </c>
      <c r="I104">
        <v>1989</v>
      </c>
      <c r="J104">
        <v>95.5</v>
      </c>
    </row>
    <row r="105" spans="1:10" x14ac:dyDescent="0.25">
      <c r="A105" t="s">
        <v>259</v>
      </c>
      <c r="B105" t="s">
        <v>149</v>
      </c>
      <c r="C105" t="s">
        <v>8</v>
      </c>
      <c r="D105" t="s">
        <v>106</v>
      </c>
      <c r="E105">
        <v>50686</v>
      </c>
      <c r="F105">
        <v>88060</v>
      </c>
      <c r="G105">
        <v>57.558482852600498</v>
      </c>
      <c r="H105">
        <v>59874</v>
      </c>
      <c r="I105">
        <v>98894</v>
      </c>
      <c r="J105">
        <v>60.54</v>
      </c>
    </row>
    <row r="106" spans="1:10" x14ac:dyDescent="0.25">
      <c r="A106" t="s">
        <v>260</v>
      </c>
      <c r="B106" t="s">
        <v>149</v>
      </c>
      <c r="C106" t="s">
        <v>8</v>
      </c>
      <c r="D106" t="s">
        <v>106</v>
      </c>
      <c r="E106">
        <v>1875.078</v>
      </c>
      <c r="F106">
        <v>1977.8530000000001</v>
      </c>
      <c r="G106">
        <v>94.803708870173864</v>
      </c>
      <c r="H106">
        <v>0</v>
      </c>
      <c r="I106">
        <v>0</v>
      </c>
      <c r="J106">
        <v>0</v>
      </c>
    </row>
    <row r="107" spans="1:10" x14ac:dyDescent="0.25">
      <c r="A107" t="s">
        <v>261</v>
      </c>
      <c r="B107" t="s">
        <v>149</v>
      </c>
      <c r="C107" t="s">
        <v>8</v>
      </c>
      <c r="D107" t="s">
        <v>106</v>
      </c>
      <c r="E107">
        <v>5005.0990000000002</v>
      </c>
      <c r="F107">
        <v>5660.7479999999996</v>
      </c>
      <c r="G107">
        <v>88.417626080510928</v>
      </c>
      <c r="H107">
        <v>18573</v>
      </c>
      <c r="I107">
        <v>21358</v>
      </c>
      <c r="J107">
        <v>86.96</v>
      </c>
    </row>
    <row r="108" spans="1:10" x14ac:dyDescent="0.25">
      <c r="A108" t="s">
        <v>262</v>
      </c>
      <c r="B108" t="s">
        <v>149</v>
      </c>
      <c r="C108" t="s">
        <v>8</v>
      </c>
      <c r="D108" t="s">
        <v>106</v>
      </c>
      <c r="E108">
        <v>2779.5259999999998</v>
      </c>
      <c r="F108">
        <v>3050.556</v>
      </c>
      <c r="G108">
        <v>91.115390112490957</v>
      </c>
      <c r="H108">
        <v>20551</v>
      </c>
      <c r="I108">
        <v>22754</v>
      </c>
      <c r="J108">
        <v>90.32</v>
      </c>
    </row>
    <row r="109" spans="1:10" x14ac:dyDescent="0.25">
      <c r="A109" t="s">
        <v>263</v>
      </c>
      <c r="B109" t="s">
        <v>149</v>
      </c>
      <c r="C109" t="s">
        <v>8</v>
      </c>
      <c r="D109" t="s">
        <v>106</v>
      </c>
      <c r="E109">
        <v>16824</v>
      </c>
      <c r="F109">
        <v>26749</v>
      </c>
      <c r="G109">
        <v>62.89580918912857</v>
      </c>
      <c r="H109">
        <v>0</v>
      </c>
      <c r="I109">
        <v>0</v>
      </c>
      <c r="J109">
        <v>0</v>
      </c>
    </row>
    <row r="110" spans="1:10" x14ac:dyDescent="0.25">
      <c r="A110" t="s">
        <v>264</v>
      </c>
      <c r="B110" t="s">
        <v>150</v>
      </c>
      <c r="C110" t="s">
        <v>8</v>
      </c>
      <c r="D110" t="s">
        <v>106</v>
      </c>
      <c r="E110">
        <v>27457.459000000003</v>
      </c>
      <c r="F110">
        <v>47721.683999999994</v>
      </c>
      <c r="G110">
        <v>57.536651472735137</v>
      </c>
      <c r="H110">
        <v>55781</v>
      </c>
      <c r="I110">
        <v>95352</v>
      </c>
      <c r="J110">
        <v>58.5</v>
      </c>
    </row>
    <row r="111" spans="1:10" x14ac:dyDescent="0.25">
      <c r="A111" t="s">
        <v>265</v>
      </c>
      <c r="B111" t="s">
        <v>150</v>
      </c>
      <c r="C111" t="s">
        <v>8</v>
      </c>
      <c r="D111" t="s">
        <v>106</v>
      </c>
      <c r="E111">
        <v>3435.3220000000001</v>
      </c>
      <c r="F111">
        <v>4012.6149999999998</v>
      </c>
      <c r="G111">
        <v>85.613047850341999</v>
      </c>
      <c r="H111">
        <v>18762</v>
      </c>
      <c r="I111">
        <v>21944</v>
      </c>
      <c r="J111">
        <v>85.5</v>
      </c>
    </row>
    <row r="112" spans="1:10" x14ac:dyDescent="0.25">
      <c r="A112" t="s">
        <v>245</v>
      </c>
      <c r="B112" t="s">
        <v>145</v>
      </c>
      <c r="C112" t="s">
        <v>9</v>
      </c>
      <c r="D112" t="s">
        <v>106</v>
      </c>
      <c r="E112">
        <v>0</v>
      </c>
      <c r="F112">
        <v>0</v>
      </c>
      <c r="G112">
        <v>0</v>
      </c>
      <c r="H112">
        <v>7166</v>
      </c>
      <c r="I112">
        <v>8431</v>
      </c>
      <c r="J112">
        <v>85</v>
      </c>
    </row>
    <row r="113" spans="1:10" x14ac:dyDescent="0.25">
      <c r="A113" t="s">
        <v>246</v>
      </c>
      <c r="B113" t="s">
        <v>145</v>
      </c>
      <c r="C113" t="s">
        <v>9</v>
      </c>
      <c r="D113" t="s">
        <v>106</v>
      </c>
      <c r="E113">
        <v>11938</v>
      </c>
      <c r="F113">
        <v>12500</v>
      </c>
      <c r="G113">
        <v>95.504000000000005</v>
      </c>
      <c r="H113">
        <v>19877</v>
      </c>
      <c r="I113">
        <v>20814</v>
      </c>
      <c r="J113">
        <v>95.5</v>
      </c>
    </row>
    <row r="114" spans="1:10" x14ac:dyDescent="0.25">
      <c r="A114" t="s">
        <v>247</v>
      </c>
      <c r="B114" t="s">
        <v>145</v>
      </c>
      <c r="C114" t="s">
        <v>9</v>
      </c>
      <c r="D114" t="s">
        <v>106</v>
      </c>
      <c r="E114">
        <v>67272</v>
      </c>
      <c r="F114">
        <v>76100</v>
      </c>
      <c r="G114">
        <v>88.399474375821285</v>
      </c>
      <c r="H114">
        <v>47631</v>
      </c>
      <c r="I114">
        <v>53881</v>
      </c>
      <c r="J114">
        <v>88.4</v>
      </c>
    </row>
    <row r="115" spans="1:10" x14ac:dyDescent="0.25">
      <c r="A115" t="s">
        <v>248</v>
      </c>
      <c r="B115" t="s">
        <v>145</v>
      </c>
      <c r="C115" t="s">
        <v>9</v>
      </c>
      <c r="D115" t="s">
        <v>106</v>
      </c>
      <c r="E115">
        <v>77616</v>
      </c>
      <c r="F115">
        <v>88000</v>
      </c>
      <c r="G115">
        <v>88.2</v>
      </c>
      <c r="H115">
        <v>102082</v>
      </c>
      <c r="I115">
        <v>115740</v>
      </c>
      <c r="J115">
        <v>88.2</v>
      </c>
    </row>
    <row r="116" spans="1:10" x14ac:dyDescent="0.25">
      <c r="A116" t="s">
        <v>249</v>
      </c>
      <c r="B116" t="s">
        <v>145</v>
      </c>
      <c r="C116" t="s">
        <v>9</v>
      </c>
      <c r="D116" t="s">
        <v>106</v>
      </c>
      <c r="E116">
        <v>2892</v>
      </c>
      <c r="F116">
        <v>3000</v>
      </c>
      <c r="G116">
        <v>96.399999999999991</v>
      </c>
      <c r="H116">
        <v>2510</v>
      </c>
      <c r="I116">
        <v>2604</v>
      </c>
      <c r="J116">
        <v>96.4</v>
      </c>
    </row>
    <row r="117" spans="1:10" x14ac:dyDescent="0.25">
      <c r="A117" t="s">
        <v>250</v>
      </c>
      <c r="B117" t="s">
        <v>145</v>
      </c>
      <c r="C117" t="s">
        <v>9</v>
      </c>
      <c r="D117" t="s">
        <v>106</v>
      </c>
      <c r="E117">
        <v>7035</v>
      </c>
      <c r="F117">
        <v>7500</v>
      </c>
      <c r="G117">
        <v>93.8</v>
      </c>
      <c r="H117">
        <v>2388</v>
      </c>
      <c r="I117">
        <v>2546</v>
      </c>
      <c r="J117">
        <v>93.8</v>
      </c>
    </row>
    <row r="118" spans="1:10" x14ac:dyDescent="0.25">
      <c r="A118" t="s">
        <v>251</v>
      </c>
      <c r="B118" t="s">
        <v>145</v>
      </c>
      <c r="C118" t="s">
        <v>9</v>
      </c>
      <c r="D118" t="s">
        <v>106</v>
      </c>
      <c r="E118">
        <v>21000</v>
      </c>
      <c r="F118">
        <v>30000</v>
      </c>
      <c r="G118">
        <v>70</v>
      </c>
      <c r="H118">
        <v>10630</v>
      </c>
      <c r="I118">
        <v>15186</v>
      </c>
      <c r="J118">
        <v>70</v>
      </c>
    </row>
    <row r="119" spans="1:10" x14ac:dyDescent="0.25">
      <c r="A119" t="s">
        <v>252</v>
      </c>
      <c r="B119" t="s">
        <v>146</v>
      </c>
      <c r="C119" t="s">
        <v>9</v>
      </c>
      <c r="D119" t="s">
        <v>106</v>
      </c>
      <c r="E119">
        <v>164639</v>
      </c>
      <c r="F119">
        <v>283860</v>
      </c>
      <c r="G119">
        <v>58.000070457267668</v>
      </c>
      <c r="H119">
        <v>143114</v>
      </c>
      <c r="I119">
        <v>246748</v>
      </c>
      <c r="J119">
        <v>58</v>
      </c>
    </row>
    <row r="120" spans="1:10" x14ac:dyDescent="0.25">
      <c r="A120" t="s">
        <v>253</v>
      </c>
      <c r="B120" t="s">
        <v>146</v>
      </c>
      <c r="C120" t="s">
        <v>9</v>
      </c>
      <c r="D120" t="s">
        <v>106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254</v>
      </c>
      <c r="B121" t="s">
        <v>146</v>
      </c>
      <c r="C121" t="s">
        <v>9</v>
      </c>
      <c r="D121" t="s">
        <v>106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277</v>
      </c>
      <c r="B122" t="s">
        <v>147</v>
      </c>
      <c r="C122" t="s">
        <v>9</v>
      </c>
      <c r="D122" t="s">
        <v>106</v>
      </c>
      <c r="E122">
        <v>124388</v>
      </c>
      <c r="F122">
        <v>214462</v>
      </c>
      <c r="G122">
        <v>58.000018651322847</v>
      </c>
      <c r="H122">
        <v>120098</v>
      </c>
      <c r="I122">
        <v>207066</v>
      </c>
      <c r="J122">
        <v>58</v>
      </c>
    </row>
    <row r="123" spans="1:10" x14ac:dyDescent="0.25">
      <c r="A123" t="s">
        <v>255</v>
      </c>
      <c r="B123" t="s">
        <v>148</v>
      </c>
      <c r="C123" t="s">
        <v>9</v>
      </c>
      <c r="D123" t="s">
        <v>106</v>
      </c>
      <c r="E123">
        <v>27973</v>
      </c>
      <c r="F123">
        <v>47563</v>
      </c>
      <c r="G123">
        <v>58.81252233879276</v>
      </c>
      <c r="H123">
        <v>1330</v>
      </c>
      <c r="I123">
        <v>1501</v>
      </c>
      <c r="J123">
        <v>88.58</v>
      </c>
    </row>
    <row r="124" spans="1:10" x14ac:dyDescent="0.25">
      <c r="A124" t="s">
        <v>256</v>
      </c>
      <c r="B124" t="s">
        <v>148</v>
      </c>
      <c r="C124" t="s">
        <v>9</v>
      </c>
      <c r="D124" t="s">
        <v>106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257</v>
      </c>
      <c r="B125" t="s">
        <v>148</v>
      </c>
      <c r="C125" t="s">
        <v>9</v>
      </c>
      <c r="D125" t="s">
        <v>106</v>
      </c>
      <c r="E125">
        <v>21141</v>
      </c>
      <c r="F125">
        <v>24311</v>
      </c>
      <c r="G125">
        <v>86.960635103451111</v>
      </c>
      <c r="H125">
        <v>21141</v>
      </c>
      <c r="I125">
        <v>24311</v>
      </c>
      <c r="J125">
        <v>86.96</v>
      </c>
    </row>
    <row r="126" spans="1:10" x14ac:dyDescent="0.25">
      <c r="A126" t="s">
        <v>258</v>
      </c>
      <c r="B126" t="s">
        <v>148</v>
      </c>
      <c r="C126" t="s">
        <v>9</v>
      </c>
      <c r="D126" t="s">
        <v>106</v>
      </c>
      <c r="E126">
        <v>1817</v>
      </c>
      <c r="F126">
        <v>1903</v>
      </c>
      <c r="G126">
        <v>95.480819758276397</v>
      </c>
      <c r="H126">
        <v>1817</v>
      </c>
      <c r="I126">
        <v>1903</v>
      </c>
      <c r="J126">
        <v>95.5</v>
      </c>
    </row>
    <row r="127" spans="1:10" x14ac:dyDescent="0.25">
      <c r="A127" t="s">
        <v>259</v>
      </c>
      <c r="B127" t="s">
        <v>149</v>
      </c>
      <c r="C127" t="s">
        <v>9</v>
      </c>
      <c r="D127" t="s">
        <v>106</v>
      </c>
      <c r="E127">
        <v>15568</v>
      </c>
      <c r="F127">
        <v>22032</v>
      </c>
      <c r="G127">
        <v>70.660856935366752</v>
      </c>
      <c r="H127">
        <v>53956</v>
      </c>
      <c r="I127">
        <v>88094</v>
      </c>
      <c r="J127">
        <v>61.25</v>
      </c>
    </row>
    <row r="128" spans="1:10" x14ac:dyDescent="0.25">
      <c r="A128" t="s">
        <v>260</v>
      </c>
      <c r="B128" t="s">
        <v>149</v>
      </c>
      <c r="C128" t="s">
        <v>9</v>
      </c>
      <c r="D128" t="s">
        <v>106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261</v>
      </c>
      <c r="B129" t="s">
        <v>149</v>
      </c>
      <c r="C129" t="s">
        <v>9</v>
      </c>
      <c r="D129" t="s">
        <v>106</v>
      </c>
      <c r="E129">
        <v>12445</v>
      </c>
      <c r="F129">
        <v>14311</v>
      </c>
      <c r="G129">
        <v>86.96107889036405</v>
      </c>
      <c r="H129">
        <v>21141</v>
      </c>
      <c r="I129">
        <v>24311</v>
      </c>
      <c r="J129">
        <v>86.96</v>
      </c>
    </row>
    <row r="130" spans="1:10" x14ac:dyDescent="0.25">
      <c r="A130" t="s">
        <v>262</v>
      </c>
      <c r="B130" t="s">
        <v>149</v>
      </c>
      <c r="C130" t="s">
        <v>9</v>
      </c>
      <c r="D130" t="s">
        <v>106</v>
      </c>
      <c r="E130">
        <v>23580</v>
      </c>
      <c r="F130">
        <v>25880</v>
      </c>
      <c r="G130">
        <v>91.112828438948995</v>
      </c>
      <c r="H130">
        <v>23374</v>
      </c>
      <c r="I130">
        <v>25880</v>
      </c>
      <c r="J130">
        <v>90.32</v>
      </c>
    </row>
    <row r="131" spans="1:10" x14ac:dyDescent="0.25">
      <c r="A131" t="s">
        <v>263</v>
      </c>
      <c r="B131" t="s">
        <v>149</v>
      </c>
      <c r="C131" t="s">
        <v>9</v>
      </c>
      <c r="D131" t="s">
        <v>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264</v>
      </c>
      <c r="B132" t="s">
        <v>150</v>
      </c>
      <c r="C132" t="s">
        <v>9</v>
      </c>
      <c r="D132" t="s">
        <v>106</v>
      </c>
      <c r="E132">
        <v>48704</v>
      </c>
      <c r="F132">
        <v>83254</v>
      </c>
      <c r="G132">
        <v>58.500492468830323</v>
      </c>
      <c r="H132">
        <v>53019</v>
      </c>
      <c r="I132">
        <v>90630</v>
      </c>
      <c r="J132">
        <v>58.5</v>
      </c>
    </row>
    <row r="133" spans="1:10" x14ac:dyDescent="0.25">
      <c r="A133" t="s">
        <v>265</v>
      </c>
      <c r="B133" t="s">
        <v>150</v>
      </c>
      <c r="C133" t="s">
        <v>9</v>
      </c>
      <c r="D133" t="s">
        <v>106</v>
      </c>
      <c r="E133">
        <v>24308</v>
      </c>
      <c r="F133">
        <v>28431</v>
      </c>
      <c r="G133">
        <v>85.498223769828712</v>
      </c>
      <c r="H133">
        <v>17933</v>
      </c>
      <c r="I133">
        <v>20974</v>
      </c>
      <c r="J133">
        <v>85.5</v>
      </c>
    </row>
    <row r="134" spans="1:10" x14ac:dyDescent="0.25">
      <c r="A134" t="s">
        <v>245</v>
      </c>
      <c r="B134" t="s">
        <v>145</v>
      </c>
      <c r="C134" t="s">
        <v>10</v>
      </c>
      <c r="D134" t="s">
        <v>106</v>
      </c>
      <c r="E134">
        <v>0</v>
      </c>
      <c r="F134">
        <v>0</v>
      </c>
      <c r="G134">
        <v>0</v>
      </c>
      <c r="H134">
        <v>7376</v>
      </c>
      <c r="I134">
        <v>8678</v>
      </c>
      <c r="J134">
        <v>85</v>
      </c>
    </row>
    <row r="135" spans="1:10" x14ac:dyDescent="0.25">
      <c r="A135" t="s">
        <v>246</v>
      </c>
      <c r="B135" t="s">
        <v>145</v>
      </c>
      <c r="C135" t="s">
        <v>10</v>
      </c>
      <c r="D135" t="s">
        <v>106</v>
      </c>
      <c r="E135">
        <v>19100</v>
      </c>
      <c r="F135">
        <v>20000</v>
      </c>
      <c r="G135">
        <v>95.5</v>
      </c>
      <c r="H135">
        <v>21478</v>
      </c>
      <c r="I135">
        <v>22490</v>
      </c>
      <c r="J135">
        <v>95.5</v>
      </c>
    </row>
    <row r="136" spans="1:10" x14ac:dyDescent="0.25">
      <c r="A136" t="s">
        <v>247</v>
      </c>
      <c r="B136" t="s">
        <v>145</v>
      </c>
      <c r="C136" t="s">
        <v>10</v>
      </c>
      <c r="D136" t="s">
        <v>106</v>
      </c>
      <c r="E136">
        <v>52068</v>
      </c>
      <c r="F136">
        <v>58900</v>
      </c>
      <c r="G136">
        <v>88.400679117147703</v>
      </c>
      <c r="H136">
        <v>51468</v>
      </c>
      <c r="I136">
        <v>58221</v>
      </c>
      <c r="J136">
        <v>88.4</v>
      </c>
    </row>
    <row r="137" spans="1:10" x14ac:dyDescent="0.25">
      <c r="A137" t="s">
        <v>248</v>
      </c>
      <c r="B137" t="s">
        <v>145</v>
      </c>
      <c r="C137" t="s">
        <v>10</v>
      </c>
      <c r="D137" t="s">
        <v>106</v>
      </c>
      <c r="E137">
        <v>81144</v>
      </c>
      <c r="F137">
        <v>92000</v>
      </c>
      <c r="G137">
        <v>88.2</v>
      </c>
      <c r="H137">
        <v>101978</v>
      </c>
      <c r="I137">
        <v>115621</v>
      </c>
      <c r="J137">
        <v>88.2</v>
      </c>
    </row>
    <row r="138" spans="1:10" x14ac:dyDescent="0.25">
      <c r="A138" t="s">
        <v>249</v>
      </c>
      <c r="B138" t="s">
        <v>145</v>
      </c>
      <c r="C138" t="s">
        <v>10</v>
      </c>
      <c r="D138" t="s">
        <v>106</v>
      </c>
      <c r="E138">
        <v>0</v>
      </c>
      <c r="F138">
        <v>0</v>
      </c>
      <c r="G138">
        <v>0</v>
      </c>
      <c r="H138">
        <v>2713</v>
      </c>
      <c r="I138">
        <v>2814</v>
      </c>
      <c r="J138">
        <v>96.4</v>
      </c>
    </row>
    <row r="139" spans="1:10" x14ac:dyDescent="0.25">
      <c r="A139" t="s">
        <v>250</v>
      </c>
      <c r="B139" t="s">
        <v>145</v>
      </c>
      <c r="C139" t="s">
        <v>10</v>
      </c>
      <c r="D139" t="s">
        <v>106</v>
      </c>
      <c r="E139">
        <v>7035</v>
      </c>
      <c r="F139">
        <v>7500</v>
      </c>
      <c r="G139">
        <v>93.8</v>
      </c>
      <c r="H139">
        <v>1343</v>
      </c>
      <c r="I139">
        <v>1432</v>
      </c>
      <c r="J139">
        <v>93.8</v>
      </c>
    </row>
    <row r="140" spans="1:10" x14ac:dyDescent="0.25">
      <c r="A140" t="s">
        <v>251</v>
      </c>
      <c r="B140" t="s">
        <v>145</v>
      </c>
      <c r="C140" t="s">
        <v>10</v>
      </c>
      <c r="D140" t="s">
        <v>106</v>
      </c>
      <c r="E140">
        <v>23800</v>
      </c>
      <c r="F140">
        <v>34000</v>
      </c>
      <c r="G140">
        <v>70</v>
      </c>
      <c r="H140">
        <v>11454</v>
      </c>
      <c r="I140">
        <v>16363</v>
      </c>
      <c r="J140">
        <v>70</v>
      </c>
    </row>
    <row r="141" spans="1:10" x14ac:dyDescent="0.25">
      <c r="A141" t="s">
        <v>252</v>
      </c>
      <c r="B141" t="s">
        <v>146</v>
      </c>
      <c r="C141" t="s">
        <v>10</v>
      </c>
      <c r="D141" t="s">
        <v>106</v>
      </c>
      <c r="E141">
        <v>170127</v>
      </c>
      <c r="F141">
        <v>293322</v>
      </c>
      <c r="G141">
        <v>58.000081821343095</v>
      </c>
      <c r="H141">
        <v>149333</v>
      </c>
      <c r="I141">
        <v>257471</v>
      </c>
      <c r="J141">
        <v>58</v>
      </c>
    </row>
    <row r="142" spans="1:10" x14ac:dyDescent="0.25">
      <c r="A142" t="s">
        <v>253</v>
      </c>
      <c r="B142" t="s">
        <v>146</v>
      </c>
      <c r="C142" t="s">
        <v>10</v>
      </c>
      <c r="D142" t="s">
        <v>106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254</v>
      </c>
      <c r="B143" t="s">
        <v>146</v>
      </c>
      <c r="C143" t="s">
        <v>10</v>
      </c>
      <c r="D143" t="s">
        <v>106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277</v>
      </c>
      <c r="B144" t="s">
        <v>147</v>
      </c>
      <c r="C144" t="s">
        <v>10</v>
      </c>
      <c r="D144" t="s">
        <v>106</v>
      </c>
      <c r="E144">
        <v>133213</v>
      </c>
      <c r="F144">
        <v>229678</v>
      </c>
      <c r="G144">
        <v>57.999895505882151</v>
      </c>
      <c r="H144">
        <v>130990</v>
      </c>
      <c r="I144">
        <v>225845</v>
      </c>
      <c r="J144">
        <v>58</v>
      </c>
    </row>
    <row r="145" spans="1:10" x14ac:dyDescent="0.25">
      <c r="A145" t="s">
        <v>255</v>
      </c>
      <c r="B145" t="s">
        <v>148</v>
      </c>
      <c r="C145" t="s">
        <v>10</v>
      </c>
      <c r="D145" t="s">
        <v>106</v>
      </c>
      <c r="E145">
        <v>1758</v>
      </c>
      <c r="F145">
        <v>2056</v>
      </c>
      <c r="G145">
        <v>85.505836575875477</v>
      </c>
      <c r="H145">
        <v>5928</v>
      </c>
      <c r="I145">
        <v>9119</v>
      </c>
      <c r="J145">
        <v>65</v>
      </c>
    </row>
    <row r="146" spans="1:10" x14ac:dyDescent="0.25">
      <c r="A146" t="s">
        <v>256</v>
      </c>
      <c r="B146" t="s">
        <v>148</v>
      </c>
      <c r="C146" t="s">
        <v>10</v>
      </c>
      <c r="D146" t="s">
        <v>106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257</v>
      </c>
      <c r="B147" t="s">
        <v>148</v>
      </c>
      <c r="C147" t="s">
        <v>10</v>
      </c>
      <c r="D147" t="s">
        <v>106</v>
      </c>
      <c r="E147">
        <v>26948</v>
      </c>
      <c r="F147">
        <v>30989</v>
      </c>
      <c r="G147">
        <v>86.959888992868443</v>
      </c>
      <c r="H147">
        <v>26948</v>
      </c>
      <c r="I147">
        <v>30989</v>
      </c>
      <c r="J147">
        <v>86.96</v>
      </c>
    </row>
    <row r="148" spans="1:10" x14ac:dyDescent="0.25">
      <c r="A148" t="s">
        <v>258</v>
      </c>
      <c r="B148" t="s">
        <v>148</v>
      </c>
      <c r="C148" t="s">
        <v>10</v>
      </c>
      <c r="D148" t="s">
        <v>106</v>
      </c>
      <c r="E148">
        <v>3223</v>
      </c>
      <c r="F148">
        <v>3374</v>
      </c>
      <c r="G148">
        <v>95.524599881446363</v>
      </c>
      <c r="H148">
        <v>3223</v>
      </c>
      <c r="I148">
        <v>3374</v>
      </c>
      <c r="J148">
        <v>95.5</v>
      </c>
    </row>
    <row r="149" spans="1:10" x14ac:dyDescent="0.25">
      <c r="A149" t="s">
        <v>259</v>
      </c>
      <c r="B149" t="s">
        <v>149</v>
      </c>
      <c r="C149" t="s">
        <v>10</v>
      </c>
      <c r="D149" t="s">
        <v>106</v>
      </c>
      <c r="E149">
        <v>40928</v>
      </c>
      <c r="F149">
        <v>65241</v>
      </c>
      <c r="G149">
        <v>62.733557118989594</v>
      </c>
      <c r="H149">
        <v>54303</v>
      </c>
      <c r="I149">
        <v>88178</v>
      </c>
      <c r="J149">
        <v>61.58</v>
      </c>
    </row>
    <row r="150" spans="1:10" x14ac:dyDescent="0.25">
      <c r="A150" t="s">
        <v>260</v>
      </c>
      <c r="B150" t="s">
        <v>149</v>
      </c>
      <c r="C150" t="s">
        <v>10</v>
      </c>
      <c r="D150" t="s">
        <v>106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261</v>
      </c>
      <c r="B151" t="s">
        <v>149</v>
      </c>
      <c r="C151" t="s">
        <v>10</v>
      </c>
      <c r="D151" t="s">
        <v>106</v>
      </c>
      <c r="E151">
        <v>18252</v>
      </c>
      <c r="F151">
        <v>20989</v>
      </c>
      <c r="G151">
        <v>86.959836104626234</v>
      </c>
      <c r="H151">
        <v>26948</v>
      </c>
      <c r="I151">
        <v>30989</v>
      </c>
      <c r="J151">
        <v>86.96</v>
      </c>
    </row>
    <row r="152" spans="1:10" x14ac:dyDescent="0.25">
      <c r="A152" t="s">
        <v>262</v>
      </c>
      <c r="B152" t="s">
        <v>149</v>
      </c>
      <c r="C152" t="s">
        <v>10</v>
      </c>
      <c r="D152" t="s">
        <v>106</v>
      </c>
      <c r="E152">
        <v>25480</v>
      </c>
      <c r="F152">
        <v>27964</v>
      </c>
      <c r="G152">
        <v>91.117150622228579</v>
      </c>
      <c r="H152">
        <v>25257</v>
      </c>
      <c r="I152">
        <v>27964</v>
      </c>
      <c r="J152">
        <v>90.32</v>
      </c>
    </row>
    <row r="153" spans="1:10" x14ac:dyDescent="0.25">
      <c r="A153" t="s">
        <v>263</v>
      </c>
      <c r="B153" t="s">
        <v>149</v>
      </c>
      <c r="C153" t="s">
        <v>10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264</v>
      </c>
      <c r="B154" t="s">
        <v>150</v>
      </c>
      <c r="C154" t="s">
        <v>10</v>
      </c>
      <c r="D154" t="s">
        <v>106</v>
      </c>
      <c r="E154">
        <v>58533</v>
      </c>
      <c r="F154">
        <v>100056</v>
      </c>
      <c r="G154">
        <v>58.500239865675219</v>
      </c>
      <c r="H154">
        <v>60432</v>
      </c>
      <c r="I154">
        <v>103302</v>
      </c>
      <c r="J154">
        <v>58.5</v>
      </c>
    </row>
    <row r="155" spans="1:10" x14ac:dyDescent="0.25">
      <c r="A155" t="s">
        <v>265</v>
      </c>
      <c r="B155" t="s">
        <v>150</v>
      </c>
      <c r="C155" t="s">
        <v>10</v>
      </c>
      <c r="D155" t="s">
        <v>106</v>
      </c>
      <c r="E155">
        <v>26875</v>
      </c>
      <c r="F155">
        <v>31432</v>
      </c>
      <c r="G155">
        <v>85.502036141511837</v>
      </c>
      <c r="H155">
        <v>19639</v>
      </c>
      <c r="I155">
        <v>22970</v>
      </c>
      <c r="J155">
        <v>85.5</v>
      </c>
    </row>
    <row r="156" spans="1:10" x14ac:dyDescent="0.25">
      <c r="A156" t="s">
        <v>245</v>
      </c>
      <c r="B156" t="s">
        <v>145</v>
      </c>
      <c r="C156" t="s">
        <v>11</v>
      </c>
      <c r="D156" t="s">
        <v>106</v>
      </c>
      <c r="E156">
        <v>0</v>
      </c>
      <c r="F156">
        <v>0</v>
      </c>
      <c r="G156">
        <v>0</v>
      </c>
      <c r="H156">
        <v>7390</v>
      </c>
      <c r="I156">
        <v>8694</v>
      </c>
      <c r="J156">
        <v>85</v>
      </c>
    </row>
    <row r="157" spans="1:10" x14ac:dyDescent="0.25">
      <c r="A157" t="s">
        <v>246</v>
      </c>
      <c r="B157" t="s">
        <v>145</v>
      </c>
      <c r="C157" t="s">
        <v>11</v>
      </c>
      <c r="D157" t="s">
        <v>106</v>
      </c>
      <c r="E157">
        <v>19100</v>
      </c>
      <c r="F157">
        <v>20000</v>
      </c>
      <c r="G157">
        <v>95.5</v>
      </c>
      <c r="H157">
        <v>20779</v>
      </c>
      <c r="I157">
        <v>21758</v>
      </c>
      <c r="J157">
        <v>95.5</v>
      </c>
    </row>
    <row r="158" spans="1:10" x14ac:dyDescent="0.25">
      <c r="A158" t="s">
        <v>247</v>
      </c>
      <c r="B158" t="s">
        <v>145</v>
      </c>
      <c r="C158" t="s">
        <v>11</v>
      </c>
      <c r="D158" t="s">
        <v>106</v>
      </c>
      <c r="E158">
        <v>52068</v>
      </c>
      <c r="F158">
        <v>58900</v>
      </c>
      <c r="G158">
        <v>88.400679117147703</v>
      </c>
      <c r="H158">
        <v>49792</v>
      </c>
      <c r="I158">
        <v>56325</v>
      </c>
      <c r="J158">
        <v>88.4</v>
      </c>
    </row>
    <row r="159" spans="1:10" x14ac:dyDescent="0.25">
      <c r="A159" t="s">
        <v>248</v>
      </c>
      <c r="B159" t="s">
        <v>145</v>
      </c>
      <c r="C159" t="s">
        <v>11</v>
      </c>
      <c r="D159" t="s">
        <v>106</v>
      </c>
      <c r="E159">
        <v>102312</v>
      </c>
      <c r="F159">
        <v>116000</v>
      </c>
      <c r="G159">
        <v>88.2</v>
      </c>
      <c r="H159">
        <v>104067</v>
      </c>
      <c r="I159">
        <v>117990</v>
      </c>
      <c r="J159">
        <v>88.2</v>
      </c>
    </row>
    <row r="160" spans="1:10" x14ac:dyDescent="0.25">
      <c r="A160" t="s">
        <v>249</v>
      </c>
      <c r="B160" t="s">
        <v>145</v>
      </c>
      <c r="C160" t="s">
        <v>11</v>
      </c>
      <c r="D160" t="s">
        <v>106</v>
      </c>
      <c r="E160">
        <v>2892</v>
      </c>
      <c r="F160">
        <v>3000</v>
      </c>
      <c r="G160">
        <v>96.399999999999991</v>
      </c>
      <c r="H160">
        <v>2624</v>
      </c>
      <c r="I160">
        <v>2722</v>
      </c>
      <c r="J160">
        <v>96.4</v>
      </c>
    </row>
    <row r="161" spans="1:10" x14ac:dyDescent="0.25">
      <c r="A161" t="s">
        <v>250</v>
      </c>
      <c r="B161" t="s">
        <v>145</v>
      </c>
      <c r="C161" t="s">
        <v>11</v>
      </c>
      <c r="D161" t="s">
        <v>106</v>
      </c>
      <c r="E161">
        <v>2345</v>
      </c>
      <c r="F161">
        <v>2500</v>
      </c>
      <c r="G161">
        <v>93.8</v>
      </c>
      <c r="H161">
        <v>2496</v>
      </c>
      <c r="I161">
        <v>2661</v>
      </c>
      <c r="J161">
        <v>93.8</v>
      </c>
    </row>
    <row r="162" spans="1:10" x14ac:dyDescent="0.25">
      <c r="A162" t="s">
        <v>251</v>
      </c>
      <c r="B162" t="s">
        <v>145</v>
      </c>
      <c r="C162" t="s">
        <v>11</v>
      </c>
      <c r="D162" t="s">
        <v>106</v>
      </c>
      <c r="E162">
        <v>12600</v>
      </c>
      <c r="F162">
        <v>18000</v>
      </c>
      <c r="G162">
        <v>70</v>
      </c>
      <c r="H162">
        <v>11118</v>
      </c>
      <c r="I162">
        <v>15883</v>
      </c>
      <c r="J162">
        <v>70</v>
      </c>
    </row>
    <row r="163" spans="1:10" x14ac:dyDescent="0.25">
      <c r="A163" t="s">
        <v>252</v>
      </c>
      <c r="B163" t="s">
        <v>146</v>
      </c>
      <c r="C163" t="s">
        <v>11</v>
      </c>
      <c r="D163" t="s">
        <v>106</v>
      </c>
      <c r="E163">
        <v>148175</v>
      </c>
      <c r="F163">
        <v>255474</v>
      </c>
      <c r="G163">
        <v>58.000031314341186</v>
      </c>
      <c r="H163">
        <v>149093</v>
      </c>
      <c r="I163">
        <v>257057</v>
      </c>
      <c r="J163">
        <v>58</v>
      </c>
    </row>
    <row r="164" spans="1:10" x14ac:dyDescent="0.25">
      <c r="A164" t="s">
        <v>253</v>
      </c>
      <c r="B164" t="s">
        <v>146</v>
      </c>
      <c r="C164" t="s">
        <v>11</v>
      </c>
      <c r="D164" t="s">
        <v>106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254</v>
      </c>
      <c r="B165" t="s">
        <v>146</v>
      </c>
      <c r="C165" t="s">
        <v>11</v>
      </c>
      <c r="D165" t="s">
        <v>106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277</v>
      </c>
      <c r="B166" t="s">
        <v>147</v>
      </c>
      <c r="C166" t="s">
        <v>11</v>
      </c>
      <c r="D166" t="s">
        <v>106</v>
      </c>
      <c r="E166">
        <v>129849</v>
      </c>
      <c r="F166">
        <v>223877</v>
      </c>
      <c r="G166">
        <v>58.000151869106695</v>
      </c>
      <c r="H166">
        <v>130199</v>
      </c>
      <c r="I166">
        <v>224480</v>
      </c>
      <c r="J166">
        <v>58</v>
      </c>
    </row>
    <row r="167" spans="1:10" x14ac:dyDescent="0.25">
      <c r="A167" t="s">
        <v>255</v>
      </c>
      <c r="B167" t="s">
        <v>148</v>
      </c>
      <c r="C167" t="s">
        <v>11</v>
      </c>
      <c r="D167" t="s">
        <v>106</v>
      </c>
      <c r="E167">
        <v>1212</v>
      </c>
      <c r="F167">
        <v>1365</v>
      </c>
      <c r="G167">
        <v>88.791208791208788</v>
      </c>
      <c r="H167">
        <v>1212</v>
      </c>
      <c r="I167">
        <v>1365</v>
      </c>
      <c r="J167">
        <v>88.83</v>
      </c>
    </row>
    <row r="168" spans="1:10" x14ac:dyDescent="0.25">
      <c r="A168" t="s">
        <v>256</v>
      </c>
      <c r="B168" t="s">
        <v>148</v>
      </c>
      <c r="C168" t="s">
        <v>11</v>
      </c>
      <c r="D168" t="s">
        <v>106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257</v>
      </c>
      <c r="B169" t="s">
        <v>148</v>
      </c>
      <c r="C169" t="s">
        <v>11</v>
      </c>
      <c r="D169" t="s">
        <v>106</v>
      </c>
      <c r="E169">
        <v>18550</v>
      </c>
      <c r="F169">
        <v>21331</v>
      </c>
      <c r="G169">
        <v>86.962636538371385</v>
      </c>
      <c r="H169">
        <v>18550</v>
      </c>
      <c r="I169">
        <v>21331</v>
      </c>
      <c r="J169">
        <v>86.96</v>
      </c>
    </row>
    <row r="170" spans="1:10" x14ac:dyDescent="0.25">
      <c r="A170" t="s">
        <v>258</v>
      </c>
      <c r="B170" t="s">
        <v>148</v>
      </c>
      <c r="C170" t="s">
        <v>11</v>
      </c>
      <c r="D170" t="s">
        <v>106</v>
      </c>
      <c r="E170">
        <v>1899</v>
      </c>
      <c r="F170">
        <v>1989</v>
      </c>
      <c r="G170">
        <v>95.475113122171948</v>
      </c>
      <c r="H170">
        <v>1899</v>
      </c>
      <c r="I170">
        <v>1989</v>
      </c>
      <c r="J170">
        <v>95.5</v>
      </c>
    </row>
    <row r="171" spans="1:10" x14ac:dyDescent="0.25">
      <c r="A171" t="s">
        <v>259</v>
      </c>
      <c r="B171" t="s">
        <v>149</v>
      </c>
      <c r="C171" t="s">
        <v>11</v>
      </c>
      <c r="D171" t="s">
        <v>106</v>
      </c>
      <c r="E171">
        <v>40145</v>
      </c>
      <c r="F171">
        <v>64881</v>
      </c>
      <c r="G171">
        <v>61.874816972611399</v>
      </c>
      <c r="H171">
        <v>57545</v>
      </c>
      <c r="I171">
        <v>94881</v>
      </c>
      <c r="J171">
        <v>60.65</v>
      </c>
    </row>
    <row r="172" spans="1:10" x14ac:dyDescent="0.25">
      <c r="A172" t="s">
        <v>260</v>
      </c>
      <c r="B172" t="s">
        <v>149</v>
      </c>
      <c r="C172" t="s">
        <v>11</v>
      </c>
      <c r="D172" t="s">
        <v>106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261</v>
      </c>
      <c r="B173" t="s">
        <v>149</v>
      </c>
      <c r="C173" t="s">
        <v>11</v>
      </c>
      <c r="D173" t="s">
        <v>106</v>
      </c>
      <c r="E173">
        <v>18550</v>
      </c>
      <c r="F173">
        <v>21331</v>
      </c>
      <c r="G173">
        <v>86.962636538371385</v>
      </c>
      <c r="H173">
        <v>18550</v>
      </c>
      <c r="I173">
        <v>21331</v>
      </c>
      <c r="J173">
        <v>86.96</v>
      </c>
    </row>
    <row r="174" spans="1:10" x14ac:dyDescent="0.25">
      <c r="A174" t="s">
        <v>262</v>
      </c>
      <c r="B174" t="s">
        <v>149</v>
      </c>
      <c r="C174" t="s">
        <v>11</v>
      </c>
      <c r="D174" t="s">
        <v>106</v>
      </c>
      <c r="E174">
        <v>20728</v>
      </c>
      <c r="F174">
        <v>22749</v>
      </c>
      <c r="G174">
        <v>91.116093015077581</v>
      </c>
      <c r="H174">
        <v>20547</v>
      </c>
      <c r="I174">
        <v>22749</v>
      </c>
      <c r="J174">
        <v>90.32</v>
      </c>
    </row>
    <row r="175" spans="1:10" x14ac:dyDescent="0.25">
      <c r="A175" t="s">
        <v>263</v>
      </c>
      <c r="B175" t="s">
        <v>149</v>
      </c>
      <c r="C175" t="s">
        <v>11</v>
      </c>
      <c r="D175" t="s">
        <v>106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264</v>
      </c>
      <c r="B176" t="s">
        <v>150</v>
      </c>
      <c r="C176" t="s">
        <v>11</v>
      </c>
      <c r="D176" t="s">
        <v>106</v>
      </c>
      <c r="E176">
        <v>57548</v>
      </c>
      <c r="F176">
        <v>98373</v>
      </c>
      <c r="G176">
        <v>58.499791609486337</v>
      </c>
      <c r="H176">
        <v>59330</v>
      </c>
      <c r="I176">
        <v>101419</v>
      </c>
      <c r="J176">
        <v>58.5</v>
      </c>
    </row>
    <row r="177" spans="1:10" x14ac:dyDescent="0.25">
      <c r="A177" t="s">
        <v>265</v>
      </c>
      <c r="B177" t="s">
        <v>150</v>
      </c>
      <c r="C177" t="s">
        <v>11</v>
      </c>
      <c r="D177" t="s">
        <v>106</v>
      </c>
      <c r="E177">
        <v>25859</v>
      </c>
      <c r="F177">
        <v>30245</v>
      </c>
      <c r="G177">
        <v>85.498429492478095</v>
      </c>
      <c r="H177">
        <v>18999</v>
      </c>
      <c r="I177">
        <v>22222</v>
      </c>
      <c r="J177">
        <v>85.5</v>
      </c>
    </row>
    <row r="178" spans="1:10" x14ac:dyDescent="0.25">
      <c r="A178" t="s">
        <v>245</v>
      </c>
      <c r="B178" t="s">
        <v>145</v>
      </c>
      <c r="C178" t="s">
        <v>12</v>
      </c>
      <c r="D178" t="s">
        <v>106</v>
      </c>
      <c r="E178">
        <v>0</v>
      </c>
      <c r="F178">
        <v>0</v>
      </c>
      <c r="G178">
        <v>0</v>
      </c>
      <c r="H178">
        <v>7152</v>
      </c>
      <c r="I178">
        <v>8414</v>
      </c>
      <c r="J178">
        <v>85</v>
      </c>
    </row>
    <row r="179" spans="1:10" x14ac:dyDescent="0.25">
      <c r="A179" t="s">
        <v>246</v>
      </c>
      <c r="B179" t="s">
        <v>145</v>
      </c>
      <c r="C179" t="s">
        <v>12</v>
      </c>
      <c r="D179" t="s">
        <v>106</v>
      </c>
      <c r="E179">
        <v>21488</v>
      </c>
      <c r="F179">
        <v>22500</v>
      </c>
      <c r="G179">
        <v>95.502222222222215</v>
      </c>
      <c r="H179">
        <v>20782</v>
      </c>
      <c r="I179">
        <v>21761</v>
      </c>
      <c r="J179">
        <v>95.5</v>
      </c>
    </row>
    <row r="180" spans="1:10" x14ac:dyDescent="0.25">
      <c r="A180" t="s">
        <v>247</v>
      </c>
      <c r="B180" t="s">
        <v>145</v>
      </c>
      <c r="C180" t="s">
        <v>12</v>
      </c>
      <c r="D180" t="s">
        <v>106</v>
      </c>
      <c r="E180">
        <v>48178</v>
      </c>
      <c r="F180">
        <v>54500</v>
      </c>
      <c r="G180">
        <v>88.4</v>
      </c>
      <c r="H180">
        <v>49799</v>
      </c>
      <c r="I180">
        <v>56334</v>
      </c>
      <c r="J180">
        <v>88.4</v>
      </c>
    </row>
    <row r="181" spans="1:10" x14ac:dyDescent="0.25">
      <c r="A181" t="s">
        <v>248</v>
      </c>
      <c r="B181" t="s">
        <v>145</v>
      </c>
      <c r="C181" t="s">
        <v>12</v>
      </c>
      <c r="D181" t="s">
        <v>106</v>
      </c>
      <c r="E181">
        <v>98784</v>
      </c>
      <c r="F181">
        <v>112000</v>
      </c>
      <c r="G181">
        <v>88.2</v>
      </c>
      <c r="H181">
        <v>99001</v>
      </c>
      <c r="I181">
        <v>112246</v>
      </c>
      <c r="J181">
        <v>88.2</v>
      </c>
    </row>
    <row r="182" spans="1:10" x14ac:dyDescent="0.25">
      <c r="A182" t="s">
        <v>249</v>
      </c>
      <c r="B182" t="s">
        <v>145</v>
      </c>
      <c r="C182" t="s">
        <v>12</v>
      </c>
      <c r="D182" t="s">
        <v>106</v>
      </c>
      <c r="E182">
        <v>2892</v>
      </c>
      <c r="F182">
        <v>3000</v>
      </c>
      <c r="G182">
        <v>96.399999999999991</v>
      </c>
      <c r="H182">
        <v>2625</v>
      </c>
      <c r="I182">
        <v>2723</v>
      </c>
      <c r="J182">
        <v>96.4</v>
      </c>
    </row>
    <row r="183" spans="1:10" x14ac:dyDescent="0.25">
      <c r="A183" t="s">
        <v>250</v>
      </c>
      <c r="B183" t="s">
        <v>145</v>
      </c>
      <c r="C183" t="s">
        <v>12</v>
      </c>
      <c r="D183" t="s">
        <v>106</v>
      </c>
      <c r="E183">
        <v>2345</v>
      </c>
      <c r="F183">
        <v>2500</v>
      </c>
      <c r="G183">
        <v>93.8</v>
      </c>
      <c r="H183">
        <v>1300</v>
      </c>
      <c r="I183">
        <v>1386</v>
      </c>
      <c r="J183">
        <v>93.8</v>
      </c>
    </row>
    <row r="184" spans="1:10" x14ac:dyDescent="0.25">
      <c r="A184" t="s">
        <v>251</v>
      </c>
      <c r="B184" t="s">
        <v>145</v>
      </c>
      <c r="C184" t="s">
        <v>12</v>
      </c>
      <c r="D184" t="s">
        <v>106</v>
      </c>
      <c r="E184">
        <v>11200</v>
      </c>
      <c r="F184">
        <v>16000</v>
      </c>
      <c r="G184">
        <v>70</v>
      </c>
      <c r="H184">
        <v>11131</v>
      </c>
      <c r="I184">
        <v>15902</v>
      </c>
      <c r="J184">
        <v>70</v>
      </c>
    </row>
    <row r="185" spans="1:10" x14ac:dyDescent="0.25">
      <c r="A185" t="s">
        <v>252</v>
      </c>
      <c r="B185" t="s">
        <v>146</v>
      </c>
      <c r="C185" t="s">
        <v>12</v>
      </c>
      <c r="D185" t="s">
        <v>106</v>
      </c>
      <c r="E185">
        <v>153663</v>
      </c>
      <c r="F185">
        <v>264936</v>
      </c>
      <c r="G185">
        <v>58.00004529395779</v>
      </c>
      <c r="H185">
        <v>143367</v>
      </c>
      <c r="I185">
        <v>247184</v>
      </c>
      <c r="J185">
        <v>58</v>
      </c>
    </row>
    <row r="186" spans="1:10" x14ac:dyDescent="0.25">
      <c r="A186" t="s">
        <v>253</v>
      </c>
      <c r="B186" t="s">
        <v>146</v>
      </c>
      <c r="C186" t="s">
        <v>12</v>
      </c>
      <c r="D186" t="s">
        <v>106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254</v>
      </c>
      <c r="B187" t="s">
        <v>146</v>
      </c>
      <c r="C187" t="s">
        <v>12</v>
      </c>
      <c r="D187" t="s">
        <v>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277</v>
      </c>
      <c r="B188" t="s">
        <v>147</v>
      </c>
      <c r="C188" t="s">
        <v>12</v>
      </c>
      <c r="D188" t="s">
        <v>106</v>
      </c>
      <c r="E188">
        <v>131715</v>
      </c>
      <c r="F188">
        <v>227095</v>
      </c>
      <c r="G188">
        <v>57.999955965565078</v>
      </c>
      <c r="H188">
        <v>133415</v>
      </c>
      <c r="I188">
        <v>230026</v>
      </c>
      <c r="J188">
        <v>58</v>
      </c>
    </row>
    <row r="189" spans="1:10" x14ac:dyDescent="0.25">
      <c r="A189" t="s">
        <v>255</v>
      </c>
      <c r="B189" t="s">
        <v>148</v>
      </c>
      <c r="C189" t="s">
        <v>12</v>
      </c>
      <c r="D189" t="s">
        <v>106</v>
      </c>
      <c r="E189">
        <v>5740</v>
      </c>
      <c r="F189">
        <v>6194</v>
      </c>
      <c r="G189">
        <v>92.670326122053609</v>
      </c>
      <c r="H189">
        <v>5813</v>
      </c>
      <c r="I189">
        <v>6194</v>
      </c>
      <c r="J189">
        <v>93.84</v>
      </c>
    </row>
    <row r="190" spans="1:10" x14ac:dyDescent="0.25">
      <c r="A190" t="s">
        <v>256</v>
      </c>
      <c r="B190" t="s">
        <v>148</v>
      </c>
      <c r="C190" t="s">
        <v>12</v>
      </c>
      <c r="D190" t="s">
        <v>106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257</v>
      </c>
      <c r="B191" t="s">
        <v>148</v>
      </c>
      <c r="C191" t="s">
        <v>12</v>
      </c>
      <c r="D191" t="s">
        <v>106</v>
      </c>
      <c r="E191">
        <v>20950</v>
      </c>
      <c r="F191">
        <v>24091</v>
      </c>
      <c r="G191">
        <v>86.961935992694379</v>
      </c>
      <c r="H191">
        <v>20950</v>
      </c>
      <c r="I191">
        <v>24091</v>
      </c>
      <c r="J191">
        <v>86.96</v>
      </c>
    </row>
    <row r="192" spans="1:10" x14ac:dyDescent="0.25">
      <c r="A192" t="s">
        <v>258</v>
      </c>
      <c r="B192" t="s">
        <v>148</v>
      </c>
      <c r="C192" t="s">
        <v>12</v>
      </c>
      <c r="D192" t="s">
        <v>106</v>
      </c>
      <c r="E192">
        <v>31768</v>
      </c>
      <c r="F192">
        <v>33265</v>
      </c>
      <c r="G192">
        <v>95.499774537802494</v>
      </c>
      <c r="H192">
        <v>31768</v>
      </c>
      <c r="I192">
        <v>33265</v>
      </c>
      <c r="J192">
        <v>95.5</v>
      </c>
    </row>
    <row r="193" spans="1:10" x14ac:dyDescent="0.25">
      <c r="A193" t="s">
        <v>259</v>
      </c>
      <c r="B193" t="s">
        <v>149</v>
      </c>
      <c r="C193" t="s">
        <v>12</v>
      </c>
      <c r="D193" t="s">
        <v>106</v>
      </c>
      <c r="E193">
        <v>38738</v>
      </c>
      <c r="F193">
        <v>62510</v>
      </c>
      <c r="G193">
        <v>61.970884658454651</v>
      </c>
      <c r="H193">
        <v>56211</v>
      </c>
      <c r="I193">
        <v>92510</v>
      </c>
      <c r="J193">
        <v>60.76</v>
      </c>
    </row>
    <row r="194" spans="1:10" x14ac:dyDescent="0.25">
      <c r="A194" t="s">
        <v>260</v>
      </c>
      <c r="B194" t="s">
        <v>149</v>
      </c>
      <c r="C194" t="s">
        <v>12</v>
      </c>
      <c r="D194" t="s">
        <v>106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261</v>
      </c>
      <c r="B195" t="s">
        <v>149</v>
      </c>
      <c r="C195" t="s">
        <v>12</v>
      </c>
      <c r="D195" t="s">
        <v>106</v>
      </c>
      <c r="E195">
        <v>12254</v>
      </c>
      <c r="F195">
        <v>14091</v>
      </c>
      <c r="G195">
        <v>86.963309914129582</v>
      </c>
      <c r="H195">
        <v>20950</v>
      </c>
      <c r="I195">
        <v>24091</v>
      </c>
      <c r="J195">
        <v>86.96</v>
      </c>
    </row>
    <row r="196" spans="1:10" x14ac:dyDescent="0.25">
      <c r="A196" t="s">
        <v>262</v>
      </c>
      <c r="B196" t="s">
        <v>149</v>
      </c>
      <c r="C196" t="s">
        <v>12</v>
      </c>
      <c r="D196" t="s">
        <v>106</v>
      </c>
      <c r="E196">
        <v>20731</v>
      </c>
      <c r="F196">
        <v>22753</v>
      </c>
      <c r="G196">
        <v>91.113259789917805</v>
      </c>
      <c r="H196">
        <v>20550</v>
      </c>
      <c r="I196">
        <v>22753</v>
      </c>
      <c r="J196">
        <v>90.32</v>
      </c>
    </row>
    <row r="197" spans="1:10" x14ac:dyDescent="0.25">
      <c r="A197" t="s">
        <v>263</v>
      </c>
      <c r="B197" t="s">
        <v>149</v>
      </c>
      <c r="C197" t="s">
        <v>12</v>
      </c>
      <c r="D197" t="s">
        <v>106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264</v>
      </c>
      <c r="B198" t="s">
        <v>150</v>
      </c>
      <c r="C198" t="s">
        <v>12</v>
      </c>
      <c r="D198" t="s">
        <v>106</v>
      </c>
      <c r="E198">
        <v>59548</v>
      </c>
      <c r="F198">
        <v>101791</v>
      </c>
      <c r="G198">
        <v>58.500260337357922</v>
      </c>
      <c r="H198">
        <v>60555</v>
      </c>
      <c r="I198">
        <v>103512</v>
      </c>
      <c r="J198">
        <v>58.5</v>
      </c>
    </row>
    <row r="199" spans="1:10" x14ac:dyDescent="0.25">
      <c r="A199" t="s">
        <v>265</v>
      </c>
      <c r="B199" t="s">
        <v>150</v>
      </c>
      <c r="C199" t="s">
        <v>12</v>
      </c>
      <c r="D199" t="s">
        <v>106</v>
      </c>
      <c r="E199">
        <v>25865</v>
      </c>
      <c r="F199">
        <v>30251</v>
      </c>
      <c r="G199">
        <v>85.501305741958944</v>
      </c>
      <c r="H199">
        <v>19002</v>
      </c>
      <c r="I199">
        <v>22225</v>
      </c>
      <c r="J199">
        <v>85.5</v>
      </c>
    </row>
    <row r="200" spans="1:10" x14ac:dyDescent="0.25">
      <c r="A200" t="s">
        <v>245</v>
      </c>
      <c r="B200" t="s">
        <v>145</v>
      </c>
      <c r="C200" t="s">
        <v>13</v>
      </c>
      <c r="D200" t="s">
        <v>106</v>
      </c>
      <c r="E200">
        <v>0</v>
      </c>
      <c r="F200">
        <v>0</v>
      </c>
      <c r="G200">
        <v>0</v>
      </c>
      <c r="H200">
        <v>7879</v>
      </c>
      <c r="I200">
        <v>9269</v>
      </c>
      <c r="J200">
        <v>85</v>
      </c>
    </row>
    <row r="201" spans="1:10" x14ac:dyDescent="0.25">
      <c r="A201" t="s">
        <v>246</v>
      </c>
      <c r="B201" t="s">
        <v>145</v>
      </c>
      <c r="C201" t="s">
        <v>13</v>
      </c>
      <c r="D201" t="s">
        <v>106</v>
      </c>
      <c r="E201">
        <v>23875</v>
      </c>
      <c r="F201">
        <v>25000</v>
      </c>
      <c r="G201">
        <v>95.5</v>
      </c>
      <c r="H201">
        <v>22894</v>
      </c>
      <c r="I201">
        <v>23973</v>
      </c>
      <c r="J201">
        <v>95.5</v>
      </c>
    </row>
    <row r="202" spans="1:10" x14ac:dyDescent="0.25">
      <c r="A202" t="s">
        <v>247</v>
      </c>
      <c r="B202" t="s">
        <v>145</v>
      </c>
      <c r="C202" t="s">
        <v>13</v>
      </c>
      <c r="D202" t="s">
        <v>106</v>
      </c>
      <c r="E202">
        <v>51802</v>
      </c>
      <c r="F202">
        <v>58600</v>
      </c>
      <c r="G202">
        <v>88.399317406143339</v>
      </c>
      <c r="H202">
        <v>54862</v>
      </c>
      <c r="I202">
        <v>62061</v>
      </c>
      <c r="J202">
        <v>88.4</v>
      </c>
    </row>
    <row r="203" spans="1:10" x14ac:dyDescent="0.25">
      <c r="A203" t="s">
        <v>248</v>
      </c>
      <c r="B203" t="s">
        <v>145</v>
      </c>
      <c r="C203" t="s">
        <v>13</v>
      </c>
      <c r="D203" t="s">
        <v>106</v>
      </c>
      <c r="E203">
        <v>105840</v>
      </c>
      <c r="F203">
        <v>120000</v>
      </c>
      <c r="G203">
        <v>88.2</v>
      </c>
      <c r="H203">
        <v>89079</v>
      </c>
      <c r="I203">
        <v>100997</v>
      </c>
      <c r="J203">
        <v>88.2</v>
      </c>
    </row>
    <row r="204" spans="1:10" x14ac:dyDescent="0.25">
      <c r="A204" t="s">
        <v>249</v>
      </c>
      <c r="B204" t="s">
        <v>145</v>
      </c>
      <c r="C204" t="s">
        <v>13</v>
      </c>
      <c r="D204" t="s">
        <v>106</v>
      </c>
      <c r="E204">
        <v>2892</v>
      </c>
      <c r="F204">
        <v>3000</v>
      </c>
      <c r="G204">
        <v>96.399999999999991</v>
      </c>
      <c r="H204">
        <v>2892</v>
      </c>
      <c r="I204">
        <v>3000</v>
      </c>
      <c r="J204">
        <v>96.4</v>
      </c>
    </row>
    <row r="205" spans="1:10" x14ac:dyDescent="0.25">
      <c r="A205" t="s">
        <v>250</v>
      </c>
      <c r="B205" t="s">
        <v>145</v>
      </c>
      <c r="C205" t="s">
        <v>13</v>
      </c>
      <c r="D205" t="s">
        <v>106</v>
      </c>
      <c r="E205">
        <v>0</v>
      </c>
      <c r="F205">
        <v>0</v>
      </c>
      <c r="G205">
        <v>0</v>
      </c>
      <c r="H205">
        <v>1249</v>
      </c>
      <c r="I205">
        <v>1332</v>
      </c>
      <c r="J205">
        <v>93.8</v>
      </c>
    </row>
    <row r="206" spans="1:10" x14ac:dyDescent="0.25">
      <c r="A206" t="s">
        <v>251</v>
      </c>
      <c r="B206" t="s">
        <v>145</v>
      </c>
      <c r="C206" t="s">
        <v>13</v>
      </c>
      <c r="D206" t="s">
        <v>106</v>
      </c>
      <c r="E206">
        <v>14000</v>
      </c>
      <c r="F206">
        <v>20000</v>
      </c>
      <c r="G206">
        <v>70</v>
      </c>
      <c r="H206">
        <v>13925</v>
      </c>
      <c r="I206">
        <v>19892</v>
      </c>
      <c r="J206">
        <v>70</v>
      </c>
    </row>
    <row r="207" spans="1:10" x14ac:dyDescent="0.25">
      <c r="A207" t="s">
        <v>252</v>
      </c>
      <c r="B207" t="s">
        <v>146</v>
      </c>
      <c r="C207" t="s">
        <v>13</v>
      </c>
      <c r="D207" t="s">
        <v>106</v>
      </c>
      <c r="E207">
        <v>159151</v>
      </c>
      <c r="F207">
        <v>274398</v>
      </c>
      <c r="G207">
        <v>58.000058309462901</v>
      </c>
      <c r="H207">
        <v>142198</v>
      </c>
      <c r="I207">
        <v>245170</v>
      </c>
      <c r="J207">
        <v>58</v>
      </c>
    </row>
    <row r="208" spans="1:10" x14ac:dyDescent="0.25">
      <c r="A208" t="s">
        <v>253</v>
      </c>
      <c r="B208" t="s">
        <v>146</v>
      </c>
      <c r="C208" t="s">
        <v>13</v>
      </c>
      <c r="D208" t="s">
        <v>106</v>
      </c>
      <c r="E208">
        <v>0</v>
      </c>
      <c r="F208">
        <v>0</v>
      </c>
      <c r="G208">
        <v>0</v>
      </c>
      <c r="H208">
        <v>15852</v>
      </c>
      <c r="I208">
        <v>17397</v>
      </c>
      <c r="J208">
        <v>91.12</v>
      </c>
    </row>
    <row r="209" spans="1:10" x14ac:dyDescent="0.25">
      <c r="A209" t="s">
        <v>254</v>
      </c>
      <c r="B209" t="s">
        <v>146</v>
      </c>
      <c r="C209" t="s">
        <v>13</v>
      </c>
      <c r="D209" t="s">
        <v>106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277</v>
      </c>
      <c r="B210" t="s">
        <v>147</v>
      </c>
      <c r="C210" t="s">
        <v>13</v>
      </c>
      <c r="D210" t="s">
        <v>106</v>
      </c>
      <c r="E210">
        <v>137814</v>
      </c>
      <c r="F210">
        <v>237610</v>
      </c>
      <c r="G210">
        <v>58.000084171541602</v>
      </c>
      <c r="H210">
        <v>140666</v>
      </c>
      <c r="I210">
        <v>242528</v>
      </c>
      <c r="J210">
        <v>58</v>
      </c>
    </row>
    <row r="211" spans="1:10" x14ac:dyDescent="0.25">
      <c r="A211" t="s">
        <v>255</v>
      </c>
      <c r="B211" t="s">
        <v>148</v>
      </c>
      <c r="C211" t="s">
        <v>13</v>
      </c>
      <c r="D211" t="s">
        <v>106</v>
      </c>
      <c r="E211">
        <v>15410</v>
      </c>
      <c r="F211">
        <v>22533</v>
      </c>
      <c r="G211">
        <v>68.388585629964936</v>
      </c>
      <c r="H211">
        <v>16147</v>
      </c>
      <c r="I211">
        <v>23677</v>
      </c>
      <c r="J211">
        <v>68.2</v>
      </c>
    </row>
    <row r="212" spans="1:10" x14ac:dyDescent="0.25">
      <c r="A212" t="s">
        <v>256</v>
      </c>
      <c r="B212" t="s">
        <v>148</v>
      </c>
      <c r="C212" t="s">
        <v>13</v>
      </c>
      <c r="D212" t="s">
        <v>106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257</v>
      </c>
      <c r="B213" t="s">
        <v>148</v>
      </c>
      <c r="C213" t="s">
        <v>13</v>
      </c>
      <c r="D213" t="s">
        <v>106</v>
      </c>
      <c r="E213">
        <v>30835</v>
      </c>
      <c r="F213">
        <v>35459</v>
      </c>
      <c r="G213">
        <v>86.959587128796628</v>
      </c>
      <c r="H213">
        <v>30835</v>
      </c>
      <c r="I213">
        <v>35459</v>
      </c>
      <c r="J213">
        <v>86.96</v>
      </c>
    </row>
    <row r="214" spans="1:10" x14ac:dyDescent="0.25">
      <c r="A214" t="s">
        <v>258</v>
      </c>
      <c r="B214" t="s">
        <v>148</v>
      </c>
      <c r="C214" t="s">
        <v>13</v>
      </c>
      <c r="D214" t="s">
        <v>106</v>
      </c>
      <c r="E214">
        <v>32271</v>
      </c>
      <c r="F214">
        <v>33792</v>
      </c>
      <c r="G214">
        <v>95.498934659090907</v>
      </c>
      <c r="H214">
        <v>32271</v>
      </c>
      <c r="I214">
        <v>33792</v>
      </c>
      <c r="J214">
        <v>95.5</v>
      </c>
    </row>
    <row r="215" spans="1:10" x14ac:dyDescent="0.25">
      <c r="A215" t="s">
        <v>259</v>
      </c>
      <c r="B215" t="s">
        <v>149</v>
      </c>
      <c r="C215" t="s">
        <v>13</v>
      </c>
      <c r="D215" t="s">
        <v>106</v>
      </c>
      <c r="E215">
        <v>39492</v>
      </c>
      <c r="F215">
        <v>62347</v>
      </c>
      <c r="G215">
        <v>63.342261857025996</v>
      </c>
      <c r="H215">
        <v>50501</v>
      </c>
      <c r="I215">
        <v>81203</v>
      </c>
      <c r="J215">
        <v>62.19</v>
      </c>
    </row>
    <row r="216" spans="1:10" x14ac:dyDescent="0.25">
      <c r="A216" t="s">
        <v>260</v>
      </c>
      <c r="B216" t="s">
        <v>149</v>
      </c>
      <c r="C216" t="s">
        <v>13</v>
      </c>
      <c r="D216" t="s">
        <v>106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261</v>
      </c>
      <c r="B217" t="s">
        <v>149</v>
      </c>
      <c r="C217" t="s">
        <v>13</v>
      </c>
      <c r="D217" t="s">
        <v>106</v>
      </c>
      <c r="E217">
        <v>22080</v>
      </c>
      <c r="F217">
        <v>25391</v>
      </c>
      <c r="G217">
        <v>86.959946437714152</v>
      </c>
      <c r="H217">
        <v>30835</v>
      </c>
      <c r="I217">
        <v>35459</v>
      </c>
      <c r="J217">
        <v>86.96</v>
      </c>
    </row>
    <row r="218" spans="1:10" x14ac:dyDescent="0.25">
      <c r="A218" t="s">
        <v>262</v>
      </c>
      <c r="B218" t="s">
        <v>149</v>
      </c>
      <c r="C218" t="s">
        <v>13</v>
      </c>
      <c r="D218" t="s">
        <v>106</v>
      </c>
      <c r="E218">
        <v>27160</v>
      </c>
      <c r="F218">
        <v>29808</v>
      </c>
      <c r="G218">
        <v>91.116478797638223</v>
      </c>
      <c r="H218">
        <v>26923</v>
      </c>
      <c r="I218">
        <v>29808</v>
      </c>
      <c r="J218">
        <v>90.32</v>
      </c>
    </row>
    <row r="219" spans="1:10" x14ac:dyDescent="0.25">
      <c r="A219" t="s">
        <v>263</v>
      </c>
      <c r="B219" t="s">
        <v>149</v>
      </c>
      <c r="C219" t="s">
        <v>13</v>
      </c>
      <c r="D219" t="s">
        <v>106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264</v>
      </c>
      <c r="B220" t="s">
        <v>150</v>
      </c>
      <c r="C220" t="s">
        <v>13</v>
      </c>
      <c r="D220" t="s">
        <v>106</v>
      </c>
      <c r="E220">
        <v>62926</v>
      </c>
      <c r="F220">
        <v>107565</v>
      </c>
      <c r="G220">
        <v>58.500441593455122</v>
      </c>
      <c r="H220">
        <v>65079</v>
      </c>
      <c r="I220">
        <v>111246</v>
      </c>
      <c r="J220">
        <v>58.5</v>
      </c>
    </row>
    <row r="221" spans="1:10" x14ac:dyDescent="0.25">
      <c r="A221" t="s">
        <v>265</v>
      </c>
      <c r="B221" t="s">
        <v>150</v>
      </c>
      <c r="C221" t="s">
        <v>13</v>
      </c>
      <c r="D221" t="s">
        <v>106</v>
      </c>
      <c r="E221">
        <v>25743</v>
      </c>
      <c r="F221">
        <v>30109</v>
      </c>
      <c r="G221">
        <v>85.499352353117004</v>
      </c>
      <c r="H221">
        <v>20869</v>
      </c>
      <c r="I221">
        <v>24409</v>
      </c>
      <c r="J221">
        <v>85.5</v>
      </c>
    </row>
    <row r="222" spans="1:10" x14ac:dyDescent="0.25">
      <c r="A222" t="s">
        <v>245</v>
      </c>
      <c r="B222" t="s">
        <v>145</v>
      </c>
      <c r="C222" t="s">
        <v>14</v>
      </c>
      <c r="D222" t="s">
        <v>106</v>
      </c>
      <c r="E222">
        <v>0</v>
      </c>
      <c r="F222">
        <v>0</v>
      </c>
      <c r="G222">
        <v>0</v>
      </c>
      <c r="H222">
        <v>7537</v>
      </c>
      <c r="I222">
        <v>8867</v>
      </c>
      <c r="J222">
        <v>85</v>
      </c>
    </row>
    <row r="223" spans="1:10" x14ac:dyDescent="0.25">
      <c r="A223" t="s">
        <v>246</v>
      </c>
      <c r="B223" t="s">
        <v>145</v>
      </c>
      <c r="C223" t="s">
        <v>14</v>
      </c>
      <c r="D223" t="s">
        <v>106</v>
      </c>
      <c r="E223">
        <v>19100</v>
      </c>
      <c r="F223">
        <v>20000</v>
      </c>
      <c r="G223">
        <v>95.5</v>
      </c>
      <c r="H223">
        <v>22698</v>
      </c>
      <c r="I223">
        <v>23767</v>
      </c>
      <c r="J223">
        <v>95.5</v>
      </c>
    </row>
    <row r="224" spans="1:10" x14ac:dyDescent="0.25">
      <c r="A224" t="s">
        <v>247</v>
      </c>
      <c r="B224" t="s">
        <v>145</v>
      </c>
      <c r="C224" t="s">
        <v>14</v>
      </c>
      <c r="D224" t="s">
        <v>106</v>
      </c>
      <c r="E224">
        <v>52510</v>
      </c>
      <c r="F224">
        <v>59400</v>
      </c>
      <c r="G224">
        <v>88.400673400673398</v>
      </c>
      <c r="H224">
        <v>50219</v>
      </c>
      <c r="I224">
        <v>56809</v>
      </c>
      <c r="J224">
        <v>88.4</v>
      </c>
    </row>
    <row r="225" spans="1:10" x14ac:dyDescent="0.25">
      <c r="A225" t="s">
        <v>248</v>
      </c>
      <c r="B225" t="s">
        <v>145</v>
      </c>
      <c r="C225" t="s">
        <v>14</v>
      </c>
      <c r="D225" t="s">
        <v>106</v>
      </c>
      <c r="E225">
        <v>98784</v>
      </c>
      <c r="F225">
        <v>112000</v>
      </c>
      <c r="G225">
        <v>88.2</v>
      </c>
      <c r="H225">
        <v>88299</v>
      </c>
      <c r="I225">
        <v>100112</v>
      </c>
      <c r="J225">
        <v>88.2</v>
      </c>
    </row>
    <row r="226" spans="1:10" x14ac:dyDescent="0.25">
      <c r="A226" t="s">
        <v>249</v>
      </c>
      <c r="B226" t="s">
        <v>145</v>
      </c>
      <c r="C226" t="s">
        <v>14</v>
      </c>
      <c r="D226" t="s">
        <v>106</v>
      </c>
      <c r="E226">
        <v>2892</v>
      </c>
      <c r="F226">
        <v>3000</v>
      </c>
      <c r="G226">
        <v>96.399999999999991</v>
      </c>
      <c r="H226">
        <v>2867</v>
      </c>
      <c r="I226">
        <v>2974</v>
      </c>
      <c r="J226">
        <v>96.4</v>
      </c>
    </row>
    <row r="227" spans="1:10" x14ac:dyDescent="0.25">
      <c r="A227" t="s">
        <v>250</v>
      </c>
      <c r="B227" t="s">
        <v>145</v>
      </c>
      <c r="C227" t="s">
        <v>14</v>
      </c>
      <c r="D227" t="s">
        <v>106</v>
      </c>
      <c r="E227">
        <v>2345</v>
      </c>
      <c r="F227">
        <v>2500</v>
      </c>
      <c r="G227">
        <v>93.8</v>
      </c>
      <c r="H227">
        <v>1238</v>
      </c>
      <c r="I227">
        <v>1320</v>
      </c>
      <c r="J227">
        <v>93.8</v>
      </c>
    </row>
    <row r="228" spans="1:10" x14ac:dyDescent="0.25">
      <c r="A228" t="s">
        <v>251</v>
      </c>
      <c r="B228" t="s">
        <v>145</v>
      </c>
      <c r="C228" t="s">
        <v>14</v>
      </c>
      <c r="D228" t="s">
        <v>106</v>
      </c>
      <c r="E228">
        <v>14000</v>
      </c>
      <c r="F228">
        <v>20000</v>
      </c>
      <c r="G228">
        <v>70</v>
      </c>
      <c r="H228">
        <v>13784</v>
      </c>
      <c r="I228">
        <v>19691</v>
      </c>
      <c r="J228">
        <v>70</v>
      </c>
    </row>
    <row r="229" spans="1:10" x14ac:dyDescent="0.25">
      <c r="A229" t="s">
        <v>252</v>
      </c>
      <c r="B229" t="s">
        <v>146</v>
      </c>
      <c r="C229" t="s">
        <v>14</v>
      </c>
      <c r="D229" t="s">
        <v>106</v>
      </c>
      <c r="E229">
        <v>148175</v>
      </c>
      <c r="F229">
        <v>255474</v>
      </c>
      <c r="G229">
        <v>58.000031314341186</v>
      </c>
      <c r="H229">
        <v>136539</v>
      </c>
      <c r="I229">
        <v>235412</v>
      </c>
      <c r="J229">
        <v>58</v>
      </c>
    </row>
    <row r="230" spans="1:10" x14ac:dyDescent="0.25">
      <c r="A230" t="s">
        <v>253</v>
      </c>
      <c r="B230" t="s">
        <v>146</v>
      </c>
      <c r="C230" t="s">
        <v>14</v>
      </c>
      <c r="D230" t="s">
        <v>106</v>
      </c>
      <c r="E230">
        <v>0</v>
      </c>
      <c r="F230">
        <v>0</v>
      </c>
      <c r="G230">
        <v>0</v>
      </c>
      <c r="H230">
        <v>15488</v>
      </c>
      <c r="I230">
        <v>16998</v>
      </c>
      <c r="J230">
        <v>91.12</v>
      </c>
    </row>
    <row r="231" spans="1:10" x14ac:dyDescent="0.25">
      <c r="A231" t="s">
        <v>254</v>
      </c>
      <c r="B231" t="s">
        <v>146</v>
      </c>
      <c r="C231" t="s">
        <v>14</v>
      </c>
      <c r="D231" t="s">
        <v>106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277</v>
      </c>
      <c r="B232" t="s">
        <v>147</v>
      </c>
      <c r="C232" t="s">
        <v>14</v>
      </c>
      <c r="D232" t="s">
        <v>106</v>
      </c>
      <c r="E232">
        <v>129001</v>
      </c>
      <c r="F232">
        <v>222415</v>
      </c>
      <c r="G232">
        <v>58.000134882989009</v>
      </c>
      <c r="H232">
        <v>130524</v>
      </c>
      <c r="I232">
        <v>225041</v>
      </c>
      <c r="J232">
        <v>58</v>
      </c>
    </row>
    <row r="233" spans="1:10" x14ac:dyDescent="0.25">
      <c r="A233" t="s">
        <v>255</v>
      </c>
      <c r="B233" t="s">
        <v>148</v>
      </c>
      <c r="C233" t="s">
        <v>14</v>
      </c>
      <c r="D233" t="s">
        <v>106</v>
      </c>
      <c r="E233">
        <v>32837</v>
      </c>
      <c r="F233">
        <v>52742</v>
      </c>
      <c r="G233">
        <v>62.259679193052975</v>
      </c>
      <c r="H233">
        <v>6099</v>
      </c>
      <c r="I233">
        <v>6517</v>
      </c>
      <c r="J233">
        <v>93.6</v>
      </c>
    </row>
    <row r="234" spans="1:10" x14ac:dyDescent="0.25">
      <c r="A234" t="s">
        <v>256</v>
      </c>
      <c r="B234" t="s">
        <v>148</v>
      </c>
      <c r="C234" t="s">
        <v>14</v>
      </c>
      <c r="D234" t="s">
        <v>106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257</v>
      </c>
      <c r="B235" t="s">
        <v>148</v>
      </c>
      <c r="C235" t="s">
        <v>14</v>
      </c>
      <c r="D235" t="s">
        <v>106</v>
      </c>
      <c r="E235">
        <v>25266</v>
      </c>
      <c r="F235">
        <v>29054</v>
      </c>
      <c r="G235">
        <v>86.96220830178288</v>
      </c>
      <c r="H235">
        <v>25266</v>
      </c>
      <c r="I235">
        <v>29054</v>
      </c>
      <c r="J235">
        <v>86.96</v>
      </c>
    </row>
    <row r="236" spans="1:10" x14ac:dyDescent="0.25">
      <c r="A236" t="s">
        <v>258</v>
      </c>
      <c r="B236" t="s">
        <v>148</v>
      </c>
      <c r="C236" t="s">
        <v>14</v>
      </c>
      <c r="D236" t="s">
        <v>106</v>
      </c>
      <c r="E236">
        <v>32240</v>
      </c>
      <c r="F236">
        <v>33759</v>
      </c>
      <c r="G236">
        <v>95.500459136822769</v>
      </c>
      <c r="H236">
        <v>32240</v>
      </c>
      <c r="I236">
        <v>33759</v>
      </c>
      <c r="J236">
        <v>95.5</v>
      </c>
    </row>
    <row r="237" spans="1:10" x14ac:dyDescent="0.25">
      <c r="A237" t="s">
        <v>259</v>
      </c>
      <c r="B237" t="s">
        <v>149</v>
      </c>
      <c r="C237" t="s">
        <v>14</v>
      </c>
      <c r="D237" t="s">
        <v>106</v>
      </c>
      <c r="E237">
        <v>16953</v>
      </c>
      <c r="F237">
        <v>24379</v>
      </c>
      <c r="G237">
        <v>69.539357643873828</v>
      </c>
      <c r="H237">
        <v>55436</v>
      </c>
      <c r="I237">
        <v>90604</v>
      </c>
      <c r="J237">
        <v>61.19</v>
      </c>
    </row>
    <row r="238" spans="1:10" x14ac:dyDescent="0.25">
      <c r="A238" t="s">
        <v>260</v>
      </c>
      <c r="B238" t="s">
        <v>149</v>
      </c>
      <c r="C238" t="s">
        <v>14</v>
      </c>
      <c r="D238" t="s">
        <v>106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261</v>
      </c>
      <c r="B239" t="s">
        <v>149</v>
      </c>
      <c r="C239" t="s">
        <v>14</v>
      </c>
      <c r="D239" t="s">
        <v>106</v>
      </c>
      <c r="E239">
        <v>16569</v>
      </c>
      <c r="F239">
        <v>19054</v>
      </c>
      <c r="G239">
        <v>86.958119030124905</v>
      </c>
      <c r="H239">
        <v>25266</v>
      </c>
      <c r="I239">
        <v>29054</v>
      </c>
      <c r="J239">
        <v>86.96</v>
      </c>
    </row>
    <row r="240" spans="1:10" x14ac:dyDescent="0.25">
      <c r="A240" t="s">
        <v>262</v>
      </c>
      <c r="B240" t="s">
        <v>149</v>
      </c>
      <c r="C240" t="s">
        <v>14</v>
      </c>
      <c r="D240" t="s">
        <v>106</v>
      </c>
      <c r="E240">
        <v>23167</v>
      </c>
      <c r="F240">
        <v>25427</v>
      </c>
      <c r="G240">
        <v>91.111810280410594</v>
      </c>
      <c r="H240">
        <v>22965</v>
      </c>
      <c r="I240">
        <v>25427</v>
      </c>
      <c r="J240">
        <v>90.32</v>
      </c>
    </row>
    <row r="241" spans="1:10" x14ac:dyDescent="0.25">
      <c r="A241" t="s">
        <v>263</v>
      </c>
      <c r="B241" t="s">
        <v>149</v>
      </c>
      <c r="C241" t="s">
        <v>14</v>
      </c>
      <c r="D241" t="s">
        <v>106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264</v>
      </c>
      <c r="B242" t="s">
        <v>150</v>
      </c>
      <c r="C242" t="s">
        <v>14</v>
      </c>
      <c r="D242" t="s">
        <v>106</v>
      </c>
      <c r="E242">
        <v>53826</v>
      </c>
      <c r="F242">
        <v>92010</v>
      </c>
      <c r="G242">
        <v>58.50016302575807</v>
      </c>
      <c r="H242">
        <v>58956</v>
      </c>
      <c r="I242">
        <v>100779</v>
      </c>
      <c r="J242">
        <v>58.5</v>
      </c>
    </row>
    <row r="243" spans="1:10" x14ac:dyDescent="0.25">
      <c r="A243" t="s">
        <v>265</v>
      </c>
      <c r="B243" t="s">
        <v>150</v>
      </c>
      <c r="C243" t="s">
        <v>14</v>
      </c>
      <c r="D243" t="s">
        <v>106</v>
      </c>
      <c r="E243">
        <v>28408</v>
      </c>
      <c r="F243">
        <v>33226</v>
      </c>
      <c r="G243">
        <v>85.499307771022686</v>
      </c>
      <c r="H243">
        <v>20754</v>
      </c>
      <c r="I243">
        <v>24274</v>
      </c>
      <c r="J243">
        <v>85.5</v>
      </c>
    </row>
    <row r="244" spans="1:10" x14ac:dyDescent="0.25">
      <c r="A244" t="s">
        <v>245</v>
      </c>
      <c r="B244" t="s">
        <v>145</v>
      </c>
      <c r="C244" t="s">
        <v>15</v>
      </c>
      <c r="D244" t="s">
        <v>106</v>
      </c>
      <c r="E244">
        <v>0</v>
      </c>
      <c r="F244">
        <v>0</v>
      </c>
      <c r="G244">
        <v>0</v>
      </c>
      <c r="H244">
        <v>7976</v>
      </c>
      <c r="I244">
        <v>9384</v>
      </c>
      <c r="J244">
        <v>85</v>
      </c>
    </row>
    <row r="245" spans="1:10" x14ac:dyDescent="0.25">
      <c r="A245" t="s">
        <v>246</v>
      </c>
      <c r="B245" t="s">
        <v>145</v>
      </c>
      <c r="C245" t="s">
        <v>15</v>
      </c>
      <c r="D245" t="s">
        <v>106</v>
      </c>
      <c r="E245">
        <v>23875</v>
      </c>
      <c r="F245">
        <v>25000</v>
      </c>
      <c r="G245">
        <v>95.5</v>
      </c>
      <c r="H245">
        <v>21527</v>
      </c>
      <c r="I245">
        <v>22542</v>
      </c>
      <c r="J245">
        <v>95.5</v>
      </c>
    </row>
    <row r="246" spans="1:10" x14ac:dyDescent="0.25">
      <c r="A246" t="s">
        <v>247</v>
      </c>
      <c r="B246" t="s">
        <v>145</v>
      </c>
      <c r="C246" t="s">
        <v>15</v>
      </c>
      <c r="D246" t="s">
        <v>106</v>
      </c>
      <c r="E246">
        <v>53570</v>
      </c>
      <c r="F246">
        <v>60600</v>
      </c>
      <c r="G246">
        <v>88.399339933993403</v>
      </c>
      <c r="H246">
        <v>54104</v>
      </c>
      <c r="I246">
        <v>61204</v>
      </c>
      <c r="J246">
        <v>88.4</v>
      </c>
    </row>
    <row r="247" spans="1:10" x14ac:dyDescent="0.25">
      <c r="A247" t="s">
        <v>248</v>
      </c>
      <c r="B247" t="s">
        <v>145</v>
      </c>
      <c r="C247" t="s">
        <v>15</v>
      </c>
      <c r="D247" t="s">
        <v>106</v>
      </c>
      <c r="E247">
        <v>105840</v>
      </c>
      <c r="F247">
        <v>120000</v>
      </c>
      <c r="G247">
        <v>88.2</v>
      </c>
      <c r="H247">
        <v>97492</v>
      </c>
      <c r="I247">
        <v>110536</v>
      </c>
      <c r="J247">
        <v>88.2</v>
      </c>
    </row>
    <row r="248" spans="1:10" x14ac:dyDescent="0.25">
      <c r="A248" t="s">
        <v>249</v>
      </c>
      <c r="B248" t="s">
        <v>145</v>
      </c>
      <c r="C248" t="s">
        <v>15</v>
      </c>
      <c r="D248" t="s">
        <v>106</v>
      </c>
      <c r="E248">
        <v>2892</v>
      </c>
      <c r="F248">
        <v>3000</v>
      </c>
      <c r="G248">
        <v>96.399999999999991</v>
      </c>
      <c r="H248">
        <v>2719</v>
      </c>
      <c r="I248">
        <v>2820</v>
      </c>
      <c r="J248">
        <v>96.4</v>
      </c>
    </row>
    <row r="249" spans="1:10" x14ac:dyDescent="0.25">
      <c r="A249" t="s">
        <v>250</v>
      </c>
      <c r="B249" t="s">
        <v>145</v>
      </c>
      <c r="C249" t="s">
        <v>15</v>
      </c>
      <c r="D249" t="s">
        <v>106</v>
      </c>
      <c r="E249">
        <v>2345</v>
      </c>
      <c r="F249">
        <v>2500</v>
      </c>
      <c r="G249">
        <v>93.8</v>
      </c>
      <c r="H249">
        <v>2586</v>
      </c>
      <c r="I249">
        <v>2757</v>
      </c>
      <c r="J249">
        <v>93.8</v>
      </c>
    </row>
    <row r="250" spans="1:10" x14ac:dyDescent="0.25">
      <c r="A250" t="s">
        <v>251</v>
      </c>
      <c r="B250" t="s">
        <v>145</v>
      </c>
      <c r="C250" t="s">
        <v>15</v>
      </c>
      <c r="D250" t="s">
        <v>106</v>
      </c>
      <c r="E250">
        <v>12600</v>
      </c>
      <c r="F250">
        <v>18000</v>
      </c>
      <c r="G250">
        <v>70</v>
      </c>
      <c r="H250">
        <v>13088</v>
      </c>
      <c r="I250">
        <v>18697</v>
      </c>
      <c r="J250">
        <v>70</v>
      </c>
    </row>
    <row r="251" spans="1:10" x14ac:dyDescent="0.25">
      <c r="A251" t="s">
        <v>252</v>
      </c>
      <c r="B251" t="s">
        <v>146</v>
      </c>
      <c r="C251" t="s">
        <v>15</v>
      </c>
      <c r="D251" t="s">
        <v>106</v>
      </c>
      <c r="E251">
        <v>142687</v>
      </c>
      <c r="F251">
        <v>246012</v>
      </c>
      <c r="G251">
        <v>58.00001625936946</v>
      </c>
      <c r="H251">
        <v>138688</v>
      </c>
      <c r="I251">
        <v>239117</v>
      </c>
      <c r="J251">
        <v>58</v>
      </c>
    </row>
    <row r="252" spans="1:10" x14ac:dyDescent="0.25">
      <c r="A252" t="s">
        <v>253</v>
      </c>
      <c r="B252" t="s">
        <v>146</v>
      </c>
      <c r="C252" t="s">
        <v>15</v>
      </c>
      <c r="D252" t="s">
        <v>106</v>
      </c>
      <c r="E252">
        <v>0</v>
      </c>
      <c r="F252">
        <v>0</v>
      </c>
      <c r="G252">
        <v>0</v>
      </c>
      <c r="H252">
        <v>14609</v>
      </c>
      <c r="I252">
        <v>16033</v>
      </c>
      <c r="J252">
        <v>91.12</v>
      </c>
    </row>
    <row r="253" spans="1:10" x14ac:dyDescent="0.25">
      <c r="A253" t="s">
        <v>254</v>
      </c>
      <c r="B253" t="s">
        <v>146</v>
      </c>
      <c r="C253" t="s">
        <v>15</v>
      </c>
      <c r="D253" t="s">
        <v>106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277</v>
      </c>
      <c r="B254" t="s">
        <v>147</v>
      </c>
      <c r="C254" t="s">
        <v>15</v>
      </c>
      <c r="D254" t="s">
        <v>106</v>
      </c>
      <c r="E254">
        <v>123843</v>
      </c>
      <c r="F254">
        <v>213523</v>
      </c>
      <c r="G254">
        <v>57.999840766568475</v>
      </c>
      <c r="H254">
        <v>123490</v>
      </c>
      <c r="I254">
        <v>212914</v>
      </c>
      <c r="J254">
        <v>58</v>
      </c>
    </row>
    <row r="255" spans="1:10" x14ac:dyDescent="0.25">
      <c r="A255" t="s">
        <v>255</v>
      </c>
      <c r="B255" t="s">
        <v>148</v>
      </c>
      <c r="C255" t="s">
        <v>15</v>
      </c>
      <c r="D255" t="s">
        <v>106</v>
      </c>
      <c r="E255">
        <v>9450</v>
      </c>
      <c r="F255">
        <v>12595</v>
      </c>
      <c r="G255">
        <v>75.029773719730059</v>
      </c>
      <c r="H255">
        <v>9399</v>
      </c>
      <c r="I255">
        <v>12595</v>
      </c>
      <c r="J255">
        <v>74.62</v>
      </c>
    </row>
    <row r="256" spans="1:10" x14ac:dyDescent="0.25">
      <c r="A256" t="s">
        <v>256</v>
      </c>
      <c r="B256" t="s">
        <v>148</v>
      </c>
      <c r="C256" t="s">
        <v>15</v>
      </c>
      <c r="D256" t="s">
        <v>106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257</v>
      </c>
      <c r="B257" t="s">
        <v>148</v>
      </c>
      <c r="C257" t="s">
        <v>15</v>
      </c>
      <c r="D257" t="s">
        <v>106</v>
      </c>
      <c r="E257">
        <v>17424</v>
      </c>
      <c r="F257">
        <v>20037</v>
      </c>
      <c r="G257">
        <v>86.959125617607427</v>
      </c>
      <c r="H257">
        <v>17424</v>
      </c>
      <c r="I257">
        <v>20037</v>
      </c>
      <c r="J257">
        <v>86.96</v>
      </c>
    </row>
    <row r="258" spans="1:10" x14ac:dyDescent="0.25">
      <c r="A258" t="s">
        <v>258</v>
      </c>
      <c r="B258" t="s">
        <v>148</v>
      </c>
      <c r="C258" t="s">
        <v>15</v>
      </c>
      <c r="D258" t="s">
        <v>106</v>
      </c>
      <c r="E258">
        <v>30618</v>
      </c>
      <c r="F258">
        <v>32060</v>
      </c>
      <c r="G258">
        <v>95.502183406113545</v>
      </c>
      <c r="H258">
        <v>30618</v>
      </c>
      <c r="I258">
        <v>32060</v>
      </c>
      <c r="J258">
        <v>95.5</v>
      </c>
    </row>
    <row r="259" spans="1:10" x14ac:dyDescent="0.25">
      <c r="A259" t="s">
        <v>259</v>
      </c>
      <c r="B259" t="s">
        <v>149</v>
      </c>
      <c r="C259" t="s">
        <v>15</v>
      </c>
      <c r="D259" t="s">
        <v>106</v>
      </c>
      <c r="E259">
        <v>52062</v>
      </c>
      <c r="F259">
        <v>85233</v>
      </c>
      <c r="G259">
        <v>61.081975291260427</v>
      </c>
      <c r="H259">
        <v>50271</v>
      </c>
      <c r="I259">
        <v>82233</v>
      </c>
      <c r="J259">
        <v>61.13</v>
      </c>
    </row>
    <row r="260" spans="1:10" x14ac:dyDescent="0.25">
      <c r="A260" t="s">
        <v>260</v>
      </c>
      <c r="B260" t="s">
        <v>149</v>
      </c>
      <c r="C260" t="s">
        <v>15</v>
      </c>
      <c r="D260" t="s">
        <v>106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261</v>
      </c>
      <c r="B261" t="s">
        <v>149</v>
      </c>
      <c r="C261" t="s">
        <v>15</v>
      </c>
      <c r="D261" t="s">
        <v>106</v>
      </c>
      <c r="E261">
        <v>23578</v>
      </c>
      <c r="F261">
        <v>27114</v>
      </c>
      <c r="G261">
        <v>86.95876668879545</v>
      </c>
      <c r="H261">
        <v>17424</v>
      </c>
      <c r="I261">
        <v>20037</v>
      </c>
      <c r="J261">
        <v>86.96</v>
      </c>
    </row>
    <row r="262" spans="1:10" x14ac:dyDescent="0.25">
      <c r="A262" t="s">
        <v>262</v>
      </c>
      <c r="B262" t="s">
        <v>149</v>
      </c>
      <c r="C262" t="s">
        <v>15</v>
      </c>
      <c r="D262" t="s">
        <v>106</v>
      </c>
      <c r="E262">
        <v>21475</v>
      </c>
      <c r="F262">
        <v>23569</v>
      </c>
      <c r="G262">
        <v>91.115448258305392</v>
      </c>
      <c r="H262">
        <v>21287</v>
      </c>
      <c r="I262">
        <v>23569</v>
      </c>
      <c r="J262">
        <v>90.32</v>
      </c>
    </row>
    <row r="263" spans="1:10" x14ac:dyDescent="0.25">
      <c r="A263" t="s">
        <v>263</v>
      </c>
      <c r="B263" t="s">
        <v>149</v>
      </c>
      <c r="C263" t="s">
        <v>15</v>
      </c>
      <c r="D263" t="s">
        <v>106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264</v>
      </c>
      <c r="B264" t="s">
        <v>150</v>
      </c>
      <c r="C264" t="s">
        <v>15</v>
      </c>
      <c r="D264" t="s">
        <v>106</v>
      </c>
      <c r="E264">
        <v>53145</v>
      </c>
      <c r="F264">
        <v>90846</v>
      </c>
      <c r="G264">
        <v>58.50009906875372</v>
      </c>
      <c r="H264">
        <v>57137</v>
      </c>
      <c r="I264">
        <v>97670</v>
      </c>
      <c r="J264">
        <v>58.5</v>
      </c>
    </row>
    <row r="265" spans="1:10" x14ac:dyDescent="0.25">
      <c r="A265" t="s">
        <v>265</v>
      </c>
      <c r="B265" t="s">
        <v>150</v>
      </c>
      <c r="C265" t="s">
        <v>15</v>
      </c>
      <c r="D265" t="s">
        <v>106</v>
      </c>
      <c r="E265">
        <v>27928</v>
      </c>
      <c r="F265">
        <v>32664</v>
      </c>
      <c r="G265">
        <v>85.500857212833708</v>
      </c>
      <c r="H265">
        <v>19684</v>
      </c>
      <c r="I265">
        <v>23022</v>
      </c>
      <c r="J265">
        <v>85.5</v>
      </c>
    </row>
    <row r="266" spans="1:10" x14ac:dyDescent="0.25">
      <c r="A266" t="s">
        <v>245</v>
      </c>
      <c r="B266" t="s">
        <v>145</v>
      </c>
      <c r="C266" t="s">
        <v>4</v>
      </c>
      <c r="D266" t="s">
        <v>107</v>
      </c>
      <c r="E266">
        <v>10877.64</v>
      </c>
      <c r="F266">
        <v>11980.362999999999</v>
      </c>
      <c r="G266">
        <v>90.795579399388814</v>
      </c>
      <c r="H266">
        <v>5606</v>
      </c>
      <c r="I266">
        <v>6595</v>
      </c>
      <c r="J266">
        <v>85</v>
      </c>
    </row>
    <row r="267" spans="1:10" x14ac:dyDescent="0.25">
      <c r="A267" t="s">
        <v>246</v>
      </c>
      <c r="B267" t="s">
        <v>145</v>
      </c>
      <c r="C267" t="s">
        <v>4</v>
      </c>
      <c r="D267" t="s">
        <v>107</v>
      </c>
      <c r="E267">
        <v>16026.43</v>
      </c>
      <c r="F267">
        <v>16712.048999999999</v>
      </c>
      <c r="G267">
        <v>95.897456978494986</v>
      </c>
      <c r="H267">
        <v>14025</v>
      </c>
      <c r="I267">
        <v>14685</v>
      </c>
      <c r="J267">
        <v>95.5</v>
      </c>
    </row>
    <row r="268" spans="1:10" x14ac:dyDescent="0.25">
      <c r="A268" t="s">
        <v>247</v>
      </c>
      <c r="B268" t="s">
        <v>145</v>
      </c>
      <c r="C268" t="s">
        <v>4</v>
      </c>
      <c r="D268" t="s">
        <v>107</v>
      </c>
      <c r="E268">
        <v>22535.03</v>
      </c>
      <c r="F268">
        <v>26375.633000000002</v>
      </c>
      <c r="G268">
        <v>85.438821506198536</v>
      </c>
      <c r="H268">
        <v>43182</v>
      </c>
      <c r="I268">
        <v>48848</v>
      </c>
      <c r="J268">
        <v>88.4</v>
      </c>
    </row>
    <row r="269" spans="1:10" x14ac:dyDescent="0.25">
      <c r="A269" t="s">
        <v>248</v>
      </c>
      <c r="B269" t="s">
        <v>145</v>
      </c>
      <c r="C269" t="s">
        <v>4</v>
      </c>
      <c r="D269" t="s">
        <v>107</v>
      </c>
      <c r="E269">
        <v>73473.11</v>
      </c>
      <c r="F269">
        <v>82730.198999999993</v>
      </c>
      <c r="G269">
        <v>88.810507998415432</v>
      </c>
      <c r="H269">
        <v>74574</v>
      </c>
      <c r="I269">
        <v>84550</v>
      </c>
      <c r="J269">
        <v>88.2</v>
      </c>
    </row>
    <row r="270" spans="1:10" x14ac:dyDescent="0.25">
      <c r="A270" t="s">
        <v>249</v>
      </c>
      <c r="B270" t="s">
        <v>145</v>
      </c>
      <c r="C270" t="s">
        <v>4</v>
      </c>
      <c r="D270" t="s">
        <v>107</v>
      </c>
      <c r="E270">
        <v>1851.01</v>
      </c>
      <c r="F270">
        <v>1899.8810000000001</v>
      </c>
      <c r="G270">
        <v>97.427680996862435</v>
      </c>
      <c r="H270">
        <v>1771</v>
      </c>
      <c r="I270">
        <v>1837</v>
      </c>
      <c r="J270">
        <v>96.4</v>
      </c>
    </row>
    <row r="271" spans="1:10" x14ac:dyDescent="0.25">
      <c r="A271" t="s">
        <v>250</v>
      </c>
      <c r="B271" t="s">
        <v>145</v>
      </c>
      <c r="C271" t="s">
        <v>4</v>
      </c>
      <c r="D271" t="s">
        <v>107</v>
      </c>
      <c r="E271">
        <v>9467.27</v>
      </c>
      <c r="F271">
        <v>10040.27</v>
      </c>
      <c r="G271">
        <v>94.292982160838307</v>
      </c>
      <c r="H271">
        <v>2129</v>
      </c>
      <c r="I271">
        <v>2270</v>
      </c>
      <c r="J271">
        <v>93.8</v>
      </c>
    </row>
    <row r="272" spans="1:10" x14ac:dyDescent="0.25">
      <c r="A272" t="s">
        <v>251</v>
      </c>
      <c r="B272" t="s">
        <v>145</v>
      </c>
      <c r="C272" t="s">
        <v>4</v>
      </c>
      <c r="D272" t="s">
        <v>107</v>
      </c>
      <c r="E272">
        <v>10914.45</v>
      </c>
      <c r="F272">
        <v>15003.357</v>
      </c>
      <c r="G272">
        <v>72.746719284224199</v>
      </c>
      <c r="H272">
        <v>8883</v>
      </c>
      <c r="I272">
        <v>12689</v>
      </c>
      <c r="J272">
        <v>70</v>
      </c>
    </row>
    <row r="273" spans="1:10" x14ac:dyDescent="0.25">
      <c r="A273" t="s">
        <v>252</v>
      </c>
      <c r="B273" t="s">
        <v>146</v>
      </c>
      <c r="C273" t="s">
        <v>4</v>
      </c>
      <c r="D273" t="s">
        <v>107</v>
      </c>
      <c r="E273">
        <v>124793.553</v>
      </c>
      <c r="F273">
        <v>214051.26500000001</v>
      </c>
      <c r="G273">
        <v>58.300778086969018</v>
      </c>
      <c r="H273">
        <v>131214</v>
      </c>
      <c r="I273">
        <v>226231</v>
      </c>
      <c r="J273">
        <v>58</v>
      </c>
    </row>
    <row r="274" spans="1:10" x14ac:dyDescent="0.25">
      <c r="A274" t="s">
        <v>253</v>
      </c>
      <c r="B274" t="s">
        <v>146</v>
      </c>
      <c r="C274" t="s">
        <v>4</v>
      </c>
      <c r="D274" t="s">
        <v>107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254</v>
      </c>
      <c r="B275" t="s">
        <v>146</v>
      </c>
      <c r="C275" t="s">
        <v>4</v>
      </c>
      <c r="D275" t="s">
        <v>107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277</v>
      </c>
      <c r="B276" t="s">
        <v>147</v>
      </c>
      <c r="C276" t="s">
        <v>4</v>
      </c>
      <c r="D276" t="s">
        <v>107</v>
      </c>
      <c r="E276">
        <v>97181.922999999995</v>
      </c>
      <c r="F276">
        <v>160972.84</v>
      </c>
      <c r="G276">
        <v>60.371627288181038</v>
      </c>
      <c r="H276">
        <v>90096</v>
      </c>
      <c r="I276">
        <v>155339</v>
      </c>
      <c r="J276">
        <v>58</v>
      </c>
    </row>
    <row r="277" spans="1:10" x14ac:dyDescent="0.25">
      <c r="A277" t="s">
        <v>255</v>
      </c>
      <c r="B277" t="s">
        <v>148</v>
      </c>
      <c r="C277" t="s">
        <v>4</v>
      </c>
      <c r="D277" t="s">
        <v>107</v>
      </c>
      <c r="E277">
        <v>18217.190999999999</v>
      </c>
      <c r="F277">
        <v>20891.862000000001</v>
      </c>
      <c r="G277">
        <v>87.197546106708913</v>
      </c>
      <c r="H277">
        <v>4945</v>
      </c>
      <c r="I277">
        <v>5232</v>
      </c>
      <c r="J277">
        <v>94.52</v>
      </c>
    </row>
    <row r="278" spans="1:10" x14ac:dyDescent="0.25">
      <c r="A278" t="s">
        <v>256</v>
      </c>
      <c r="B278" t="s">
        <v>148</v>
      </c>
      <c r="C278" t="s">
        <v>4</v>
      </c>
      <c r="D278" t="s">
        <v>107</v>
      </c>
      <c r="E278">
        <v>31210.999</v>
      </c>
      <c r="F278">
        <v>34515.258999999998</v>
      </c>
      <c r="G278">
        <v>90.426668969802606</v>
      </c>
      <c r="H278">
        <v>0</v>
      </c>
      <c r="I278">
        <v>0</v>
      </c>
      <c r="J278">
        <v>0</v>
      </c>
    </row>
    <row r="279" spans="1:10" x14ac:dyDescent="0.25">
      <c r="A279" t="s">
        <v>257</v>
      </c>
      <c r="B279" t="s">
        <v>148</v>
      </c>
      <c r="C279" t="s">
        <v>4</v>
      </c>
      <c r="D279" t="s">
        <v>107</v>
      </c>
      <c r="E279">
        <v>51151.207999999999</v>
      </c>
      <c r="F279">
        <v>59399.883000000002</v>
      </c>
      <c r="G279">
        <v>86.113314398279201</v>
      </c>
      <c r="H279">
        <v>10467</v>
      </c>
      <c r="I279">
        <v>12037</v>
      </c>
      <c r="J279">
        <v>86.96</v>
      </c>
    </row>
    <row r="280" spans="1:10" x14ac:dyDescent="0.25">
      <c r="A280" t="s">
        <v>258</v>
      </c>
      <c r="B280" t="s">
        <v>148</v>
      </c>
      <c r="C280" t="s">
        <v>4</v>
      </c>
      <c r="D280" t="s">
        <v>107</v>
      </c>
      <c r="E280">
        <v>0</v>
      </c>
      <c r="F280">
        <v>0</v>
      </c>
      <c r="G280">
        <v>0</v>
      </c>
      <c r="H280">
        <v>29479</v>
      </c>
      <c r="I280">
        <v>30868</v>
      </c>
      <c r="J280">
        <v>95.5</v>
      </c>
    </row>
    <row r="281" spans="1:10" x14ac:dyDescent="0.25">
      <c r="A281" t="s">
        <v>259</v>
      </c>
      <c r="B281" t="s">
        <v>149</v>
      </c>
      <c r="C281" t="s">
        <v>4</v>
      </c>
      <c r="D281" t="s">
        <v>107</v>
      </c>
      <c r="E281">
        <v>29341</v>
      </c>
      <c r="F281">
        <v>50770</v>
      </c>
      <c r="G281">
        <v>57.792003151467398</v>
      </c>
      <c r="H281">
        <v>47877</v>
      </c>
      <c r="I281">
        <v>79813</v>
      </c>
      <c r="J281">
        <v>59.99</v>
      </c>
    </row>
    <row r="282" spans="1:10" x14ac:dyDescent="0.25">
      <c r="A282" t="s">
        <v>260</v>
      </c>
      <c r="B282" t="s">
        <v>149</v>
      </c>
      <c r="C282" t="s">
        <v>4</v>
      </c>
      <c r="D282" t="s">
        <v>107</v>
      </c>
      <c r="E282">
        <v>2908.8119999999999</v>
      </c>
      <c r="F282">
        <v>3063.0459999999998</v>
      </c>
      <c r="G282">
        <v>94.964685479747928</v>
      </c>
      <c r="H282">
        <v>0</v>
      </c>
      <c r="I282">
        <v>0</v>
      </c>
      <c r="J282">
        <v>0</v>
      </c>
    </row>
    <row r="283" spans="1:10" x14ac:dyDescent="0.25">
      <c r="A283" t="s">
        <v>261</v>
      </c>
      <c r="B283" t="s">
        <v>149</v>
      </c>
      <c r="C283" t="s">
        <v>4</v>
      </c>
      <c r="D283" t="s">
        <v>107</v>
      </c>
      <c r="E283">
        <v>812.78</v>
      </c>
      <c r="F283">
        <v>934.39400000000001</v>
      </c>
      <c r="G283">
        <v>86.984719508044776</v>
      </c>
      <c r="H283">
        <v>10467</v>
      </c>
      <c r="I283">
        <v>12037</v>
      </c>
      <c r="J283">
        <v>86.96</v>
      </c>
    </row>
    <row r="284" spans="1:10" x14ac:dyDescent="0.25">
      <c r="A284" t="s">
        <v>262</v>
      </c>
      <c r="B284" t="s">
        <v>149</v>
      </c>
      <c r="C284" t="s">
        <v>4</v>
      </c>
      <c r="D284" t="s">
        <v>107</v>
      </c>
      <c r="E284">
        <v>0</v>
      </c>
      <c r="F284">
        <v>0</v>
      </c>
      <c r="G284">
        <v>0</v>
      </c>
      <c r="H284">
        <v>13150</v>
      </c>
      <c r="I284">
        <v>14559</v>
      </c>
      <c r="J284">
        <v>90.32</v>
      </c>
    </row>
    <row r="285" spans="1:10" x14ac:dyDescent="0.25">
      <c r="A285" t="s">
        <v>263</v>
      </c>
      <c r="B285" t="s">
        <v>149</v>
      </c>
      <c r="C285" t="s">
        <v>4</v>
      </c>
      <c r="D285" t="s">
        <v>107</v>
      </c>
      <c r="E285">
        <v>9320</v>
      </c>
      <c r="F285">
        <v>15386</v>
      </c>
      <c r="G285">
        <v>60.574548290653837</v>
      </c>
      <c r="H285">
        <v>0</v>
      </c>
      <c r="I285">
        <v>0</v>
      </c>
      <c r="J285">
        <v>0</v>
      </c>
    </row>
    <row r="286" spans="1:10" x14ac:dyDescent="0.25">
      <c r="A286" t="s">
        <v>264</v>
      </c>
      <c r="B286" t="s">
        <v>150</v>
      </c>
      <c r="C286" t="s">
        <v>4</v>
      </c>
      <c r="D286" t="s">
        <v>107</v>
      </c>
      <c r="E286">
        <v>42911.133999999998</v>
      </c>
      <c r="F286">
        <v>74037.744999999995</v>
      </c>
      <c r="G286">
        <v>57.958456190150045</v>
      </c>
      <c r="H286">
        <v>44878</v>
      </c>
      <c r="I286">
        <v>76715</v>
      </c>
      <c r="J286">
        <v>58.5</v>
      </c>
    </row>
    <row r="287" spans="1:10" x14ac:dyDescent="0.25">
      <c r="A287" t="s">
        <v>265</v>
      </c>
      <c r="B287" t="s">
        <v>150</v>
      </c>
      <c r="C287" t="s">
        <v>4</v>
      </c>
      <c r="D287" t="s">
        <v>107</v>
      </c>
      <c r="E287">
        <v>15732.723000000002</v>
      </c>
      <c r="F287">
        <v>18386.919999999998</v>
      </c>
      <c r="G287">
        <v>85.564754727817402</v>
      </c>
      <c r="H287">
        <v>12824</v>
      </c>
      <c r="I287">
        <v>14998</v>
      </c>
      <c r="J287">
        <v>85.5</v>
      </c>
    </row>
    <row r="288" spans="1:10" x14ac:dyDescent="0.25">
      <c r="A288" t="s">
        <v>245</v>
      </c>
      <c r="B288" t="s">
        <v>145</v>
      </c>
      <c r="C288" t="s">
        <v>5</v>
      </c>
      <c r="D288" t="s">
        <v>107</v>
      </c>
      <c r="E288">
        <v>25160.91</v>
      </c>
      <c r="F288">
        <v>26967.552</v>
      </c>
      <c r="G288">
        <v>93.300682242125646</v>
      </c>
      <c r="H288">
        <v>11478</v>
      </c>
      <c r="I288">
        <v>13504</v>
      </c>
      <c r="J288">
        <v>85</v>
      </c>
    </row>
    <row r="289" spans="1:10" x14ac:dyDescent="0.25">
      <c r="A289" t="s">
        <v>246</v>
      </c>
      <c r="B289" t="s">
        <v>145</v>
      </c>
      <c r="C289" t="s">
        <v>5</v>
      </c>
      <c r="D289" t="s">
        <v>107</v>
      </c>
      <c r="E289">
        <v>31096.61</v>
      </c>
      <c r="F289">
        <v>32645.311999999998</v>
      </c>
      <c r="G289">
        <v>95.255974272814441</v>
      </c>
      <c r="H289">
        <v>28727</v>
      </c>
      <c r="I289">
        <v>30081</v>
      </c>
      <c r="J289">
        <v>95.5</v>
      </c>
    </row>
    <row r="290" spans="1:10" x14ac:dyDescent="0.25">
      <c r="A290" t="s">
        <v>247</v>
      </c>
      <c r="B290" t="s">
        <v>145</v>
      </c>
      <c r="C290" t="s">
        <v>5</v>
      </c>
      <c r="D290" t="s">
        <v>107</v>
      </c>
      <c r="E290">
        <v>59002.81</v>
      </c>
      <c r="F290">
        <v>67847.870999999999</v>
      </c>
      <c r="G290">
        <v>86.963391968481957</v>
      </c>
      <c r="H290">
        <v>88452</v>
      </c>
      <c r="I290">
        <v>100058</v>
      </c>
      <c r="J290">
        <v>88.4</v>
      </c>
    </row>
    <row r="291" spans="1:10" x14ac:dyDescent="0.25">
      <c r="A291" t="s">
        <v>248</v>
      </c>
      <c r="B291" t="s">
        <v>145</v>
      </c>
      <c r="C291" t="s">
        <v>5</v>
      </c>
      <c r="D291" t="s">
        <v>107</v>
      </c>
      <c r="E291">
        <v>147823.31</v>
      </c>
      <c r="F291">
        <v>167913.76500000001</v>
      </c>
      <c r="G291">
        <v>88.035254286627421</v>
      </c>
      <c r="H291">
        <v>152752</v>
      </c>
      <c r="I291">
        <v>173189</v>
      </c>
      <c r="J291">
        <v>88.2</v>
      </c>
    </row>
    <row r="292" spans="1:10" x14ac:dyDescent="0.25">
      <c r="A292" t="s">
        <v>249</v>
      </c>
      <c r="B292" t="s">
        <v>145</v>
      </c>
      <c r="C292" t="s">
        <v>5</v>
      </c>
      <c r="D292" t="s">
        <v>107</v>
      </c>
      <c r="E292">
        <v>4889.55</v>
      </c>
      <c r="F292">
        <v>5069.991</v>
      </c>
      <c r="G292">
        <v>96.440999599407576</v>
      </c>
      <c r="H292">
        <v>3628</v>
      </c>
      <c r="I292">
        <v>3764</v>
      </c>
      <c r="J292">
        <v>96.4</v>
      </c>
    </row>
    <row r="293" spans="1:10" x14ac:dyDescent="0.25">
      <c r="A293" t="s">
        <v>250</v>
      </c>
      <c r="B293" t="s">
        <v>145</v>
      </c>
      <c r="C293" t="s">
        <v>5</v>
      </c>
      <c r="D293" t="s">
        <v>107</v>
      </c>
      <c r="E293">
        <v>12695.92</v>
      </c>
      <c r="F293">
        <v>13517.064</v>
      </c>
      <c r="G293">
        <v>93.925130486916387</v>
      </c>
      <c r="H293">
        <v>4362</v>
      </c>
      <c r="I293">
        <v>4650</v>
      </c>
      <c r="J293">
        <v>93.8</v>
      </c>
    </row>
    <row r="294" spans="1:10" x14ac:dyDescent="0.25">
      <c r="A294" t="s">
        <v>251</v>
      </c>
      <c r="B294" t="s">
        <v>145</v>
      </c>
      <c r="C294" t="s">
        <v>5</v>
      </c>
      <c r="D294" t="s">
        <v>107</v>
      </c>
      <c r="E294">
        <v>29612.86</v>
      </c>
      <c r="F294">
        <v>40246.077000000005</v>
      </c>
      <c r="G294">
        <v>73.579494468491916</v>
      </c>
      <c r="H294">
        <v>18101</v>
      </c>
      <c r="I294">
        <v>25859</v>
      </c>
      <c r="J294">
        <v>70</v>
      </c>
    </row>
    <row r="295" spans="1:10" x14ac:dyDescent="0.25">
      <c r="A295" t="s">
        <v>252</v>
      </c>
      <c r="B295" t="s">
        <v>146</v>
      </c>
      <c r="C295" t="s">
        <v>5</v>
      </c>
      <c r="D295" t="s">
        <v>107</v>
      </c>
      <c r="E295">
        <v>233719.08199999999</v>
      </c>
      <c r="F295">
        <v>401143.429</v>
      </c>
      <c r="G295">
        <v>58.263220859090772</v>
      </c>
      <c r="H295">
        <v>242187</v>
      </c>
      <c r="I295">
        <v>417563</v>
      </c>
      <c r="J295">
        <v>58</v>
      </c>
    </row>
    <row r="296" spans="1:10" x14ac:dyDescent="0.25">
      <c r="A296" t="s">
        <v>253</v>
      </c>
      <c r="B296" t="s">
        <v>146</v>
      </c>
      <c r="C296" t="s">
        <v>5</v>
      </c>
      <c r="D296" t="s">
        <v>107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254</v>
      </c>
      <c r="B297" t="s">
        <v>146</v>
      </c>
      <c r="C297" t="s">
        <v>5</v>
      </c>
      <c r="D297" t="s">
        <v>107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277</v>
      </c>
      <c r="B298" t="s">
        <v>147</v>
      </c>
      <c r="C298" t="s">
        <v>5</v>
      </c>
      <c r="D298" t="s">
        <v>107</v>
      </c>
      <c r="E298">
        <v>173030.329</v>
      </c>
      <c r="F298">
        <v>291802.06699999998</v>
      </c>
      <c r="G298">
        <v>59.297156726446353</v>
      </c>
      <c r="H298">
        <v>179202</v>
      </c>
      <c r="I298">
        <v>308969</v>
      </c>
      <c r="J298">
        <v>58</v>
      </c>
    </row>
    <row r="299" spans="1:10" x14ac:dyDescent="0.25">
      <c r="A299" t="s">
        <v>255</v>
      </c>
      <c r="B299" t="s">
        <v>148</v>
      </c>
      <c r="C299" t="s">
        <v>5</v>
      </c>
      <c r="D299" t="s">
        <v>107</v>
      </c>
      <c r="E299">
        <v>36864.212</v>
      </c>
      <c r="F299">
        <v>41544.922000000006</v>
      </c>
      <c r="G299">
        <v>88.73337636787474</v>
      </c>
      <c r="H299">
        <v>9922</v>
      </c>
      <c r="I299">
        <v>10500</v>
      </c>
      <c r="J299">
        <v>94.5</v>
      </c>
    </row>
    <row r="300" spans="1:10" x14ac:dyDescent="0.25">
      <c r="A300" t="s">
        <v>256</v>
      </c>
      <c r="B300" t="s">
        <v>148</v>
      </c>
      <c r="C300" t="s">
        <v>5</v>
      </c>
      <c r="D300" t="s">
        <v>107</v>
      </c>
      <c r="E300">
        <v>57763.1</v>
      </c>
      <c r="F300">
        <v>63564.915999999997</v>
      </c>
      <c r="G300">
        <v>90.872612810500684</v>
      </c>
      <c r="H300">
        <v>0</v>
      </c>
      <c r="I300">
        <v>0</v>
      </c>
      <c r="J300">
        <v>0</v>
      </c>
    </row>
    <row r="301" spans="1:10" x14ac:dyDescent="0.25">
      <c r="A301" t="s">
        <v>257</v>
      </c>
      <c r="B301" t="s">
        <v>148</v>
      </c>
      <c r="C301" t="s">
        <v>5</v>
      </c>
      <c r="D301" t="s">
        <v>107</v>
      </c>
      <c r="E301">
        <v>91418.508000000002</v>
      </c>
      <c r="F301">
        <v>105799.79399999999</v>
      </c>
      <c r="G301">
        <v>86.407075613020581</v>
      </c>
      <c r="H301">
        <v>21441</v>
      </c>
      <c r="I301">
        <v>24656</v>
      </c>
      <c r="J301">
        <v>86.96</v>
      </c>
    </row>
    <row r="302" spans="1:10" x14ac:dyDescent="0.25">
      <c r="A302" t="s">
        <v>258</v>
      </c>
      <c r="B302" t="s">
        <v>148</v>
      </c>
      <c r="C302" t="s">
        <v>5</v>
      </c>
      <c r="D302" t="s">
        <v>107</v>
      </c>
      <c r="E302">
        <v>1434.18</v>
      </c>
      <c r="F302">
        <v>1514.046</v>
      </c>
      <c r="G302">
        <v>94.724995145457939</v>
      </c>
      <c r="H302">
        <v>58999</v>
      </c>
      <c r="I302">
        <v>61779</v>
      </c>
      <c r="J302">
        <v>95.5</v>
      </c>
    </row>
    <row r="303" spans="1:10" x14ac:dyDescent="0.25">
      <c r="A303" t="s">
        <v>259</v>
      </c>
      <c r="B303" t="s">
        <v>149</v>
      </c>
      <c r="C303" t="s">
        <v>5</v>
      </c>
      <c r="D303" t="s">
        <v>107</v>
      </c>
      <c r="E303">
        <v>61445</v>
      </c>
      <c r="F303">
        <v>106784</v>
      </c>
      <c r="G303">
        <v>57.541391968834276</v>
      </c>
      <c r="H303">
        <v>89009</v>
      </c>
      <c r="I303">
        <v>147863</v>
      </c>
      <c r="J303">
        <v>60.2</v>
      </c>
    </row>
    <row r="304" spans="1:10" x14ac:dyDescent="0.25">
      <c r="A304" t="s">
        <v>260</v>
      </c>
      <c r="B304" t="s">
        <v>149</v>
      </c>
      <c r="C304" t="s">
        <v>5</v>
      </c>
      <c r="D304" t="s">
        <v>107</v>
      </c>
      <c r="E304">
        <v>2908.8119999999999</v>
      </c>
      <c r="F304">
        <v>3063.0459999999998</v>
      </c>
      <c r="G304">
        <v>94.964685479747928</v>
      </c>
      <c r="H304">
        <v>0</v>
      </c>
      <c r="I304">
        <v>0</v>
      </c>
      <c r="J304">
        <v>0</v>
      </c>
    </row>
    <row r="305" spans="1:10" x14ac:dyDescent="0.25">
      <c r="A305" t="s">
        <v>261</v>
      </c>
      <c r="B305" t="s">
        <v>149</v>
      </c>
      <c r="C305" t="s">
        <v>5</v>
      </c>
      <c r="D305" t="s">
        <v>107</v>
      </c>
      <c r="E305">
        <v>1305.087</v>
      </c>
      <c r="F305">
        <v>1503.5740000000001</v>
      </c>
      <c r="G305">
        <v>86.798986947100701</v>
      </c>
      <c r="H305">
        <v>21441</v>
      </c>
      <c r="I305">
        <v>24656</v>
      </c>
      <c r="J305">
        <v>86.96</v>
      </c>
    </row>
    <row r="306" spans="1:10" x14ac:dyDescent="0.25">
      <c r="A306" t="s">
        <v>262</v>
      </c>
      <c r="B306" t="s">
        <v>149</v>
      </c>
      <c r="C306" t="s">
        <v>5</v>
      </c>
      <c r="D306" t="s">
        <v>107</v>
      </c>
      <c r="E306">
        <v>2828.16</v>
      </c>
      <c r="F306">
        <v>3104.7660000000001</v>
      </c>
      <c r="G306">
        <v>91.09092279418158</v>
      </c>
      <c r="H306">
        <v>26935</v>
      </c>
      <c r="I306">
        <v>29822</v>
      </c>
      <c r="J306">
        <v>90.32</v>
      </c>
    </row>
    <row r="307" spans="1:10" x14ac:dyDescent="0.25">
      <c r="A307" t="s">
        <v>263</v>
      </c>
      <c r="B307" t="s">
        <v>149</v>
      </c>
      <c r="C307" t="s">
        <v>5</v>
      </c>
      <c r="D307" t="s">
        <v>107</v>
      </c>
      <c r="E307">
        <v>16317</v>
      </c>
      <c r="F307">
        <v>26730</v>
      </c>
      <c r="G307">
        <v>61.043771043771045</v>
      </c>
      <c r="H307">
        <v>0</v>
      </c>
      <c r="I307">
        <v>0</v>
      </c>
      <c r="J307">
        <v>0</v>
      </c>
    </row>
    <row r="308" spans="1:10" x14ac:dyDescent="0.25">
      <c r="A308" t="s">
        <v>264</v>
      </c>
      <c r="B308" t="s">
        <v>150</v>
      </c>
      <c r="C308" t="s">
        <v>5</v>
      </c>
      <c r="D308" t="s">
        <v>107</v>
      </c>
      <c r="E308">
        <v>86507.174999999988</v>
      </c>
      <c r="F308">
        <v>149307.72499999998</v>
      </c>
      <c r="G308">
        <v>57.938847437398167</v>
      </c>
      <c r="H308">
        <v>96597</v>
      </c>
      <c r="I308">
        <v>165124</v>
      </c>
      <c r="J308">
        <v>58.5</v>
      </c>
    </row>
    <row r="309" spans="1:10" x14ac:dyDescent="0.25">
      <c r="A309" t="s">
        <v>265</v>
      </c>
      <c r="B309" t="s">
        <v>150</v>
      </c>
      <c r="C309" t="s">
        <v>5</v>
      </c>
      <c r="D309" t="s">
        <v>107</v>
      </c>
      <c r="E309">
        <v>26852.333000000002</v>
      </c>
      <c r="F309">
        <v>31335.993999999999</v>
      </c>
      <c r="G309">
        <v>85.691658608308401</v>
      </c>
      <c r="H309">
        <v>26666</v>
      </c>
      <c r="I309">
        <v>31189</v>
      </c>
      <c r="J309">
        <v>85.5</v>
      </c>
    </row>
    <row r="310" spans="1:10" x14ac:dyDescent="0.25">
      <c r="A310" t="s">
        <v>245</v>
      </c>
      <c r="B310" t="s">
        <v>145</v>
      </c>
      <c r="C310" t="s">
        <v>6</v>
      </c>
      <c r="D310" t="s">
        <v>107</v>
      </c>
      <c r="E310">
        <v>27202.04</v>
      </c>
      <c r="F310">
        <v>29174.89</v>
      </c>
      <c r="G310">
        <v>93.237849397204243</v>
      </c>
      <c r="H310">
        <v>14926</v>
      </c>
      <c r="I310">
        <v>17559</v>
      </c>
      <c r="J310">
        <v>85</v>
      </c>
    </row>
    <row r="311" spans="1:10" x14ac:dyDescent="0.25">
      <c r="A311" t="s">
        <v>246</v>
      </c>
      <c r="B311" t="s">
        <v>145</v>
      </c>
      <c r="C311" t="s">
        <v>6</v>
      </c>
      <c r="D311" t="s">
        <v>107</v>
      </c>
      <c r="E311">
        <v>41470.22</v>
      </c>
      <c r="F311">
        <v>43690.709000000003</v>
      </c>
      <c r="G311">
        <v>94.917708934409831</v>
      </c>
      <c r="H311">
        <v>37338</v>
      </c>
      <c r="I311">
        <v>39097</v>
      </c>
      <c r="J311">
        <v>95.5</v>
      </c>
    </row>
    <row r="312" spans="1:10" x14ac:dyDescent="0.25">
      <c r="A312" t="s">
        <v>247</v>
      </c>
      <c r="B312" t="s">
        <v>145</v>
      </c>
      <c r="C312" t="s">
        <v>6</v>
      </c>
      <c r="D312" t="s">
        <v>107</v>
      </c>
      <c r="E312">
        <v>85283.06</v>
      </c>
      <c r="F312">
        <v>97675.66</v>
      </c>
      <c r="G312">
        <v>87.31249934732972</v>
      </c>
      <c r="H312">
        <v>114965</v>
      </c>
      <c r="I312">
        <v>130050</v>
      </c>
      <c r="J312">
        <v>88.4</v>
      </c>
    </row>
    <row r="313" spans="1:10" x14ac:dyDescent="0.25">
      <c r="A313" t="s">
        <v>248</v>
      </c>
      <c r="B313" t="s">
        <v>145</v>
      </c>
      <c r="C313" t="s">
        <v>6</v>
      </c>
      <c r="D313" t="s">
        <v>107</v>
      </c>
      <c r="E313">
        <v>230036.45</v>
      </c>
      <c r="F313">
        <v>261661.01</v>
      </c>
      <c r="G313">
        <v>87.913919616835543</v>
      </c>
      <c r="H313">
        <v>198539</v>
      </c>
      <c r="I313">
        <v>225101</v>
      </c>
      <c r="J313">
        <v>88.2</v>
      </c>
    </row>
    <row r="314" spans="1:10" x14ac:dyDescent="0.25">
      <c r="A314" t="s">
        <v>249</v>
      </c>
      <c r="B314" t="s">
        <v>145</v>
      </c>
      <c r="C314" t="s">
        <v>6</v>
      </c>
      <c r="D314" t="s">
        <v>107</v>
      </c>
      <c r="E314">
        <v>7292.34</v>
      </c>
      <c r="F314">
        <v>7586.3559999999998</v>
      </c>
      <c r="G314">
        <v>96.124410718400242</v>
      </c>
      <c r="H314">
        <v>4716</v>
      </c>
      <c r="I314">
        <v>4892</v>
      </c>
      <c r="J314">
        <v>96.4</v>
      </c>
    </row>
    <row r="315" spans="1:10" x14ac:dyDescent="0.25">
      <c r="A315" t="s">
        <v>250</v>
      </c>
      <c r="B315" t="s">
        <v>145</v>
      </c>
      <c r="C315" t="s">
        <v>6</v>
      </c>
      <c r="D315" t="s">
        <v>107</v>
      </c>
      <c r="E315">
        <v>16582.29</v>
      </c>
      <c r="F315">
        <v>17733.402000000002</v>
      </c>
      <c r="G315">
        <v>93.508792052421754</v>
      </c>
      <c r="H315">
        <v>5669</v>
      </c>
      <c r="I315">
        <v>6044</v>
      </c>
      <c r="J315">
        <v>93.8</v>
      </c>
    </row>
    <row r="316" spans="1:10" x14ac:dyDescent="0.25">
      <c r="A316" t="s">
        <v>251</v>
      </c>
      <c r="B316" t="s">
        <v>145</v>
      </c>
      <c r="C316" t="s">
        <v>6</v>
      </c>
      <c r="D316" t="s">
        <v>107</v>
      </c>
      <c r="E316">
        <v>39208.44</v>
      </c>
      <c r="F316">
        <v>53440.641000000003</v>
      </c>
      <c r="G316">
        <v>73.368206792280048</v>
      </c>
      <c r="H316">
        <v>23661</v>
      </c>
      <c r="I316">
        <v>33802</v>
      </c>
      <c r="J316">
        <v>70</v>
      </c>
    </row>
    <row r="317" spans="1:10" x14ac:dyDescent="0.25">
      <c r="A317" t="s">
        <v>252</v>
      </c>
      <c r="B317" t="s">
        <v>146</v>
      </c>
      <c r="C317" t="s">
        <v>6</v>
      </c>
      <c r="D317" t="s">
        <v>107</v>
      </c>
      <c r="E317">
        <v>308974.36900000001</v>
      </c>
      <c r="F317">
        <v>529992.22400000005</v>
      </c>
      <c r="G317">
        <v>58.297906083995677</v>
      </c>
      <c r="H317">
        <v>316185</v>
      </c>
      <c r="I317">
        <v>545146</v>
      </c>
      <c r="J317">
        <v>58</v>
      </c>
    </row>
    <row r="318" spans="1:10" x14ac:dyDescent="0.25">
      <c r="A318" t="s">
        <v>253</v>
      </c>
      <c r="B318" t="s">
        <v>146</v>
      </c>
      <c r="C318" t="s">
        <v>6</v>
      </c>
      <c r="D318" t="s">
        <v>107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254</v>
      </c>
      <c r="B319" t="s">
        <v>146</v>
      </c>
      <c r="C319" t="s">
        <v>6</v>
      </c>
      <c r="D319" t="s">
        <v>107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277</v>
      </c>
      <c r="B320" t="s">
        <v>147</v>
      </c>
      <c r="C320" t="s">
        <v>6</v>
      </c>
      <c r="D320" t="s">
        <v>107</v>
      </c>
      <c r="E320">
        <v>240642.712</v>
      </c>
      <c r="F320">
        <v>407317.723</v>
      </c>
      <c r="G320">
        <v>59.079853002124338</v>
      </c>
      <c r="H320">
        <v>238652</v>
      </c>
      <c r="I320">
        <v>411469</v>
      </c>
      <c r="J320">
        <v>58</v>
      </c>
    </row>
    <row r="321" spans="1:10" x14ac:dyDescent="0.25">
      <c r="A321" t="s">
        <v>255</v>
      </c>
      <c r="B321" t="s">
        <v>148</v>
      </c>
      <c r="C321" t="s">
        <v>6</v>
      </c>
      <c r="D321" t="s">
        <v>107</v>
      </c>
      <c r="E321">
        <v>47305.262000000002</v>
      </c>
      <c r="F321">
        <v>53081.979000000007</v>
      </c>
      <c r="G321">
        <v>89.117366931628524</v>
      </c>
      <c r="H321">
        <v>14617</v>
      </c>
      <c r="I321">
        <v>15449</v>
      </c>
      <c r="J321">
        <v>94.61</v>
      </c>
    </row>
    <row r="322" spans="1:10" x14ac:dyDescent="0.25">
      <c r="A322" t="s">
        <v>256</v>
      </c>
      <c r="B322" t="s">
        <v>148</v>
      </c>
      <c r="C322" t="s">
        <v>6</v>
      </c>
      <c r="D322" t="s">
        <v>107</v>
      </c>
      <c r="E322">
        <v>86368.512000000002</v>
      </c>
      <c r="F322">
        <v>95061.247999999992</v>
      </c>
      <c r="G322">
        <v>90.855647087654489</v>
      </c>
      <c r="H322">
        <v>0</v>
      </c>
      <c r="I322">
        <v>0</v>
      </c>
      <c r="J322">
        <v>0</v>
      </c>
    </row>
    <row r="323" spans="1:10" x14ac:dyDescent="0.25">
      <c r="A323" t="s">
        <v>257</v>
      </c>
      <c r="B323" t="s">
        <v>148</v>
      </c>
      <c r="C323" t="s">
        <v>6</v>
      </c>
      <c r="D323" t="s">
        <v>107</v>
      </c>
      <c r="E323">
        <v>119615.784</v>
      </c>
      <c r="F323">
        <v>138270.073</v>
      </c>
      <c r="G323">
        <v>86.508802233727039</v>
      </c>
      <c r="H323">
        <v>27868</v>
      </c>
      <c r="I323">
        <v>32047</v>
      </c>
      <c r="J323">
        <v>86.96</v>
      </c>
    </row>
    <row r="324" spans="1:10" x14ac:dyDescent="0.25">
      <c r="A324" t="s">
        <v>258</v>
      </c>
      <c r="B324" t="s">
        <v>148</v>
      </c>
      <c r="C324" t="s">
        <v>6</v>
      </c>
      <c r="D324" t="s">
        <v>107</v>
      </c>
      <c r="E324">
        <v>9978.3330000000005</v>
      </c>
      <c r="F324">
        <v>10502.162</v>
      </c>
      <c r="G324">
        <v>95.012179396966076</v>
      </c>
      <c r="H324">
        <v>88158</v>
      </c>
      <c r="I324">
        <v>92312</v>
      </c>
      <c r="J324">
        <v>95.5</v>
      </c>
    </row>
    <row r="325" spans="1:10" x14ac:dyDescent="0.25">
      <c r="A325" t="s">
        <v>259</v>
      </c>
      <c r="B325" t="s">
        <v>149</v>
      </c>
      <c r="C325" t="s">
        <v>6</v>
      </c>
      <c r="D325" t="s">
        <v>107</v>
      </c>
      <c r="E325">
        <v>93841</v>
      </c>
      <c r="F325">
        <v>162739</v>
      </c>
      <c r="G325">
        <v>57.66349799372</v>
      </c>
      <c r="H325">
        <v>116329</v>
      </c>
      <c r="I325">
        <v>193287</v>
      </c>
      <c r="J325">
        <v>60.18</v>
      </c>
    </row>
    <row r="326" spans="1:10" x14ac:dyDescent="0.25">
      <c r="A326" t="s">
        <v>260</v>
      </c>
      <c r="B326" t="s">
        <v>149</v>
      </c>
      <c r="C326" t="s">
        <v>6</v>
      </c>
      <c r="D326" t="s">
        <v>107</v>
      </c>
      <c r="E326">
        <v>4061.634</v>
      </c>
      <c r="F326">
        <v>4279.0519999999997</v>
      </c>
      <c r="G326">
        <v>94.919014772430913</v>
      </c>
      <c r="H326">
        <v>0</v>
      </c>
      <c r="I326">
        <v>0</v>
      </c>
      <c r="J326">
        <v>0</v>
      </c>
    </row>
    <row r="327" spans="1:10" x14ac:dyDescent="0.25">
      <c r="A327" t="s">
        <v>261</v>
      </c>
      <c r="B327" t="s">
        <v>149</v>
      </c>
      <c r="C327" t="s">
        <v>6</v>
      </c>
      <c r="D327" t="s">
        <v>107</v>
      </c>
      <c r="E327">
        <v>9071.9979999999996</v>
      </c>
      <c r="F327">
        <v>10247.058000000001</v>
      </c>
      <c r="G327">
        <v>88.532708607680348</v>
      </c>
      <c r="H327">
        <v>27868</v>
      </c>
      <c r="I327">
        <v>32047</v>
      </c>
      <c r="J327">
        <v>86.96</v>
      </c>
    </row>
    <row r="328" spans="1:10" x14ac:dyDescent="0.25">
      <c r="A328" t="s">
        <v>262</v>
      </c>
      <c r="B328" t="s">
        <v>149</v>
      </c>
      <c r="C328" t="s">
        <v>6</v>
      </c>
      <c r="D328" t="s">
        <v>107</v>
      </c>
      <c r="E328">
        <v>4486.8339999999998</v>
      </c>
      <c r="F328">
        <v>4918.5879999999997</v>
      </c>
      <c r="G328">
        <v>91.221992978472684</v>
      </c>
      <c r="H328">
        <v>35009</v>
      </c>
      <c r="I328">
        <v>38761</v>
      </c>
      <c r="J328">
        <v>90.32</v>
      </c>
    </row>
    <row r="329" spans="1:10" x14ac:dyDescent="0.25">
      <c r="A329" t="s">
        <v>263</v>
      </c>
      <c r="B329" t="s">
        <v>149</v>
      </c>
      <c r="C329" t="s">
        <v>6</v>
      </c>
      <c r="D329" t="s">
        <v>107</v>
      </c>
      <c r="E329">
        <v>24797</v>
      </c>
      <c r="F329">
        <v>38259</v>
      </c>
      <c r="G329">
        <v>64.813507932773987</v>
      </c>
      <c r="H329">
        <v>0</v>
      </c>
      <c r="I329">
        <v>0</v>
      </c>
      <c r="J329">
        <v>0</v>
      </c>
    </row>
    <row r="330" spans="1:10" x14ac:dyDescent="0.25">
      <c r="A330" t="s">
        <v>264</v>
      </c>
      <c r="B330" t="s">
        <v>150</v>
      </c>
      <c r="C330" t="s">
        <v>6</v>
      </c>
      <c r="D330" t="s">
        <v>107</v>
      </c>
      <c r="E330">
        <v>127904.09299999999</v>
      </c>
      <c r="F330">
        <v>220998.42899999997</v>
      </c>
      <c r="G330">
        <v>57.875566617715648</v>
      </c>
      <c r="H330">
        <v>127056</v>
      </c>
      <c r="I330">
        <v>217190</v>
      </c>
      <c r="J330">
        <v>58.5</v>
      </c>
    </row>
    <row r="331" spans="1:10" x14ac:dyDescent="0.25">
      <c r="A331" t="s">
        <v>265</v>
      </c>
      <c r="B331" t="s">
        <v>150</v>
      </c>
      <c r="C331" t="s">
        <v>6</v>
      </c>
      <c r="D331" t="s">
        <v>107</v>
      </c>
      <c r="E331">
        <v>33835.238000000005</v>
      </c>
      <c r="F331">
        <v>39485.044999999998</v>
      </c>
      <c r="G331">
        <v>85.691273746807198</v>
      </c>
      <c r="H331">
        <v>34540</v>
      </c>
      <c r="I331">
        <v>40397</v>
      </c>
      <c r="J331">
        <v>85.5</v>
      </c>
    </row>
    <row r="332" spans="1:10" x14ac:dyDescent="0.25">
      <c r="A332" t="s">
        <v>245</v>
      </c>
      <c r="B332" t="s">
        <v>145</v>
      </c>
      <c r="C332" t="s">
        <v>7</v>
      </c>
      <c r="D332" t="s">
        <v>107</v>
      </c>
      <c r="E332">
        <v>36319.949999999997</v>
      </c>
      <c r="F332">
        <v>39086.119999999995</v>
      </c>
      <c r="G332">
        <v>92.922884133805056</v>
      </c>
      <c r="H332">
        <v>20523</v>
      </c>
      <c r="I332">
        <v>24144</v>
      </c>
      <c r="J332">
        <v>85</v>
      </c>
    </row>
    <row r="333" spans="1:10" x14ac:dyDescent="0.25">
      <c r="A333" t="s">
        <v>246</v>
      </c>
      <c r="B333" t="s">
        <v>145</v>
      </c>
      <c r="C333" t="s">
        <v>7</v>
      </c>
      <c r="D333" t="s">
        <v>107</v>
      </c>
      <c r="E333">
        <v>48790.22</v>
      </c>
      <c r="F333">
        <v>51475.060000000005</v>
      </c>
      <c r="G333">
        <v>94.784192577920251</v>
      </c>
      <c r="H333">
        <v>51339</v>
      </c>
      <c r="I333">
        <v>53759</v>
      </c>
      <c r="J333">
        <v>95.5</v>
      </c>
    </row>
    <row r="334" spans="1:10" x14ac:dyDescent="0.25">
      <c r="A334" t="s">
        <v>247</v>
      </c>
      <c r="B334" t="s">
        <v>145</v>
      </c>
      <c r="C334" t="s">
        <v>7</v>
      </c>
      <c r="D334" t="s">
        <v>107</v>
      </c>
      <c r="E334">
        <v>104604.14</v>
      </c>
      <c r="F334">
        <v>119828.516</v>
      </c>
      <c r="G334">
        <v>87.294863937061521</v>
      </c>
      <c r="H334">
        <v>158076</v>
      </c>
      <c r="I334">
        <v>178819</v>
      </c>
      <c r="J334">
        <v>88.4</v>
      </c>
    </row>
    <row r="335" spans="1:10" x14ac:dyDescent="0.25">
      <c r="A335" t="s">
        <v>248</v>
      </c>
      <c r="B335" t="s">
        <v>145</v>
      </c>
      <c r="C335" t="s">
        <v>7</v>
      </c>
      <c r="D335" t="s">
        <v>107</v>
      </c>
      <c r="E335">
        <v>282263.67000000004</v>
      </c>
      <c r="F335">
        <v>321393.74</v>
      </c>
      <c r="G335">
        <v>87.824881094448216</v>
      </c>
      <c r="H335">
        <v>272991</v>
      </c>
      <c r="I335">
        <v>309514</v>
      </c>
      <c r="J335">
        <v>88.2</v>
      </c>
    </row>
    <row r="336" spans="1:10" x14ac:dyDescent="0.25">
      <c r="A336" t="s">
        <v>249</v>
      </c>
      <c r="B336" t="s">
        <v>145</v>
      </c>
      <c r="C336" t="s">
        <v>7</v>
      </c>
      <c r="D336" t="s">
        <v>107</v>
      </c>
      <c r="E336">
        <v>7292.34</v>
      </c>
      <c r="F336">
        <v>7586.3559999999998</v>
      </c>
      <c r="G336">
        <v>96.124410718400242</v>
      </c>
      <c r="H336">
        <v>6484</v>
      </c>
      <c r="I336">
        <v>6726</v>
      </c>
      <c r="J336">
        <v>96.4</v>
      </c>
    </row>
    <row r="337" spans="1:10" x14ac:dyDescent="0.25">
      <c r="A337" t="s">
        <v>250</v>
      </c>
      <c r="B337" t="s">
        <v>145</v>
      </c>
      <c r="C337" t="s">
        <v>7</v>
      </c>
      <c r="D337" t="s">
        <v>107</v>
      </c>
      <c r="E337">
        <v>19541.370000000003</v>
      </c>
      <c r="F337">
        <v>20919.482000000004</v>
      </c>
      <c r="G337">
        <v>93.412303421279745</v>
      </c>
      <c r="H337">
        <v>7795</v>
      </c>
      <c r="I337">
        <v>8310</v>
      </c>
      <c r="J337">
        <v>93.8</v>
      </c>
    </row>
    <row r="338" spans="1:10" x14ac:dyDescent="0.25">
      <c r="A338" t="s">
        <v>251</v>
      </c>
      <c r="B338" t="s">
        <v>145</v>
      </c>
      <c r="C338" t="s">
        <v>7</v>
      </c>
      <c r="D338" t="s">
        <v>107</v>
      </c>
      <c r="E338">
        <v>48116.020000000004</v>
      </c>
      <c r="F338">
        <v>65262.361000000004</v>
      </c>
      <c r="G338">
        <v>73.727059920495378</v>
      </c>
      <c r="H338">
        <v>32534</v>
      </c>
      <c r="I338">
        <v>46477</v>
      </c>
      <c r="J338">
        <v>70</v>
      </c>
    </row>
    <row r="339" spans="1:10" x14ac:dyDescent="0.25">
      <c r="A339" t="s">
        <v>252</v>
      </c>
      <c r="B339" t="s">
        <v>146</v>
      </c>
      <c r="C339" t="s">
        <v>7</v>
      </c>
      <c r="D339" t="s">
        <v>107</v>
      </c>
      <c r="E339">
        <v>383878.71900000004</v>
      </c>
      <c r="F339">
        <v>655895.99400000006</v>
      </c>
      <c r="G339">
        <v>58.527376674296313</v>
      </c>
      <c r="H339">
        <v>423241</v>
      </c>
      <c r="I339">
        <v>729726</v>
      </c>
      <c r="J339">
        <v>58</v>
      </c>
    </row>
    <row r="340" spans="1:10" x14ac:dyDescent="0.25">
      <c r="A340" t="s">
        <v>253</v>
      </c>
      <c r="B340" t="s">
        <v>146</v>
      </c>
      <c r="C340" t="s">
        <v>7</v>
      </c>
      <c r="D340" t="s">
        <v>107</v>
      </c>
      <c r="E340">
        <v>13406.61</v>
      </c>
      <c r="F340">
        <v>14658.356</v>
      </c>
      <c r="G340">
        <v>91.460529407254128</v>
      </c>
      <c r="H340">
        <v>0</v>
      </c>
      <c r="I340">
        <v>0</v>
      </c>
      <c r="J340">
        <v>0</v>
      </c>
    </row>
    <row r="341" spans="1:10" x14ac:dyDescent="0.25">
      <c r="A341" t="s">
        <v>254</v>
      </c>
      <c r="B341" t="s">
        <v>146</v>
      </c>
      <c r="C341" t="s">
        <v>7</v>
      </c>
      <c r="D341" t="s">
        <v>107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277</v>
      </c>
      <c r="B342" t="s">
        <v>147</v>
      </c>
      <c r="C342" t="s">
        <v>7</v>
      </c>
      <c r="D342" t="s">
        <v>107</v>
      </c>
      <c r="E342">
        <v>311384.16800000001</v>
      </c>
      <c r="F342">
        <v>529321.50600000005</v>
      </c>
      <c r="G342">
        <v>58.82703885452937</v>
      </c>
      <c r="H342">
        <v>328659</v>
      </c>
      <c r="I342">
        <v>566653</v>
      </c>
      <c r="J342">
        <v>58</v>
      </c>
    </row>
    <row r="343" spans="1:10" x14ac:dyDescent="0.25">
      <c r="A343" t="s">
        <v>255</v>
      </c>
      <c r="B343" t="s">
        <v>148</v>
      </c>
      <c r="C343" t="s">
        <v>7</v>
      </c>
      <c r="D343" t="s">
        <v>107</v>
      </c>
      <c r="E343">
        <v>62035.502</v>
      </c>
      <c r="F343">
        <v>69691.913</v>
      </c>
      <c r="G343">
        <v>89.013917583235241</v>
      </c>
      <c r="H343">
        <v>19721</v>
      </c>
      <c r="I343">
        <v>20864</v>
      </c>
      <c r="J343">
        <v>94.52</v>
      </c>
    </row>
    <row r="344" spans="1:10" x14ac:dyDescent="0.25">
      <c r="A344" t="s">
        <v>256</v>
      </c>
      <c r="B344" t="s">
        <v>148</v>
      </c>
      <c r="C344" t="s">
        <v>7</v>
      </c>
      <c r="D344" t="s">
        <v>107</v>
      </c>
      <c r="E344">
        <v>112539.60400000001</v>
      </c>
      <c r="F344">
        <v>124105.43599999999</v>
      </c>
      <c r="G344">
        <v>90.680640290405989</v>
      </c>
      <c r="H344">
        <v>0</v>
      </c>
      <c r="I344">
        <v>0</v>
      </c>
      <c r="J344">
        <v>0</v>
      </c>
    </row>
    <row r="345" spans="1:10" x14ac:dyDescent="0.25">
      <c r="A345" t="s">
        <v>257</v>
      </c>
      <c r="B345" t="s">
        <v>148</v>
      </c>
      <c r="C345" t="s">
        <v>7</v>
      </c>
      <c r="D345" t="s">
        <v>107</v>
      </c>
      <c r="E345">
        <v>153983.016</v>
      </c>
      <c r="F345">
        <v>178012.927</v>
      </c>
      <c r="G345">
        <v>86.50103034371206</v>
      </c>
      <c r="H345">
        <v>41514</v>
      </c>
      <c r="I345">
        <v>47740</v>
      </c>
      <c r="J345">
        <v>86.96</v>
      </c>
    </row>
    <row r="346" spans="1:10" x14ac:dyDescent="0.25">
      <c r="A346" t="s">
        <v>258</v>
      </c>
      <c r="B346" t="s">
        <v>148</v>
      </c>
      <c r="C346" t="s">
        <v>7</v>
      </c>
      <c r="D346" t="s">
        <v>107</v>
      </c>
      <c r="E346">
        <v>9978.3330000000005</v>
      </c>
      <c r="F346">
        <v>10502.162</v>
      </c>
      <c r="G346">
        <v>95.012179396966076</v>
      </c>
      <c r="H346">
        <v>117636</v>
      </c>
      <c r="I346">
        <v>123179</v>
      </c>
      <c r="J346">
        <v>95.5</v>
      </c>
    </row>
    <row r="347" spans="1:10" x14ac:dyDescent="0.25">
      <c r="A347" t="s">
        <v>259</v>
      </c>
      <c r="B347" t="s">
        <v>149</v>
      </c>
      <c r="C347" t="s">
        <v>7</v>
      </c>
      <c r="D347" t="s">
        <v>107</v>
      </c>
      <c r="E347">
        <v>127970</v>
      </c>
      <c r="F347">
        <v>221803</v>
      </c>
      <c r="G347">
        <v>57.695342263179484</v>
      </c>
      <c r="H347">
        <v>160479</v>
      </c>
      <c r="I347">
        <v>266101</v>
      </c>
      <c r="J347">
        <v>60.31</v>
      </c>
    </row>
    <row r="348" spans="1:10" x14ac:dyDescent="0.25">
      <c r="A348" t="s">
        <v>260</v>
      </c>
      <c r="B348" t="s">
        <v>149</v>
      </c>
      <c r="C348" t="s">
        <v>7</v>
      </c>
      <c r="D348" t="s">
        <v>107</v>
      </c>
      <c r="E348">
        <v>8383.8240000000005</v>
      </c>
      <c r="F348">
        <v>8839.6539999999986</v>
      </c>
      <c r="G348">
        <v>94.843350203526086</v>
      </c>
      <c r="H348">
        <v>0</v>
      </c>
      <c r="I348">
        <v>0</v>
      </c>
      <c r="J348">
        <v>0</v>
      </c>
    </row>
    <row r="349" spans="1:10" x14ac:dyDescent="0.25">
      <c r="A349" t="s">
        <v>261</v>
      </c>
      <c r="B349" t="s">
        <v>149</v>
      </c>
      <c r="C349" t="s">
        <v>7</v>
      </c>
      <c r="D349" t="s">
        <v>107</v>
      </c>
      <c r="E349">
        <v>9654.1739999999991</v>
      </c>
      <c r="F349">
        <v>10914.592000000001</v>
      </c>
      <c r="G349">
        <v>88.451991609031282</v>
      </c>
      <c r="H349">
        <v>41514</v>
      </c>
      <c r="I349">
        <v>47740</v>
      </c>
      <c r="J349">
        <v>86.96</v>
      </c>
    </row>
    <row r="350" spans="1:10" x14ac:dyDescent="0.25">
      <c r="A350" t="s">
        <v>262</v>
      </c>
      <c r="B350" t="s">
        <v>149</v>
      </c>
      <c r="C350" t="s">
        <v>7</v>
      </c>
      <c r="D350" t="s">
        <v>107</v>
      </c>
      <c r="E350">
        <v>5059.46</v>
      </c>
      <c r="F350">
        <v>5550.2219999999998</v>
      </c>
      <c r="G350">
        <v>91.15779512963627</v>
      </c>
      <c r="H350">
        <v>50757</v>
      </c>
      <c r="I350">
        <v>56197</v>
      </c>
      <c r="J350">
        <v>90.32</v>
      </c>
    </row>
    <row r="351" spans="1:10" x14ac:dyDescent="0.25">
      <c r="A351" t="s">
        <v>263</v>
      </c>
      <c r="B351" t="s">
        <v>149</v>
      </c>
      <c r="C351" t="s">
        <v>7</v>
      </c>
      <c r="D351" t="s">
        <v>107</v>
      </c>
      <c r="E351">
        <v>34689</v>
      </c>
      <c r="F351">
        <v>53404</v>
      </c>
      <c r="G351">
        <v>64.955808553666401</v>
      </c>
      <c r="H351">
        <v>0</v>
      </c>
      <c r="I351">
        <v>0</v>
      </c>
      <c r="J351">
        <v>0</v>
      </c>
    </row>
    <row r="352" spans="1:10" x14ac:dyDescent="0.25">
      <c r="A352" t="s">
        <v>264</v>
      </c>
      <c r="B352" t="s">
        <v>150</v>
      </c>
      <c r="C352" t="s">
        <v>7</v>
      </c>
      <c r="D352" t="s">
        <v>107</v>
      </c>
      <c r="E352">
        <v>180944.15</v>
      </c>
      <c r="F352">
        <v>312952.06299999997</v>
      </c>
      <c r="G352">
        <v>57.818487683207898</v>
      </c>
      <c r="H352">
        <v>172290</v>
      </c>
      <c r="I352">
        <v>294513</v>
      </c>
      <c r="J352">
        <v>58.5</v>
      </c>
    </row>
    <row r="353" spans="1:10" x14ac:dyDescent="0.25">
      <c r="A353" t="s">
        <v>265</v>
      </c>
      <c r="B353" t="s">
        <v>150</v>
      </c>
      <c r="C353" t="s">
        <v>7</v>
      </c>
      <c r="D353" t="s">
        <v>107</v>
      </c>
      <c r="E353">
        <v>44584.821000000004</v>
      </c>
      <c r="F353">
        <v>52117.220999999998</v>
      </c>
      <c r="G353">
        <v>85.547195618891507</v>
      </c>
      <c r="H353">
        <v>47343</v>
      </c>
      <c r="I353">
        <v>55371</v>
      </c>
      <c r="J353">
        <v>85.5</v>
      </c>
    </row>
    <row r="354" spans="1:10" x14ac:dyDescent="0.25">
      <c r="A354" t="s">
        <v>245</v>
      </c>
      <c r="B354" t="s">
        <v>145</v>
      </c>
      <c r="C354" t="s">
        <v>8</v>
      </c>
      <c r="D354" t="s">
        <v>107</v>
      </c>
      <c r="E354">
        <v>39363.619999999995</v>
      </c>
      <c r="F354">
        <v>42473.648999999998</v>
      </c>
      <c r="G354">
        <v>92.677744735329895</v>
      </c>
      <c r="H354">
        <v>27912</v>
      </c>
      <c r="I354">
        <v>32838</v>
      </c>
      <c r="J354">
        <v>85</v>
      </c>
    </row>
    <row r="355" spans="1:10" x14ac:dyDescent="0.25">
      <c r="A355" t="s">
        <v>246</v>
      </c>
      <c r="B355" t="s">
        <v>145</v>
      </c>
      <c r="C355" t="s">
        <v>8</v>
      </c>
      <c r="D355" t="s">
        <v>107</v>
      </c>
      <c r="E355">
        <v>64447.86</v>
      </c>
      <c r="F355">
        <v>68211.600000000006</v>
      </c>
      <c r="G355">
        <v>94.482258149640231</v>
      </c>
      <c r="H355">
        <v>72122</v>
      </c>
      <c r="I355">
        <v>75521</v>
      </c>
      <c r="J355">
        <v>95.5</v>
      </c>
    </row>
    <row r="356" spans="1:10" x14ac:dyDescent="0.25">
      <c r="A356" t="s">
        <v>247</v>
      </c>
      <c r="B356" t="s">
        <v>145</v>
      </c>
      <c r="C356" t="s">
        <v>8</v>
      </c>
      <c r="D356" t="s">
        <v>107</v>
      </c>
      <c r="E356">
        <v>112462.29</v>
      </c>
      <c r="F356">
        <v>128804.213</v>
      </c>
      <c r="G356">
        <v>87.312586584415513</v>
      </c>
      <c r="H356">
        <v>207877</v>
      </c>
      <c r="I356">
        <v>235155</v>
      </c>
      <c r="J356">
        <v>88.4</v>
      </c>
    </row>
    <row r="357" spans="1:10" x14ac:dyDescent="0.25">
      <c r="A357" t="s">
        <v>248</v>
      </c>
      <c r="B357" t="s">
        <v>145</v>
      </c>
      <c r="C357" t="s">
        <v>8</v>
      </c>
      <c r="D357" t="s">
        <v>107</v>
      </c>
      <c r="E357">
        <v>383155.34</v>
      </c>
      <c r="F357">
        <v>438790.701</v>
      </c>
      <c r="G357">
        <v>87.320752041187859</v>
      </c>
      <c r="H357">
        <v>377038</v>
      </c>
      <c r="I357">
        <v>427481</v>
      </c>
      <c r="J357">
        <v>88.2</v>
      </c>
    </row>
    <row r="358" spans="1:10" x14ac:dyDescent="0.25">
      <c r="A358" t="s">
        <v>249</v>
      </c>
      <c r="B358" t="s">
        <v>145</v>
      </c>
      <c r="C358" t="s">
        <v>8</v>
      </c>
      <c r="D358" t="s">
        <v>107</v>
      </c>
      <c r="E358">
        <v>9664.6</v>
      </c>
      <c r="F358">
        <v>10068.423999999999</v>
      </c>
      <c r="G358">
        <v>95.989203474148496</v>
      </c>
      <c r="H358">
        <v>9109</v>
      </c>
      <c r="I358">
        <v>9449</v>
      </c>
      <c r="J358">
        <v>96.4</v>
      </c>
    </row>
    <row r="359" spans="1:10" x14ac:dyDescent="0.25">
      <c r="A359" t="s">
        <v>250</v>
      </c>
      <c r="B359" t="s">
        <v>145</v>
      </c>
      <c r="C359" t="s">
        <v>8</v>
      </c>
      <c r="D359" t="s">
        <v>107</v>
      </c>
      <c r="E359">
        <v>22345.180000000004</v>
      </c>
      <c r="F359">
        <v>23939.859000000004</v>
      </c>
      <c r="G359">
        <v>93.338812062343393</v>
      </c>
      <c r="H359">
        <v>10292</v>
      </c>
      <c r="I359">
        <v>10972</v>
      </c>
      <c r="J359">
        <v>93.8</v>
      </c>
    </row>
    <row r="360" spans="1:10" x14ac:dyDescent="0.25">
      <c r="A360" t="s">
        <v>251</v>
      </c>
      <c r="B360" t="s">
        <v>145</v>
      </c>
      <c r="C360" t="s">
        <v>8</v>
      </c>
      <c r="D360" t="s">
        <v>107</v>
      </c>
      <c r="E360">
        <v>55869.920000000006</v>
      </c>
      <c r="F360">
        <v>75981.991999999998</v>
      </c>
      <c r="G360">
        <v>73.530475484243695</v>
      </c>
      <c r="H360">
        <v>43655</v>
      </c>
      <c r="I360">
        <v>62364</v>
      </c>
      <c r="J360">
        <v>70</v>
      </c>
    </row>
    <row r="361" spans="1:10" x14ac:dyDescent="0.25">
      <c r="A361" t="s">
        <v>252</v>
      </c>
      <c r="B361" t="s">
        <v>146</v>
      </c>
      <c r="C361" t="s">
        <v>8</v>
      </c>
      <c r="D361" t="s">
        <v>107</v>
      </c>
      <c r="E361">
        <v>502770.14700000006</v>
      </c>
      <c r="F361">
        <v>852205.70400000003</v>
      </c>
      <c r="G361">
        <v>58.996336757680282</v>
      </c>
      <c r="H361">
        <v>553578</v>
      </c>
      <c r="I361">
        <v>954444</v>
      </c>
      <c r="J361">
        <v>58</v>
      </c>
    </row>
    <row r="362" spans="1:10" x14ac:dyDescent="0.25">
      <c r="A362" t="s">
        <v>253</v>
      </c>
      <c r="B362" t="s">
        <v>146</v>
      </c>
      <c r="C362" t="s">
        <v>8</v>
      </c>
      <c r="D362" t="s">
        <v>107</v>
      </c>
      <c r="E362">
        <v>42577.67</v>
      </c>
      <c r="F362">
        <v>47662.451999999997</v>
      </c>
      <c r="G362">
        <v>89.331681886613808</v>
      </c>
      <c r="H362">
        <v>0</v>
      </c>
      <c r="I362">
        <v>0</v>
      </c>
      <c r="J362">
        <v>0</v>
      </c>
    </row>
    <row r="363" spans="1:10" x14ac:dyDescent="0.25">
      <c r="A363" t="s">
        <v>254</v>
      </c>
      <c r="B363" t="s">
        <v>146</v>
      </c>
      <c r="C363" t="s">
        <v>8</v>
      </c>
      <c r="D363" t="s">
        <v>107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277</v>
      </c>
      <c r="B364" t="s">
        <v>147</v>
      </c>
      <c r="C364" t="s">
        <v>8</v>
      </c>
      <c r="D364" t="s">
        <v>107</v>
      </c>
      <c r="E364">
        <v>405998.587</v>
      </c>
      <c r="F364">
        <v>687734.49300000002</v>
      </c>
      <c r="G364">
        <v>59.034204497868629</v>
      </c>
      <c r="H364">
        <v>459449</v>
      </c>
      <c r="I364">
        <v>792153</v>
      </c>
      <c r="J364">
        <v>58</v>
      </c>
    </row>
    <row r="365" spans="1:10" x14ac:dyDescent="0.25">
      <c r="A365" t="s">
        <v>255</v>
      </c>
      <c r="B365" t="s">
        <v>148</v>
      </c>
      <c r="C365" t="s">
        <v>8</v>
      </c>
      <c r="D365" t="s">
        <v>107</v>
      </c>
      <c r="E365">
        <v>82739.771999999997</v>
      </c>
      <c r="F365">
        <v>93224.573999999993</v>
      </c>
      <c r="G365">
        <v>88.753177890627853</v>
      </c>
      <c r="H365">
        <v>20935</v>
      </c>
      <c r="I365">
        <v>22230</v>
      </c>
      <c r="J365">
        <v>94.17</v>
      </c>
    </row>
    <row r="366" spans="1:10" x14ac:dyDescent="0.25">
      <c r="A366" t="s">
        <v>256</v>
      </c>
      <c r="B366" t="s">
        <v>148</v>
      </c>
      <c r="C366" t="s">
        <v>8</v>
      </c>
      <c r="D366" t="s">
        <v>107</v>
      </c>
      <c r="E366">
        <v>143131.69500000001</v>
      </c>
      <c r="F366">
        <v>158061.005</v>
      </c>
      <c r="G366">
        <v>90.554716515942687</v>
      </c>
      <c r="H366">
        <v>0</v>
      </c>
      <c r="I366">
        <v>0</v>
      </c>
      <c r="J366">
        <v>0</v>
      </c>
    </row>
    <row r="367" spans="1:10" x14ac:dyDescent="0.25">
      <c r="A367" t="s">
        <v>257</v>
      </c>
      <c r="B367" t="s">
        <v>148</v>
      </c>
      <c r="C367" t="s">
        <v>8</v>
      </c>
      <c r="D367" t="s">
        <v>107</v>
      </c>
      <c r="E367">
        <v>200566.35700000002</v>
      </c>
      <c r="F367">
        <v>231734.266</v>
      </c>
      <c r="G367">
        <v>86.550150938834406</v>
      </c>
      <c r="H367">
        <v>60087</v>
      </c>
      <c r="I367">
        <v>69098</v>
      </c>
      <c r="J367">
        <v>86.96</v>
      </c>
    </row>
    <row r="368" spans="1:10" x14ac:dyDescent="0.25">
      <c r="A368" t="s">
        <v>258</v>
      </c>
      <c r="B368" t="s">
        <v>148</v>
      </c>
      <c r="C368" t="s">
        <v>8</v>
      </c>
      <c r="D368" t="s">
        <v>107</v>
      </c>
      <c r="E368">
        <v>9978.3330000000005</v>
      </c>
      <c r="F368">
        <v>10502.162</v>
      </c>
      <c r="G368">
        <v>95.012179396966076</v>
      </c>
      <c r="H368">
        <v>119536</v>
      </c>
      <c r="I368">
        <v>125168</v>
      </c>
      <c r="J368">
        <v>95.5</v>
      </c>
    </row>
    <row r="369" spans="1:10" x14ac:dyDescent="0.25">
      <c r="A369" t="s">
        <v>259</v>
      </c>
      <c r="B369" t="s">
        <v>149</v>
      </c>
      <c r="C369" t="s">
        <v>8</v>
      </c>
      <c r="D369" t="s">
        <v>107</v>
      </c>
      <c r="E369">
        <v>178656</v>
      </c>
      <c r="F369">
        <v>309863</v>
      </c>
      <c r="G369">
        <v>57.656448172256766</v>
      </c>
      <c r="H369">
        <v>220353</v>
      </c>
      <c r="I369">
        <v>364995</v>
      </c>
      <c r="J369">
        <v>60.37</v>
      </c>
    </row>
    <row r="370" spans="1:10" x14ac:dyDescent="0.25">
      <c r="A370" t="s">
        <v>260</v>
      </c>
      <c r="B370" t="s">
        <v>149</v>
      </c>
      <c r="C370" t="s">
        <v>8</v>
      </c>
      <c r="D370" t="s">
        <v>107</v>
      </c>
      <c r="E370">
        <v>10258.902</v>
      </c>
      <c r="F370">
        <v>10817.506999999998</v>
      </c>
      <c r="G370">
        <v>94.83610225535331</v>
      </c>
      <c r="H370">
        <v>0</v>
      </c>
      <c r="I370">
        <v>0</v>
      </c>
      <c r="J370">
        <v>0</v>
      </c>
    </row>
    <row r="371" spans="1:10" x14ac:dyDescent="0.25">
      <c r="A371" t="s">
        <v>261</v>
      </c>
      <c r="B371" t="s">
        <v>149</v>
      </c>
      <c r="C371" t="s">
        <v>8</v>
      </c>
      <c r="D371" t="s">
        <v>107</v>
      </c>
      <c r="E371">
        <v>14659.272999999999</v>
      </c>
      <c r="F371">
        <v>16575.34</v>
      </c>
      <c r="G371">
        <v>88.440255222517308</v>
      </c>
      <c r="H371">
        <v>60087</v>
      </c>
      <c r="I371">
        <v>69098</v>
      </c>
      <c r="J371">
        <v>86.96</v>
      </c>
    </row>
    <row r="372" spans="1:10" x14ac:dyDescent="0.25">
      <c r="A372" t="s">
        <v>262</v>
      </c>
      <c r="B372" t="s">
        <v>149</v>
      </c>
      <c r="C372" t="s">
        <v>8</v>
      </c>
      <c r="D372" t="s">
        <v>107</v>
      </c>
      <c r="E372">
        <v>7838.9859999999999</v>
      </c>
      <c r="F372">
        <v>8600.7780000000002</v>
      </c>
      <c r="G372">
        <v>91.142754760092629</v>
      </c>
      <c r="H372">
        <v>71308</v>
      </c>
      <c r="I372">
        <v>78951</v>
      </c>
      <c r="J372">
        <v>90.32</v>
      </c>
    </row>
    <row r="373" spans="1:10" x14ac:dyDescent="0.25">
      <c r="A373" t="s">
        <v>263</v>
      </c>
      <c r="B373" t="s">
        <v>149</v>
      </c>
      <c r="C373" t="s">
        <v>8</v>
      </c>
      <c r="D373" t="s">
        <v>107</v>
      </c>
      <c r="E373">
        <v>51513</v>
      </c>
      <c r="F373">
        <v>80153</v>
      </c>
      <c r="G373">
        <v>64.268336805858794</v>
      </c>
      <c r="H373">
        <v>0</v>
      </c>
      <c r="I373">
        <v>0</v>
      </c>
      <c r="J373">
        <v>0</v>
      </c>
    </row>
    <row r="374" spans="1:10" x14ac:dyDescent="0.25">
      <c r="A374" t="s">
        <v>264</v>
      </c>
      <c r="B374" t="s">
        <v>150</v>
      </c>
      <c r="C374" t="s">
        <v>8</v>
      </c>
      <c r="D374" t="s">
        <v>107</v>
      </c>
      <c r="E374">
        <v>208401.609</v>
      </c>
      <c r="F374">
        <v>360673.74699999997</v>
      </c>
      <c r="G374">
        <v>57.781197199251658</v>
      </c>
      <c r="H374">
        <v>228071</v>
      </c>
      <c r="I374">
        <v>389865</v>
      </c>
      <c r="J374">
        <v>58.5</v>
      </c>
    </row>
    <row r="375" spans="1:10" x14ac:dyDescent="0.25">
      <c r="A375" t="s">
        <v>265</v>
      </c>
      <c r="B375" t="s">
        <v>150</v>
      </c>
      <c r="C375" t="s">
        <v>8</v>
      </c>
      <c r="D375" t="s">
        <v>107</v>
      </c>
      <c r="E375">
        <v>48020.143000000004</v>
      </c>
      <c r="F375">
        <v>56129.835999999996</v>
      </c>
      <c r="G375">
        <v>85.551903269412733</v>
      </c>
      <c r="H375">
        <v>66104</v>
      </c>
      <c r="I375">
        <v>77315</v>
      </c>
      <c r="J375">
        <v>85.5</v>
      </c>
    </row>
    <row r="376" spans="1:10" x14ac:dyDescent="0.25">
      <c r="A376" t="s">
        <v>245</v>
      </c>
      <c r="B376" t="s">
        <v>145</v>
      </c>
      <c r="C376" t="s">
        <v>9</v>
      </c>
      <c r="D376" t="s">
        <v>107</v>
      </c>
      <c r="E376">
        <v>39363.619999999995</v>
      </c>
      <c r="F376">
        <v>42473.648999999998</v>
      </c>
      <c r="G376">
        <v>92.677744735329895</v>
      </c>
      <c r="H376">
        <v>35078</v>
      </c>
      <c r="I376">
        <v>41268</v>
      </c>
      <c r="J376">
        <v>85</v>
      </c>
    </row>
    <row r="377" spans="1:10" x14ac:dyDescent="0.25">
      <c r="A377" t="s">
        <v>246</v>
      </c>
      <c r="B377" t="s">
        <v>145</v>
      </c>
      <c r="C377" t="s">
        <v>9</v>
      </c>
      <c r="D377" t="s">
        <v>107</v>
      </c>
      <c r="E377">
        <v>76385.86</v>
      </c>
      <c r="F377">
        <v>80711.600000000006</v>
      </c>
      <c r="G377">
        <v>94.640497772315243</v>
      </c>
      <c r="H377">
        <v>91999</v>
      </c>
      <c r="I377">
        <v>96334</v>
      </c>
      <c r="J377">
        <v>95.5</v>
      </c>
    </row>
    <row r="378" spans="1:10" x14ac:dyDescent="0.25">
      <c r="A378" t="s">
        <v>247</v>
      </c>
      <c r="B378" t="s">
        <v>145</v>
      </c>
      <c r="C378" t="s">
        <v>9</v>
      </c>
      <c r="D378" t="s">
        <v>107</v>
      </c>
      <c r="E378">
        <v>179734.28999999998</v>
      </c>
      <c r="F378">
        <v>204904.21299999999</v>
      </c>
      <c r="G378">
        <v>87.716249152963968</v>
      </c>
      <c r="H378">
        <v>255508</v>
      </c>
      <c r="I378">
        <v>289037</v>
      </c>
      <c r="J378">
        <v>88.4</v>
      </c>
    </row>
    <row r="379" spans="1:10" x14ac:dyDescent="0.25">
      <c r="A379" t="s">
        <v>248</v>
      </c>
      <c r="B379" t="s">
        <v>145</v>
      </c>
      <c r="C379" t="s">
        <v>9</v>
      </c>
      <c r="D379" t="s">
        <v>107</v>
      </c>
      <c r="E379">
        <v>460771.34</v>
      </c>
      <c r="F379">
        <v>526790.701</v>
      </c>
      <c r="G379">
        <v>87.467629767443455</v>
      </c>
      <c r="H379">
        <v>479121</v>
      </c>
      <c r="I379">
        <v>543221</v>
      </c>
      <c r="J379">
        <v>88.2</v>
      </c>
    </row>
    <row r="380" spans="1:10" x14ac:dyDescent="0.25">
      <c r="A380" t="s">
        <v>249</v>
      </c>
      <c r="B380" t="s">
        <v>145</v>
      </c>
      <c r="C380" t="s">
        <v>9</v>
      </c>
      <c r="D380" t="s">
        <v>107</v>
      </c>
      <c r="E380">
        <v>12556.6</v>
      </c>
      <c r="F380">
        <v>13068.423999999999</v>
      </c>
      <c r="G380">
        <v>96.083506320272448</v>
      </c>
      <c r="H380">
        <v>11620</v>
      </c>
      <c r="I380">
        <v>12053</v>
      </c>
      <c r="J380">
        <v>96.4</v>
      </c>
    </row>
    <row r="381" spans="1:10" x14ac:dyDescent="0.25">
      <c r="A381" t="s">
        <v>250</v>
      </c>
      <c r="B381" t="s">
        <v>145</v>
      </c>
      <c r="C381" t="s">
        <v>9</v>
      </c>
      <c r="D381" t="s">
        <v>107</v>
      </c>
      <c r="E381">
        <v>29380.180000000004</v>
      </c>
      <c r="F381">
        <v>31439.859000000004</v>
      </c>
      <c r="G381">
        <v>93.44882876224095</v>
      </c>
      <c r="H381">
        <v>12679</v>
      </c>
      <c r="I381">
        <v>13518</v>
      </c>
      <c r="J381">
        <v>93.8</v>
      </c>
    </row>
    <row r="382" spans="1:10" x14ac:dyDescent="0.25">
      <c r="A382" t="s">
        <v>251</v>
      </c>
      <c r="B382" t="s">
        <v>145</v>
      </c>
      <c r="C382" t="s">
        <v>9</v>
      </c>
      <c r="D382" t="s">
        <v>107</v>
      </c>
      <c r="E382">
        <v>76869.920000000013</v>
      </c>
      <c r="F382">
        <v>105981.992</v>
      </c>
      <c r="G382">
        <v>72.531114531230941</v>
      </c>
      <c r="H382">
        <v>54285</v>
      </c>
      <c r="I382">
        <v>77550</v>
      </c>
      <c r="J382">
        <v>70</v>
      </c>
    </row>
    <row r="383" spans="1:10" x14ac:dyDescent="0.25">
      <c r="A383" t="s">
        <v>252</v>
      </c>
      <c r="B383" t="s">
        <v>146</v>
      </c>
      <c r="C383" t="s">
        <v>9</v>
      </c>
      <c r="D383" t="s">
        <v>107</v>
      </c>
      <c r="E383">
        <v>667409.14700000011</v>
      </c>
      <c r="F383">
        <v>1136065.7039999999</v>
      </c>
      <c r="G383">
        <v>58.747407359460269</v>
      </c>
      <c r="H383">
        <v>696692</v>
      </c>
      <c r="I383">
        <v>1201193</v>
      </c>
      <c r="J383">
        <v>58</v>
      </c>
    </row>
    <row r="384" spans="1:10" x14ac:dyDescent="0.25">
      <c r="A384" t="s">
        <v>253</v>
      </c>
      <c r="B384" t="s">
        <v>146</v>
      </c>
      <c r="C384" t="s">
        <v>9</v>
      </c>
      <c r="D384" t="s">
        <v>107</v>
      </c>
      <c r="E384">
        <v>42577.67</v>
      </c>
      <c r="F384">
        <v>47662.451999999997</v>
      </c>
      <c r="G384">
        <v>89.331681886613808</v>
      </c>
      <c r="H384">
        <v>0</v>
      </c>
      <c r="I384">
        <v>0</v>
      </c>
      <c r="J384">
        <v>0</v>
      </c>
    </row>
    <row r="385" spans="1:10" x14ac:dyDescent="0.25">
      <c r="A385" t="s">
        <v>254</v>
      </c>
      <c r="B385" t="s">
        <v>146</v>
      </c>
      <c r="C385" t="s">
        <v>9</v>
      </c>
      <c r="D385" t="s">
        <v>107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277</v>
      </c>
      <c r="B386" t="s">
        <v>147</v>
      </c>
      <c r="C386" t="s">
        <v>9</v>
      </c>
      <c r="D386" t="s">
        <v>107</v>
      </c>
      <c r="E386">
        <v>530386.58700000006</v>
      </c>
      <c r="F386">
        <v>902196.49300000002</v>
      </c>
      <c r="G386">
        <v>58.788367181116953</v>
      </c>
      <c r="H386">
        <v>579547</v>
      </c>
      <c r="I386">
        <v>999219</v>
      </c>
      <c r="J386">
        <v>58</v>
      </c>
    </row>
    <row r="387" spans="1:10" x14ac:dyDescent="0.25">
      <c r="A387" t="s">
        <v>255</v>
      </c>
      <c r="B387" t="s">
        <v>148</v>
      </c>
      <c r="C387" t="s">
        <v>9</v>
      </c>
      <c r="D387" t="s">
        <v>107</v>
      </c>
      <c r="E387">
        <v>110712.772</v>
      </c>
      <c r="F387">
        <v>140787.57399999999</v>
      </c>
      <c r="G387">
        <v>78.63817015555648</v>
      </c>
      <c r="H387">
        <v>22264</v>
      </c>
      <c r="I387">
        <v>23731</v>
      </c>
      <c r="J387">
        <v>93.82</v>
      </c>
    </row>
    <row r="388" spans="1:10" x14ac:dyDescent="0.25">
      <c r="A388" t="s">
        <v>256</v>
      </c>
      <c r="B388" t="s">
        <v>148</v>
      </c>
      <c r="C388" t="s">
        <v>9</v>
      </c>
      <c r="D388" t="s">
        <v>107</v>
      </c>
      <c r="E388">
        <v>143131.69500000001</v>
      </c>
      <c r="F388">
        <v>158061.005</v>
      </c>
      <c r="G388">
        <v>90.554716515942687</v>
      </c>
      <c r="H388">
        <v>0</v>
      </c>
      <c r="I388">
        <v>0</v>
      </c>
      <c r="J388">
        <v>0</v>
      </c>
    </row>
    <row r="389" spans="1:10" x14ac:dyDescent="0.25">
      <c r="A389" t="s">
        <v>257</v>
      </c>
      <c r="B389" t="s">
        <v>148</v>
      </c>
      <c r="C389" t="s">
        <v>9</v>
      </c>
      <c r="D389" t="s">
        <v>107</v>
      </c>
      <c r="E389">
        <v>221707.35700000002</v>
      </c>
      <c r="F389">
        <v>256045.266</v>
      </c>
      <c r="G389">
        <v>86.589125611875218</v>
      </c>
      <c r="H389">
        <v>81228</v>
      </c>
      <c r="I389">
        <v>93409</v>
      </c>
      <c r="J389">
        <v>86.96</v>
      </c>
    </row>
    <row r="390" spans="1:10" x14ac:dyDescent="0.25">
      <c r="A390" t="s">
        <v>258</v>
      </c>
      <c r="B390" t="s">
        <v>148</v>
      </c>
      <c r="C390" t="s">
        <v>9</v>
      </c>
      <c r="D390" t="s">
        <v>107</v>
      </c>
      <c r="E390">
        <v>11795.333000000001</v>
      </c>
      <c r="F390">
        <v>12405.162</v>
      </c>
      <c r="G390">
        <v>95.084070647364385</v>
      </c>
      <c r="H390">
        <v>121353</v>
      </c>
      <c r="I390">
        <v>127071</v>
      </c>
      <c r="J390">
        <v>95.5</v>
      </c>
    </row>
    <row r="391" spans="1:10" x14ac:dyDescent="0.25">
      <c r="A391" t="s">
        <v>259</v>
      </c>
      <c r="B391" t="s">
        <v>149</v>
      </c>
      <c r="C391" t="s">
        <v>9</v>
      </c>
      <c r="D391" t="s">
        <v>107</v>
      </c>
      <c r="E391">
        <v>194224</v>
      </c>
      <c r="F391">
        <v>331895</v>
      </c>
      <c r="G391">
        <v>58.51971255969508</v>
      </c>
      <c r="H391">
        <v>274308</v>
      </c>
      <c r="I391">
        <v>453089</v>
      </c>
      <c r="J391">
        <v>60.54</v>
      </c>
    </row>
    <row r="392" spans="1:10" x14ac:dyDescent="0.25">
      <c r="A392" t="s">
        <v>260</v>
      </c>
      <c r="B392" t="s">
        <v>149</v>
      </c>
      <c r="C392" t="s">
        <v>9</v>
      </c>
      <c r="D392" t="s">
        <v>107</v>
      </c>
      <c r="E392">
        <v>10258.902</v>
      </c>
      <c r="F392">
        <v>10817.506999999998</v>
      </c>
      <c r="G392">
        <v>94.83610225535331</v>
      </c>
      <c r="H392">
        <v>0</v>
      </c>
      <c r="I392">
        <v>0</v>
      </c>
      <c r="J392">
        <v>0</v>
      </c>
    </row>
    <row r="393" spans="1:10" x14ac:dyDescent="0.25">
      <c r="A393" t="s">
        <v>261</v>
      </c>
      <c r="B393" t="s">
        <v>149</v>
      </c>
      <c r="C393" t="s">
        <v>9</v>
      </c>
      <c r="D393" t="s">
        <v>107</v>
      </c>
      <c r="E393">
        <v>27104.273000000001</v>
      </c>
      <c r="F393">
        <v>30886.34</v>
      </c>
      <c r="G393">
        <v>87.754887759443179</v>
      </c>
      <c r="H393">
        <v>81228</v>
      </c>
      <c r="I393">
        <v>93409</v>
      </c>
      <c r="J393">
        <v>86.96</v>
      </c>
    </row>
    <row r="394" spans="1:10" x14ac:dyDescent="0.25">
      <c r="A394" t="s">
        <v>262</v>
      </c>
      <c r="B394" t="s">
        <v>149</v>
      </c>
      <c r="C394" t="s">
        <v>9</v>
      </c>
      <c r="D394" t="s">
        <v>107</v>
      </c>
      <c r="E394">
        <v>31418.986000000001</v>
      </c>
      <c r="F394">
        <v>34480.777999999998</v>
      </c>
      <c r="G394">
        <v>91.120293167398955</v>
      </c>
      <c r="H394">
        <v>94683</v>
      </c>
      <c r="I394">
        <v>104830</v>
      </c>
      <c r="J394">
        <v>90.32</v>
      </c>
    </row>
    <row r="395" spans="1:10" x14ac:dyDescent="0.25">
      <c r="A395" t="s">
        <v>263</v>
      </c>
      <c r="B395" t="s">
        <v>149</v>
      </c>
      <c r="C395" t="s">
        <v>9</v>
      </c>
      <c r="D395" t="s">
        <v>107</v>
      </c>
      <c r="E395">
        <v>51513</v>
      </c>
      <c r="F395">
        <v>80153</v>
      </c>
      <c r="G395">
        <v>64.268336805858794</v>
      </c>
      <c r="H395">
        <v>0</v>
      </c>
      <c r="I395">
        <v>0</v>
      </c>
      <c r="J395">
        <v>0</v>
      </c>
    </row>
    <row r="396" spans="1:10" x14ac:dyDescent="0.25">
      <c r="A396" t="s">
        <v>264</v>
      </c>
      <c r="B396" t="s">
        <v>150</v>
      </c>
      <c r="C396" t="s">
        <v>9</v>
      </c>
      <c r="D396" t="s">
        <v>107</v>
      </c>
      <c r="E396">
        <v>257105.609</v>
      </c>
      <c r="F396">
        <v>443927.74699999997</v>
      </c>
      <c r="G396">
        <v>57.916093494376689</v>
      </c>
      <c r="H396">
        <v>281090</v>
      </c>
      <c r="I396">
        <v>480495</v>
      </c>
      <c r="J396">
        <v>58.5</v>
      </c>
    </row>
    <row r="397" spans="1:10" x14ac:dyDescent="0.25">
      <c r="A397" t="s">
        <v>265</v>
      </c>
      <c r="B397" t="s">
        <v>150</v>
      </c>
      <c r="C397" t="s">
        <v>9</v>
      </c>
      <c r="D397" t="s">
        <v>107</v>
      </c>
      <c r="E397">
        <v>72328.143000000011</v>
      </c>
      <c r="F397">
        <v>84560.835999999996</v>
      </c>
      <c r="G397">
        <v>85.533855176171642</v>
      </c>
      <c r="H397">
        <v>84037</v>
      </c>
      <c r="I397">
        <v>98289</v>
      </c>
      <c r="J397">
        <v>85.5</v>
      </c>
    </row>
    <row r="398" spans="1:10" x14ac:dyDescent="0.25">
      <c r="A398" t="s">
        <v>245</v>
      </c>
      <c r="B398" t="s">
        <v>145</v>
      </c>
      <c r="C398" t="s">
        <v>10</v>
      </c>
      <c r="D398" t="s">
        <v>107</v>
      </c>
      <c r="E398">
        <v>39363.619999999995</v>
      </c>
      <c r="F398">
        <v>42473.648999999998</v>
      </c>
      <c r="G398">
        <v>92.677744735329895</v>
      </c>
      <c r="H398">
        <v>42454</v>
      </c>
      <c r="I398">
        <v>49946</v>
      </c>
      <c r="J398">
        <v>85</v>
      </c>
    </row>
    <row r="399" spans="1:10" x14ac:dyDescent="0.25">
      <c r="A399" t="s">
        <v>246</v>
      </c>
      <c r="B399" t="s">
        <v>145</v>
      </c>
      <c r="C399" t="s">
        <v>10</v>
      </c>
      <c r="D399" t="s">
        <v>107</v>
      </c>
      <c r="E399">
        <v>95485.86</v>
      </c>
      <c r="F399">
        <v>100711.6</v>
      </c>
      <c r="G399">
        <v>94.811183617378731</v>
      </c>
      <c r="H399">
        <v>113477</v>
      </c>
      <c r="I399">
        <v>118824</v>
      </c>
      <c r="J399">
        <v>95.5</v>
      </c>
    </row>
    <row r="400" spans="1:10" x14ac:dyDescent="0.25">
      <c r="A400" t="s">
        <v>247</v>
      </c>
      <c r="B400" t="s">
        <v>145</v>
      </c>
      <c r="C400" t="s">
        <v>10</v>
      </c>
      <c r="D400" t="s">
        <v>107</v>
      </c>
      <c r="E400">
        <v>231802.28999999998</v>
      </c>
      <c r="F400">
        <v>263804.21299999999</v>
      </c>
      <c r="G400">
        <v>87.869062955412318</v>
      </c>
      <c r="H400">
        <v>306976</v>
      </c>
      <c r="I400">
        <v>347258</v>
      </c>
      <c r="J400">
        <v>88.4</v>
      </c>
    </row>
    <row r="401" spans="1:10" x14ac:dyDescent="0.25">
      <c r="A401" t="s">
        <v>248</v>
      </c>
      <c r="B401" t="s">
        <v>145</v>
      </c>
      <c r="C401" t="s">
        <v>10</v>
      </c>
      <c r="D401" t="s">
        <v>107</v>
      </c>
      <c r="E401">
        <v>541915.34000000008</v>
      </c>
      <c r="F401">
        <v>618790.701</v>
      </c>
      <c r="G401">
        <v>87.576516441542338</v>
      </c>
      <c r="H401">
        <v>581098</v>
      </c>
      <c r="I401">
        <v>658842</v>
      </c>
      <c r="J401">
        <v>88.2</v>
      </c>
    </row>
    <row r="402" spans="1:10" x14ac:dyDescent="0.25">
      <c r="A402" t="s">
        <v>249</v>
      </c>
      <c r="B402" t="s">
        <v>145</v>
      </c>
      <c r="C402" t="s">
        <v>10</v>
      </c>
      <c r="D402" t="s">
        <v>107</v>
      </c>
      <c r="E402">
        <v>12556.6</v>
      </c>
      <c r="F402">
        <v>13068.423999999999</v>
      </c>
      <c r="G402">
        <v>96.083506320272448</v>
      </c>
      <c r="H402">
        <v>14332</v>
      </c>
      <c r="I402">
        <v>14867</v>
      </c>
      <c r="J402">
        <v>96.4</v>
      </c>
    </row>
    <row r="403" spans="1:10" x14ac:dyDescent="0.25">
      <c r="A403" t="s">
        <v>250</v>
      </c>
      <c r="B403" t="s">
        <v>145</v>
      </c>
      <c r="C403" t="s">
        <v>10</v>
      </c>
      <c r="D403" t="s">
        <v>107</v>
      </c>
      <c r="E403">
        <v>36415.180000000008</v>
      </c>
      <c r="F403">
        <v>38939.859000000004</v>
      </c>
      <c r="G403">
        <v>93.516465994394082</v>
      </c>
      <c r="H403">
        <v>14023</v>
      </c>
      <c r="I403">
        <v>14950</v>
      </c>
      <c r="J403">
        <v>93.8</v>
      </c>
    </row>
    <row r="404" spans="1:10" x14ac:dyDescent="0.25">
      <c r="A404" t="s">
        <v>251</v>
      </c>
      <c r="B404" t="s">
        <v>145</v>
      </c>
      <c r="C404" t="s">
        <v>10</v>
      </c>
      <c r="D404" t="s">
        <v>107</v>
      </c>
      <c r="E404">
        <v>100669.92000000001</v>
      </c>
      <c r="F404">
        <v>139981.992</v>
      </c>
      <c r="G404">
        <v>71.916336209874771</v>
      </c>
      <c r="H404">
        <v>65739</v>
      </c>
      <c r="I404">
        <v>93912</v>
      </c>
      <c r="J404">
        <v>70</v>
      </c>
    </row>
    <row r="405" spans="1:10" x14ac:dyDescent="0.25">
      <c r="A405" t="s">
        <v>252</v>
      </c>
      <c r="B405" t="s">
        <v>146</v>
      </c>
      <c r="C405" t="s">
        <v>10</v>
      </c>
      <c r="D405" t="s">
        <v>107</v>
      </c>
      <c r="E405">
        <v>837536.14700000011</v>
      </c>
      <c r="F405">
        <v>1429387.7039999999</v>
      </c>
      <c r="G405">
        <v>58.594050071666224</v>
      </c>
      <c r="H405">
        <v>846025</v>
      </c>
      <c r="I405">
        <v>1458664</v>
      </c>
      <c r="J405">
        <v>58</v>
      </c>
    </row>
    <row r="406" spans="1:10" x14ac:dyDescent="0.25">
      <c r="A406" t="s">
        <v>253</v>
      </c>
      <c r="B406" t="s">
        <v>146</v>
      </c>
      <c r="C406" t="s">
        <v>10</v>
      </c>
      <c r="D406" t="s">
        <v>107</v>
      </c>
      <c r="E406">
        <v>42577.67</v>
      </c>
      <c r="F406">
        <v>47662.451999999997</v>
      </c>
      <c r="G406">
        <v>89.331681886613808</v>
      </c>
      <c r="H406">
        <v>0</v>
      </c>
      <c r="I406">
        <v>0</v>
      </c>
      <c r="J406">
        <v>0</v>
      </c>
    </row>
    <row r="407" spans="1:10" x14ac:dyDescent="0.25">
      <c r="A407" t="s">
        <v>254</v>
      </c>
      <c r="B407" t="s">
        <v>146</v>
      </c>
      <c r="C407" t="s">
        <v>10</v>
      </c>
      <c r="D407" t="s">
        <v>107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277</v>
      </c>
      <c r="B408" t="s">
        <v>147</v>
      </c>
      <c r="C408" t="s">
        <v>10</v>
      </c>
      <c r="D408" t="s">
        <v>107</v>
      </c>
      <c r="E408">
        <v>663599.58700000006</v>
      </c>
      <c r="F408">
        <v>1131874.493</v>
      </c>
      <c r="G408">
        <v>58.628371882570562</v>
      </c>
      <c r="H408">
        <v>710537</v>
      </c>
      <c r="I408">
        <v>1225063</v>
      </c>
      <c r="J408">
        <v>58</v>
      </c>
    </row>
    <row r="409" spans="1:10" x14ac:dyDescent="0.25">
      <c r="A409" t="s">
        <v>255</v>
      </c>
      <c r="B409" t="s">
        <v>148</v>
      </c>
      <c r="C409" t="s">
        <v>10</v>
      </c>
      <c r="D409" t="s">
        <v>107</v>
      </c>
      <c r="E409">
        <v>112470.772</v>
      </c>
      <c r="F409">
        <v>142843.57399999999</v>
      </c>
      <c r="G409">
        <v>78.737018999538606</v>
      </c>
      <c r="H409">
        <v>28192</v>
      </c>
      <c r="I409">
        <v>32850</v>
      </c>
      <c r="J409">
        <v>85.82</v>
      </c>
    </row>
    <row r="410" spans="1:10" x14ac:dyDescent="0.25">
      <c r="A410" t="s">
        <v>256</v>
      </c>
      <c r="B410" t="s">
        <v>148</v>
      </c>
      <c r="C410" t="s">
        <v>10</v>
      </c>
      <c r="D410" t="s">
        <v>107</v>
      </c>
      <c r="E410">
        <v>143131.69500000001</v>
      </c>
      <c r="F410">
        <v>158061.005</v>
      </c>
      <c r="G410">
        <v>90.554716515942687</v>
      </c>
      <c r="H410">
        <v>0</v>
      </c>
      <c r="I410">
        <v>0</v>
      </c>
      <c r="J410">
        <v>0</v>
      </c>
    </row>
    <row r="411" spans="1:10" x14ac:dyDescent="0.25">
      <c r="A411" t="s">
        <v>257</v>
      </c>
      <c r="B411" t="s">
        <v>148</v>
      </c>
      <c r="C411" t="s">
        <v>10</v>
      </c>
      <c r="D411" t="s">
        <v>107</v>
      </c>
      <c r="E411">
        <v>248655.35700000002</v>
      </c>
      <c r="F411">
        <v>287034.266</v>
      </c>
      <c r="G411">
        <v>86.629154234846666</v>
      </c>
      <c r="H411">
        <v>108176</v>
      </c>
      <c r="I411">
        <v>124398</v>
      </c>
      <c r="J411">
        <v>86.96</v>
      </c>
    </row>
    <row r="412" spans="1:10" x14ac:dyDescent="0.25">
      <c r="A412" t="s">
        <v>258</v>
      </c>
      <c r="B412" t="s">
        <v>148</v>
      </c>
      <c r="C412" t="s">
        <v>10</v>
      </c>
      <c r="D412" t="s">
        <v>107</v>
      </c>
      <c r="E412">
        <v>15018.333000000001</v>
      </c>
      <c r="F412">
        <v>15779.162</v>
      </c>
      <c r="G412">
        <v>95.178267388344196</v>
      </c>
      <c r="H412">
        <v>124575</v>
      </c>
      <c r="I412">
        <v>130445</v>
      </c>
      <c r="J412">
        <v>95.5</v>
      </c>
    </row>
    <row r="413" spans="1:10" x14ac:dyDescent="0.25">
      <c r="A413" t="s">
        <v>259</v>
      </c>
      <c r="B413" t="s">
        <v>149</v>
      </c>
      <c r="C413" t="s">
        <v>10</v>
      </c>
      <c r="D413" t="s">
        <v>107</v>
      </c>
      <c r="E413">
        <v>235152</v>
      </c>
      <c r="F413">
        <v>397136</v>
      </c>
      <c r="G413">
        <v>59.211957616534384</v>
      </c>
      <c r="H413">
        <v>328612</v>
      </c>
      <c r="I413">
        <v>541267</v>
      </c>
      <c r="J413">
        <v>60.71</v>
      </c>
    </row>
    <row r="414" spans="1:10" x14ac:dyDescent="0.25">
      <c r="A414" t="s">
        <v>260</v>
      </c>
      <c r="B414" t="s">
        <v>149</v>
      </c>
      <c r="C414" t="s">
        <v>10</v>
      </c>
      <c r="D414" t="s">
        <v>107</v>
      </c>
      <c r="E414">
        <v>10258.902</v>
      </c>
      <c r="F414">
        <v>10817.506999999998</v>
      </c>
      <c r="G414">
        <v>94.83610225535331</v>
      </c>
      <c r="H414">
        <v>0</v>
      </c>
      <c r="I414">
        <v>0</v>
      </c>
      <c r="J414">
        <v>0</v>
      </c>
    </row>
    <row r="415" spans="1:10" x14ac:dyDescent="0.25">
      <c r="A415" t="s">
        <v>261</v>
      </c>
      <c r="B415" t="s">
        <v>149</v>
      </c>
      <c r="C415" t="s">
        <v>10</v>
      </c>
      <c r="D415" t="s">
        <v>107</v>
      </c>
      <c r="E415">
        <v>45356.273000000001</v>
      </c>
      <c r="F415">
        <v>51875.34</v>
      </c>
      <c r="G415">
        <v>87.433206220913448</v>
      </c>
      <c r="H415">
        <v>108176</v>
      </c>
      <c r="I415">
        <v>124398</v>
      </c>
      <c r="J415">
        <v>86.96</v>
      </c>
    </row>
    <row r="416" spans="1:10" x14ac:dyDescent="0.25">
      <c r="A416" t="s">
        <v>262</v>
      </c>
      <c r="B416" t="s">
        <v>149</v>
      </c>
      <c r="C416" t="s">
        <v>10</v>
      </c>
      <c r="D416" t="s">
        <v>107</v>
      </c>
      <c r="E416">
        <v>56898.986000000004</v>
      </c>
      <c r="F416">
        <v>62444.777999999998</v>
      </c>
      <c r="G416">
        <v>91.118885873851625</v>
      </c>
      <c r="H416">
        <v>119940</v>
      </c>
      <c r="I416">
        <v>132794</v>
      </c>
      <c r="J416">
        <v>90.32</v>
      </c>
    </row>
    <row r="417" spans="1:10" x14ac:dyDescent="0.25">
      <c r="A417" t="s">
        <v>263</v>
      </c>
      <c r="B417" t="s">
        <v>149</v>
      </c>
      <c r="C417" t="s">
        <v>10</v>
      </c>
      <c r="D417" t="s">
        <v>107</v>
      </c>
      <c r="E417">
        <v>51513</v>
      </c>
      <c r="F417">
        <v>80153</v>
      </c>
      <c r="G417">
        <v>64.268336805858794</v>
      </c>
      <c r="H417">
        <v>0</v>
      </c>
      <c r="I417">
        <v>0</v>
      </c>
      <c r="J417">
        <v>0</v>
      </c>
    </row>
    <row r="418" spans="1:10" x14ac:dyDescent="0.25">
      <c r="A418" t="s">
        <v>264</v>
      </c>
      <c r="B418" t="s">
        <v>150</v>
      </c>
      <c r="C418" t="s">
        <v>10</v>
      </c>
      <c r="D418" t="s">
        <v>107</v>
      </c>
      <c r="E418">
        <v>315638.609</v>
      </c>
      <c r="F418">
        <v>543983.74699999997</v>
      </c>
      <c r="G418">
        <v>58.023536684819376</v>
      </c>
      <c r="H418">
        <v>341522</v>
      </c>
      <c r="I418">
        <v>583798</v>
      </c>
      <c r="J418">
        <v>58.5</v>
      </c>
    </row>
    <row r="419" spans="1:10" x14ac:dyDescent="0.25">
      <c r="A419" t="s">
        <v>265</v>
      </c>
      <c r="B419" t="s">
        <v>150</v>
      </c>
      <c r="C419" t="s">
        <v>10</v>
      </c>
      <c r="D419" t="s">
        <v>107</v>
      </c>
      <c r="E419">
        <v>99203.143000000011</v>
      </c>
      <c r="F419">
        <v>115992.836</v>
      </c>
      <c r="G419">
        <v>85.52523278247979</v>
      </c>
      <c r="H419">
        <v>103676</v>
      </c>
      <c r="I419">
        <v>121258</v>
      </c>
      <c r="J419">
        <v>85.5</v>
      </c>
    </row>
    <row r="420" spans="1:10" x14ac:dyDescent="0.25">
      <c r="A420" t="s">
        <v>245</v>
      </c>
      <c r="B420" t="s">
        <v>145</v>
      </c>
      <c r="C420" t="s">
        <v>11</v>
      </c>
      <c r="D420" t="s">
        <v>107</v>
      </c>
      <c r="E420">
        <v>39363.619999999995</v>
      </c>
      <c r="F420">
        <v>42473.648999999998</v>
      </c>
      <c r="G420">
        <v>92.677744735329895</v>
      </c>
      <c r="H420">
        <v>49844</v>
      </c>
      <c r="I420">
        <v>58640</v>
      </c>
      <c r="J420">
        <v>85</v>
      </c>
    </row>
    <row r="421" spans="1:10" x14ac:dyDescent="0.25">
      <c r="A421" t="s">
        <v>246</v>
      </c>
      <c r="B421" t="s">
        <v>145</v>
      </c>
      <c r="C421" t="s">
        <v>11</v>
      </c>
      <c r="D421" t="s">
        <v>107</v>
      </c>
      <c r="E421">
        <v>114585.86</v>
      </c>
      <c r="F421">
        <v>120711.6</v>
      </c>
      <c r="G421">
        <v>94.925309580852215</v>
      </c>
      <c r="H421">
        <v>134256</v>
      </c>
      <c r="I421">
        <v>140582</v>
      </c>
      <c r="J421">
        <v>95.5</v>
      </c>
    </row>
    <row r="422" spans="1:10" x14ac:dyDescent="0.25">
      <c r="A422" t="s">
        <v>247</v>
      </c>
      <c r="B422" t="s">
        <v>145</v>
      </c>
      <c r="C422" t="s">
        <v>11</v>
      </c>
      <c r="D422" t="s">
        <v>107</v>
      </c>
      <c r="E422">
        <v>283870.28999999998</v>
      </c>
      <c r="F422">
        <v>322704.21299999999</v>
      </c>
      <c r="G422">
        <v>87.966093581802724</v>
      </c>
      <c r="H422">
        <v>356768</v>
      </c>
      <c r="I422">
        <v>403583</v>
      </c>
      <c r="J422">
        <v>88.4</v>
      </c>
    </row>
    <row r="423" spans="1:10" x14ac:dyDescent="0.25">
      <c r="A423" t="s">
        <v>248</v>
      </c>
      <c r="B423" t="s">
        <v>145</v>
      </c>
      <c r="C423" t="s">
        <v>11</v>
      </c>
      <c r="D423" t="s">
        <v>107</v>
      </c>
      <c r="E423">
        <v>644227.34000000008</v>
      </c>
      <c r="F423">
        <v>734790.701</v>
      </c>
      <c r="G423">
        <v>87.674944596230006</v>
      </c>
      <c r="H423">
        <v>685165</v>
      </c>
      <c r="I423">
        <v>776831</v>
      </c>
      <c r="J423">
        <v>88.2</v>
      </c>
    </row>
    <row r="424" spans="1:10" x14ac:dyDescent="0.25">
      <c r="A424" t="s">
        <v>249</v>
      </c>
      <c r="B424" t="s">
        <v>145</v>
      </c>
      <c r="C424" t="s">
        <v>11</v>
      </c>
      <c r="D424" t="s">
        <v>107</v>
      </c>
      <c r="E424">
        <v>15448.6</v>
      </c>
      <c r="F424">
        <v>16068.423999999999</v>
      </c>
      <c r="G424">
        <v>96.142596187404578</v>
      </c>
      <c r="H424">
        <v>16957</v>
      </c>
      <c r="I424">
        <v>17590</v>
      </c>
      <c r="J424">
        <v>96.4</v>
      </c>
    </row>
    <row r="425" spans="1:10" x14ac:dyDescent="0.25">
      <c r="A425" t="s">
        <v>250</v>
      </c>
      <c r="B425" t="s">
        <v>145</v>
      </c>
      <c r="C425" t="s">
        <v>11</v>
      </c>
      <c r="D425" t="s">
        <v>107</v>
      </c>
      <c r="E425">
        <v>38760.180000000008</v>
      </c>
      <c r="F425">
        <v>41439.859000000004</v>
      </c>
      <c r="G425">
        <v>93.533571144631551</v>
      </c>
      <c r="H425">
        <v>16519</v>
      </c>
      <c r="I425">
        <v>17611</v>
      </c>
      <c r="J425">
        <v>93.8</v>
      </c>
    </row>
    <row r="426" spans="1:10" x14ac:dyDescent="0.25">
      <c r="A426" t="s">
        <v>251</v>
      </c>
      <c r="B426" t="s">
        <v>145</v>
      </c>
      <c r="C426" t="s">
        <v>11</v>
      </c>
      <c r="D426" t="s">
        <v>107</v>
      </c>
      <c r="E426">
        <v>113269.92000000001</v>
      </c>
      <c r="F426">
        <v>157981.992</v>
      </c>
      <c r="G426">
        <v>71.697994541048715</v>
      </c>
      <c r="H426">
        <v>76857</v>
      </c>
      <c r="I426">
        <v>109796</v>
      </c>
      <c r="J426">
        <v>70</v>
      </c>
    </row>
    <row r="427" spans="1:10" x14ac:dyDescent="0.25">
      <c r="A427" t="s">
        <v>252</v>
      </c>
      <c r="B427" t="s">
        <v>146</v>
      </c>
      <c r="C427" t="s">
        <v>11</v>
      </c>
      <c r="D427" t="s">
        <v>107</v>
      </c>
      <c r="E427">
        <v>985711.14700000011</v>
      </c>
      <c r="F427">
        <v>1684861.7039999999</v>
      </c>
      <c r="G427">
        <v>58.50397956460408</v>
      </c>
      <c r="H427">
        <v>995118</v>
      </c>
      <c r="I427">
        <v>1715720</v>
      </c>
      <c r="J427">
        <v>58</v>
      </c>
    </row>
    <row r="428" spans="1:10" x14ac:dyDescent="0.25">
      <c r="A428" t="s">
        <v>253</v>
      </c>
      <c r="B428" t="s">
        <v>146</v>
      </c>
      <c r="C428" t="s">
        <v>11</v>
      </c>
      <c r="D428" t="s">
        <v>107</v>
      </c>
      <c r="E428">
        <v>42577.67</v>
      </c>
      <c r="F428">
        <v>47662.451999999997</v>
      </c>
      <c r="G428">
        <v>89.331681886613808</v>
      </c>
      <c r="H428">
        <v>0</v>
      </c>
      <c r="I428">
        <v>0</v>
      </c>
      <c r="J428">
        <v>0</v>
      </c>
    </row>
    <row r="429" spans="1:10" x14ac:dyDescent="0.25">
      <c r="A429" t="s">
        <v>254</v>
      </c>
      <c r="B429" t="s">
        <v>146</v>
      </c>
      <c r="C429" t="s">
        <v>11</v>
      </c>
      <c r="D429" t="s">
        <v>107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277</v>
      </c>
      <c r="B430" t="s">
        <v>147</v>
      </c>
      <c r="C430" t="s">
        <v>11</v>
      </c>
      <c r="D430" t="s">
        <v>107</v>
      </c>
      <c r="E430">
        <v>793448.58700000006</v>
      </c>
      <c r="F430">
        <v>1355751.493</v>
      </c>
      <c r="G430">
        <v>58.524633098080614</v>
      </c>
      <c r="H430">
        <v>840735</v>
      </c>
      <c r="I430">
        <v>1449543</v>
      </c>
      <c r="J430">
        <v>58</v>
      </c>
    </row>
    <row r="431" spans="1:10" x14ac:dyDescent="0.25">
      <c r="A431" t="s">
        <v>255</v>
      </c>
      <c r="B431" t="s">
        <v>148</v>
      </c>
      <c r="C431" t="s">
        <v>11</v>
      </c>
      <c r="D431" t="s">
        <v>107</v>
      </c>
      <c r="E431">
        <v>113682.772</v>
      </c>
      <c r="F431">
        <v>144208.57399999999</v>
      </c>
      <c r="G431">
        <v>78.832186496761281</v>
      </c>
      <c r="H431">
        <v>29404</v>
      </c>
      <c r="I431">
        <v>34215</v>
      </c>
      <c r="J431">
        <v>85.94</v>
      </c>
    </row>
    <row r="432" spans="1:10" x14ac:dyDescent="0.25">
      <c r="A432" t="s">
        <v>256</v>
      </c>
      <c r="B432" t="s">
        <v>148</v>
      </c>
      <c r="C432" t="s">
        <v>11</v>
      </c>
      <c r="D432" t="s">
        <v>107</v>
      </c>
      <c r="E432">
        <v>143131.69500000001</v>
      </c>
      <c r="F432">
        <v>158061.005</v>
      </c>
      <c r="G432">
        <v>90.554716515942687</v>
      </c>
      <c r="H432">
        <v>0</v>
      </c>
      <c r="I432">
        <v>0</v>
      </c>
      <c r="J432">
        <v>0</v>
      </c>
    </row>
    <row r="433" spans="1:10" x14ac:dyDescent="0.25">
      <c r="A433" t="s">
        <v>257</v>
      </c>
      <c r="B433" t="s">
        <v>148</v>
      </c>
      <c r="C433" t="s">
        <v>11</v>
      </c>
      <c r="D433" t="s">
        <v>107</v>
      </c>
      <c r="E433">
        <v>267205.35700000002</v>
      </c>
      <c r="F433">
        <v>308365.266</v>
      </c>
      <c r="G433">
        <v>86.652222692292455</v>
      </c>
      <c r="H433">
        <v>126726</v>
      </c>
      <c r="I433">
        <v>145729</v>
      </c>
      <c r="J433">
        <v>86.96</v>
      </c>
    </row>
    <row r="434" spans="1:10" x14ac:dyDescent="0.25">
      <c r="A434" t="s">
        <v>258</v>
      </c>
      <c r="B434" t="s">
        <v>148</v>
      </c>
      <c r="C434" t="s">
        <v>11</v>
      </c>
      <c r="D434" t="s">
        <v>107</v>
      </c>
      <c r="E434">
        <v>16917.332999999999</v>
      </c>
      <c r="F434">
        <v>17768.162</v>
      </c>
      <c r="G434">
        <v>95.211496833493513</v>
      </c>
      <c r="H434">
        <v>126475</v>
      </c>
      <c r="I434">
        <v>132434</v>
      </c>
      <c r="J434">
        <v>95.5</v>
      </c>
    </row>
    <row r="435" spans="1:10" x14ac:dyDescent="0.25">
      <c r="A435" t="s">
        <v>259</v>
      </c>
      <c r="B435" t="s">
        <v>149</v>
      </c>
      <c r="C435" t="s">
        <v>11</v>
      </c>
      <c r="D435" t="s">
        <v>107</v>
      </c>
      <c r="E435">
        <v>275297</v>
      </c>
      <c r="F435">
        <v>462017</v>
      </c>
      <c r="G435">
        <v>59.585902683234607</v>
      </c>
      <c r="H435">
        <v>386157</v>
      </c>
      <c r="I435">
        <v>636148</v>
      </c>
      <c r="J435">
        <v>60.7</v>
      </c>
    </row>
    <row r="436" spans="1:10" x14ac:dyDescent="0.25">
      <c r="A436" t="s">
        <v>260</v>
      </c>
      <c r="B436" t="s">
        <v>149</v>
      </c>
      <c r="C436" t="s">
        <v>11</v>
      </c>
      <c r="D436" t="s">
        <v>107</v>
      </c>
      <c r="E436">
        <v>10258.902</v>
      </c>
      <c r="F436">
        <v>10817.506999999998</v>
      </c>
      <c r="G436">
        <v>94.83610225535331</v>
      </c>
      <c r="H436">
        <v>0</v>
      </c>
      <c r="I436">
        <v>0</v>
      </c>
      <c r="J436">
        <v>0</v>
      </c>
    </row>
    <row r="437" spans="1:10" x14ac:dyDescent="0.25">
      <c r="A437" t="s">
        <v>261</v>
      </c>
      <c r="B437" t="s">
        <v>149</v>
      </c>
      <c r="C437" t="s">
        <v>11</v>
      </c>
      <c r="D437" t="s">
        <v>107</v>
      </c>
      <c r="E437">
        <v>63906.273000000001</v>
      </c>
      <c r="F437">
        <v>73206.34</v>
      </c>
      <c r="G437">
        <v>87.296090748424248</v>
      </c>
      <c r="H437">
        <v>126726</v>
      </c>
      <c r="I437">
        <v>145729</v>
      </c>
      <c r="J437">
        <v>86.96</v>
      </c>
    </row>
    <row r="438" spans="1:10" x14ac:dyDescent="0.25">
      <c r="A438" t="s">
        <v>262</v>
      </c>
      <c r="B438" t="s">
        <v>149</v>
      </c>
      <c r="C438" t="s">
        <v>11</v>
      </c>
      <c r="D438" t="s">
        <v>107</v>
      </c>
      <c r="E438">
        <v>77626.986000000004</v>
      </c>
      <c r="F438">
        <v>85193.777999999991</v>
      </c>
      <c r="G438">
        <v>91.11814010642891</v>
      </c>
      <c r="H438">
        <v>140487</v>
      </c>
      <c r="I438">
        <v>155543</v>
      </c>
      <c r="J438">
        <v>90.32</v>
      </c>
    </row>
    <row r="439" spans="1:10" x14ac:dyDescent="0.25">
      <c r="A439" t="s">
        <v>263</v>
      </c>
      <c r="B439" t="s">
        <v>149</v>
      </c>
      <c r="C439" t="s">
        <v>11</v>
      </c>
      <c r="D439" t="s">
        <v>107</v>
      </c>
      <c r="E439">
        <v>51513</v>
      </c>
      <c r="F439">
        <v>80153</v>
      </c>
      <c r="G439">
        <v>64.268336805858794</v>
      </c>
      <c r="H439">
        <v>0</v>
      </c>
      <c r="I439">
        <v>0</v>
      </c>
      <c r="J439">
        <v>0</v>
      </c>
    </row>
    <row r="440" spans="1:10" x14ac:dyDescent="0.25">
      <c r="A440" t="s">
        <v>264</v>
      </c>
      <c r="B440" t="s">
        <v>150</v>
      </c>
      <c r="C440" t="s">
        <v>11</v>
      </c>
      <c r="D440" t="s">
        <v>107</v>
      </c>
      <c r="E440">
        <v>373186.609</v>
      </c>
      <c r="F440">
        <v>642356.74699999997</v>
      </c>
      <c r="G440">
        <v>58.096472208456461</v>
      </c>
      <c r="H440">
        <v>400852</v>
      </c>
      <c r="I440">
        <v>685217</v>
      </c>
      <c r="J440">
        <v>58.5</v>
      </c>
    </row>
    <row r="441" spans="1:10" x14ac:dyDescent="0.25">
      <c r="A441" t="s">
        <v>265</v>
      </c>
      <c r="B441" t="s">
        <v>150</v>
      </c>
      <c r="C441" t="s">
        <v>11</v>
      </c>
      <c r="D441" t="s">
        <v>107</v>
      </c>
      <c r="E441">
        <v>125062.14300000001</v>
      </c>
      <c r="F441">
        <v>146237.83600000001</v>
      </c>
      <c r="G441">
        <v>85.519689309406914</v>
      </c>
      <c r="H441">
        <v>122675</v>
      </c>
      <c r="I441">
        <v>143480</v>
      </c>
      <c r="J441">
        <v>85.5</v>
      </c>
    </row>
    <row r="442" spans="1:10" x14ac:dyDescent="0.25">
      <c r="A442" t="s">
        <v>245</v>
      </c>
      <c r="B442" t="s">
        <v>145</v>
      </c>
      <c r="C442" t="s">
        <v>12</v>
      </c>
      <c r="D442" t="s">
        <v>107</v>
      </c>
      <c r="E442">
        <v>39363.619999999995</v>
      </c>
      <c r="F442">
        <v>42473.648999999998</v>
      </c>
      <c r="G442">
        <v>92.677744735329895</v>
      </c>
      <c r="H442">
        <v>56996</v>
      </c>
      <c r="I442">
        <v>67054</v>
      </c>
      <c r="J442">
        <v>85</v>
      </c>
    </row>
    <row r="443" spans="1:10" x14ac:dyDescent="0.25">
      <c r="A443" t="s">
        <v>246</v>
      </c>
      <c r="B443" t="s">
        <v>145</v>
      </c>
      <c r="C443" t="s">
        <v>12</v>
      </c>
      <c r="D443" t="s">
        <v>107</v>
      </c>
      <c r="E443">
        <v>136073.85999999999</v>
      </c>
      <c r="F443">
        <v>143211.6</v>
      </c>
      <c r="G443">
        <v>95.015948428758549</v>
      </c>
      <c r="H443">
        <v>155038</v>
      </c>
      <c r="I443">
        <v>162343</v>
      </c>
      <c r="J443">
        <v>95.5</v>
      </c>
    </row>
    <row r="444" spans="1:10" x14ac:dyDescent="0.25">
      <c r="A444" t="s">
        <v>247</v>
      </c>
      <c r="B444" t="s">
        <v>145</v>
      </c>
      <c r="C444" t="s">
        <v>12</v>
      </c>
      <c r="D444" t="s">
        <v>107</v>
      </c>
      <c r="E444">
        <v>332048.28999999998</v>
      </c>
      <c r="F444">
        <v>377204.21299999999</v>
      </c>
      <c r="G444">
        <v>88.028786147200321</v>
      </c>
      <c r="H444">
        <v>406567</v>
      </c>
      <c r="I444">
        <v>459918</v>
      </c>
      <c r="J444">
        <v>88.4</v>
      </c>
    </row>
    <row r="445" spans="1:10" x14ac:dyDescent="0.25">
      <c r="A445" t="s">
        <v>248</v>
      </c>
      <c r="B445" t="s">
        <v>145</v>
      </c>
      <c r="C445" t="s">
        <v>12</v>
      </c>
      <c r="D445" t="s">
        <v>107</v>
      </c>
      <c r="E445">
        <v>743011.34000000008</v>
      </c>
      <c r="F445">
        <v>846790.701</v>
      </c>
      <c r="G445">
        <v>87.744390570486459</v>
      </c>
      <c r="H445">
        <v>784167</v>
      </c>
      <c r="I445">
        <v>889078</v>
      </c>
      <c r="J445">
        <v>88.2</v>
      </c>
    </row>
    <row r="446" spans="1:10" x14ac:dyDescent="0.25">
      <c r="A446" t="s">
        <v>249</v>
      </c>
      <c r="B446" t="s">
        <v>145</v>
      </c>
      <c r="C446" t="s">
        <v>12</v>
      </c>
      <c r="D446" t="s">
        <v>107</v>
      </c>
      <c r="E446">
        <v>18340.599999999999</v>
      </c>
      <c r="F446">
        <v>19068.423999999999</v>
      </c>
      <c r="G446">
        <v>96.183093054779974</v>
      </c>
      <c r="H446">
        <v>19581</v>
      </c>
      <c r="I446">
        <v>20313</v>
      </c>
      <c r="J446">
        <v>96.4</v>
      </c>
    </row>
    <row r="447" spans="1:10" x14ac:dyDescent="0.25">
      <c r="A447" t="s">
        <v>250</v>
      </c>
      <c r="B447" t="s">
        <v>145</v>
      </c>
      <c r="C447" t="s">
        <v>12</v>
      </c>
      <c r="D447" t="s">
        <v>107</v>
      </c>
      <c r="E447">
        <v>41105.180000000008</v>
      </c>
      <c r="F447">
        <v>43939.859000000004</v>
      </c>
      <c r="G447">
        <v>93.548729867339816</v>
      </c>
      <c r="H447">
        <v>17819</v>
      </c>
      <c r="I447">
        <v>18997</v>
      </c>
      <c r="J447">
        <v>93.8</v>
      </c>
    </row>
    <row r="448" spans="1:10" x14ac:dyDescent="0.25">
      <c r="A448" t="s">
        <v>251</v>
      </c>
      <c r="B448" t="s">
        <v>145</v>
      </c>
      <c r="C448" t="s">
        <v>12</v>
      </c>
      <c r="D448" t="s">
        <v>107</v>
      </c>
      <c r="E448">
        <v>124469.92000000001</v>
      </c>
      <c r="F448">
        <v>173981.992</v>
      </c>
      <c r="G448">
        <v>71.54184095098762</v>
      </c>
      <c r="H448">
        <v>87988</v>
      </c>
      <c r="I448">
        <v>125697</v>
      </c>
      <c r="J448">
        <v>70</v>
      </c>
    </row>
    <row r="449" spans="1:10" x14ac:dyDescent="0.25">
      <c r="A449" t="s">
        <v>252</v>
      </c>
      <c r="B449" t="s">
        <v>146</v>
      </c>
      <c r="C449" t="s">
        <v>12</v>
      </c>
      <c r="D449" t="s">
        <v>107</v>
      </c>
      <c r="E449">
        <v>1139374.1470000001</v>
      </c>
      <c r="F449">
        <v>1949797.7039999999</v>
      </c>
      <c r="G449">
        <v>58.435505625151777</v>
      </c>
      <c r="H449">
        <v>1138485</v>
      </c>
      <c r="I449">
        <v>1962904</v>
      </c>
      <c r="J449">
        <v>58</v>
      </c>
    </row>
    <row r="450" spans="1:10" x14ac:dyDescent="0.25">
      <c r="A450" t="s">
        <v>253</v>
      </c>
      <c r="B450" t="s">
        <v>146</v>
      </c>
      <c r="C450" t="s">
        <v>12</v>
      </c>
      <c r="D450" t="s">
        <v>107</v>
      </c>
      <c r="E450">
        <v>42577.67</v>
      </c>
      <c r="F450">
        <v>47662.451999999997</v>
      </c>
      <c r="G450">
        <v>89.331681886613808</v>
      </c>
      <c r="H450">
        <v>0</v>
      </c>
      <c r="I450">
        <v>0</v>
      </c>
      <c r="J450">
        <v>0</v>
      </c>
    </row>
    <row r="451" spans="1:10" x14ac:dyDescent="0.25">
      <c r="A451" t="s">
        <v>254</v>
      </c>
      <c r="B451" t="s">
        <v>146</v>
      </c>
      <c r="C451" t="s">
        <v>12</v>
      </c>
      <c r="D451" t="s">
        <v>107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277</v>
      </c>
      <c r="B452" t="s">
        <v>147</v>
      </c>
      <c r="C452" t="s">
        <v>12</v>
      </c>
      <c r="D452" t="s">
        <v>107</v>
      </c>
      <c r="E452">
        <v>925163.58700000006</v>
      </c>
      <c r="F452">
        <v>1582846.493</v>
      </c>
      <c r="G452">
        <v>58.449356339446368</v>
      </c>
      <c r="H452">
        <v>974150</v>
      </c>
      <c r="I452">
        <v>1679569</v>
      </c>
      <c r="J452">
        <v>58</v>
      </c>
    </row>
    <row r="453" spans="1:10" x14ac:dyDescent="0.25">
      <c r="A453" t="s">
        <v>255</v>
      </c>
      <c r="B453" t="s">
        <v>148</v>
      </c>
      <c r="C453" t="s">
        <v>12</v>
      </c>
      <c r="D453" t="s">
        <v>107</v>
      </c>
      <c r="E453">
        <v>119422.772</v>
      </c>
      <c r="F453">
        <v>150402.57399999999</v>
      </c>
      <c r="G453">
        <v>79.402079913871688</v>
      </c>
      <c r="H453">
        <v>35217</v>
      </c>
      <c r="I453">
        <v>40409</v>
      </c>
      <c r="J453">
        <v>87.15</v>
      </c>
    </row>
    <row r="454" spans="1:10" x14ac:dyDescent="0.25">
      <c r="A454" t="s">
        <v>256</v>
      </c>
      <c r="B454" t="s">
        <v>148</v>
      </c>
      <c r="C454" t="s">
        <v>12</v>
      </c>
      <c r="D454" t="s">
        <v>107</v>
      </c>
      <c r="E454">
        <v>143131.69500000001</v>
      </c>
      <c r="F454">
        <v>158061.005</v>
      </c>
      <c r="G454">
        <v>90.554716515942687</v>
      </c>
      <c r="H454">
        <v>0</v>
      </c>
      <c r="I454">
        <v>0</v>
      </c>
      <c r="J454">
        <v>0</v>
      </c>
    </row>
    <row r="455" spans="1:10" x14ac:dyDescent="0.25">
      <c r="A455" t="s">
        <v>257</v>
      </c>
      <c r="B455" t="s">
        <v>148</v>
      </c>
      <c r="C455" t="s">
        <v>12</v>
      </c>
      <c r="D455" t="s">
        <v>107</v>
      </c>
      <c r="E455">
        <v>288155.35700000002</v>
      </c>
      <c r="F455">
        <v>332456.266</v>
      </c>
      <c r="G455">
        <v>86.67466565361714</v>
      </c>
      <c r="H455">
        <v>147676</v>
      </c>
      <c r="I455">
        <v>169820</v>
      </c>
      <c r="J455">
        <v>86.96</v>
      </c>
    </row>
    <row r="456" spans="1:10" x14ac:dyDescent="0.25">
      <c r="A456" t="s">
        <v>258</v>
      </c>
      <c r="B456" t="s">
        <v>148</v>
      </c>
      <c r="C456" t="s">
        <v>12</v>
      </c>
      <c r="D456" t="s">
        <v>107</v>
      </c>
      <c r="E456">
        <v>48685.332999999999</v>
      </c>
      <c r="F456">
        <v>51033.161999999997</v>
      </c>
      <c r="G456">
        <v>95.399405194606601</v>
      </c>
      <c r="H456">
        <v>158243</v>
      </c>
      <c r="I456">
        <v>165699</v>
      </c>
      <c r="J456">
        <v>95.5</v>
      </c>
    </row>
    <row r="457" spans="1:10" x14ac:dyDescent="0.25">
      <c r="A457" t="s">
        <v>259</v>
      </c>
      <c r="B457" t="s">
        <v>149</v>
      </c>
      <c r="C457" t="s">
        <v>12</v>
      </c>
      <c r="D457" t="s">
        <v>107</v>
      </c>
      <c r="E457">
        <v>314035</v>
      </c>
      <c r="F457">
        <v>524527</v>
      </c>
      <c r="G457">
        <v>59.87013061291411</v>
      </c>
      <c r="H457">
        <v>442368</v>
      </c>
      <c r="I457">
        <v>728658</v>
      </c>
      <c r="J457">
        <v>60.71</v>
      </c>
    </row>
    <row r="458" spans="1:10" x14ac:dyDescent="0.25">
      <c r="A458" t="s">
        <v>260</v>
      </c>
      <c r="B458" t="s">
        <v>149</v>
      </c>
      <c r="C458" t="s">
        <v>12</v>
      </c>
      <c r="D458" t="s">
        <v>107</v>
      </c>
      <c r="E458">
        <v>10258.902</v>
      </c>
      <c r="F458">
        <v>10817.506999999998</v>
      </c>
      <c r="G458">
        <v>94.83610225535331</v>
      </c>
      <c r="H458">
        <v>0</v>
      </c>
      <c r="I458">
        <v>0</v>
      </c>
      <c r="J458">
        <v>0</v>
      </c>
    </row>
    <row r="459" spans="1:10" x14ac:dyDescent="0.25">
      <c r="A459" t="s">
        <v>261</v>
      </c>
      <c r="B459" t="s">
        <v>149</v>
      </c>
      <c r="C459" t="s">
        <v>12</v>
      </c>
      <c r="D459" t="s">
        <v>107</v>
      </c>
      <c r="E459">
        <v>76160.273000000001</v>
      </c>
      <c r="F459">
        <v>87297.34</v>
      </c>
      <c r="G459">
        <v>87.24237531177927</v>
      </c>
      <c r="H459">
        <v>147676</v>
      </c>
      <c r="I459">
        <v>169820</v>
      </c>
      <c r="J459">
        <v>86.96</v>
      </c>
    </row>
    <row r="460" spans="1:10" x14ac:dyDescent="0.25">
      <c r="A460" t="s">
        <v>262</v>
      </c>
      <c r="B460" t="s">
        <v>149</v>
      </c>
      <c r="C460" t="s">
        <v>12</v>
      </c>
      <c r="D460" t="s">
        <v>107</v>
      </c>
      <c r="E460">
        <v>98357.986000000004</v>
      </c>
      <c r="F460">
        <v>107946.77799999999</v>
      </c>
      <c r="G460">
        <v>91.117111434303311</v>
      </c>
      <c r="H460">
        <v>161037</v>
      </c>
      <c r="I460">
        <v>178296</v>
      </c>
      <c r="J460">
        <v>90.32</v>
      </c>
    </row>
    <row r="461" spans="1:10" x14ac:dyDescent="0.25">
      <c r="A461" t="s">
        <v>263</v>
      </c>
      <c r="B461" t="s">
        <v>149</v>
      </c>
      <c r="C461" t="s">
        <v>12</v>
      </c>
      <c r="D461" t="s">
        <v>107</v>
      </c>
      <c r="E461">
        <v>51513</v>
      </c>
      <c r="F461">
        <v>80153</v>
      </c>
      <c r="G461">
        <v>64.268336805858794</v>
      </c>
      <c r="H461">
        <v>0</v>
      </c>
      <c r="I461">
        <v>0</v>
      </c>
      <c r="J461">
        <v>0</v>
      </c>
    </row>
    <row r="462" spans="1:10" x14ac:dyDescent="0.25">
      <c r="A462" t="s">
        <v>264</v>
      </c>
      <c r="B462" t="s">
        <v>150</v>
      </c>
      <c r="C462" t="s">
        <v>12</v>
      </c>
      <c r="D462" t="s">
        <v>107</v>
      </c>
      <c r="E462">
        <v>432734.609</v>
      </c>
      <c r="F462">
        <v>744147.74699999997</v>
      </c>
      <c r="G462">
        <v>58.151705860099852</v>
      </c>
      <c r="H462">
        <v>461407</v>
      </c>
      <c r="I462">
        <v>788729</v>
      </c>
      <c r="J462">
        <v>58.5</v>
      </c>
    </row>
    <row r="463" spans="1:10" x14ac:dyDescent="0.25">
      <c r="A463" t="s">
        <v>265</v>
      </c>
      <c r="B463" t="s">
        <v>150</v>
      </c>
      <c r="C463" t="s">
        <v>12</v>
      </c>
      <c r="D463" t="s">
        <v>107</v>
      </c>
      <c r="E463">
        <v>150927.14300000001</v>
      </c>
      <c r="F463">
        <v>176488.83600000001</v>
      </c>
      <c r="G463">
        <v>85.516538281208909</v>
      </c>
      <c r="H463">
        <v>141678</v>
      </c>
      <c r="I463">
        <v>165705</v>
      </c>
      <c r="J463">
        <v>85.5</v>
      </c>
    </row>
    <row r="464" spans="1:10" x14ac:dyDescent="0.25">
      <c r="A464" t="s">
        <v>245</v>
      </c>
      <c r="B464" t="s">
        <v>145</v>
      </c>
      <c r="C464" t="s">
        <v>13</v>
      </c>
      <c r="D464" t="s">
        <v>107</v>
      </c>
      <c r="E464">
        <v>39363.619999999995</v>
      </c>
      <c r="F464">
        <v>42473.648999999998</v>
      </c>
      <c r="G464">
        <v>92.677744735329895</v>
      </c>
      <c r="H464">
        <v>64874</v>
      </c>
      <c r="I464">
        <v>76323</v>
      </c>
      <c r="J464">
        <v>85</v>
      </c>
    </row>
    <row r="465" spans="1:10" x14ac:dyDescent="0.25">
      <c r="A465" t="s">
        <v>246</v>
      </c>
      <c r="B465" t="s">
        <v>145</v>
      </c>
      <c r="C465" t="s">
        <v>13</v>
      </c>
      <c r="D465" t="s">
        <v>107</v>
      </c>
      <c r="E465">
        <v>159948.85999999999</v>
      </c>
      <c r="F465">
        <v>168211.6</v>
      </c>
      <c r="G465">
        <v>95.087889301332368</v>
      </c>
      <c r="H465">
        <v>177932</v>
      </c>
      <c r="I465">
        <v>186317</v>
      </c>
      <c r="J465">
        <v>95.5</v>
      </c>
    </row>
    <row r="466" spans="1:10" x14ac:dyDescent="0.25">
      <c r="A466" t="s">
        <v>247</v>
      </c>
      <c r="B466" t="s">
        <v>145</v>
      </c>
      <c r="C466" t="s">
        <v>13</v>
      </c>
      <c r="D466" t="s">
        <v>107</v>
      </c>
      <c r="E466">
        <v>383850.29</v>
      </c>
      <c r="F466">
        <v>435804.21299999999</v>
      </c>
      <c r="G466">
        <v>88.07860928136553</v>
      </c>
      <c r="H466">
        <v>461429</v>
      </c>
      <c r="I466">
        <v>521978</v>
      </c>
      <c r="J466">
        <v>88.4</v>
      </c>
    </row>
    <row r="467" spans="1:10" x14ac:dyDescent="0.25">
      <c r="A467" t="s">
        <v>248</v>
      </c>
      <c r="B467" t="s">
        <v>145</v>
      </c>
      <c r="C467" t="s">
        <v>13</v>
      </c>
      <c r="D467" t="s">
        <v>107</v>
      </c>
      <c r="E467">
        <v>848851.34000000008</v>
      </c>
      <c r="F467">
        <v>966790.701</v>
      </c>
      <c r="G467">
        <v>87.800941726269258</v>
      </c>
      <c r="H467">
        <v>873246</v>
      </c>
      <c r="I467">
        <v>990075</v>
      </c>
      <c r="J467">
        <v>88.2</v>
      </c>
    </row>
    <row r="468" spans="1:10" x14ac:dyDescent="0.25">
      <c r="A468" t="s">
        <v>249</v>
      </c>
      <c r="B468" t="s">
        <v>145</v>
      </c>
      <c r="C468" t="s">
        <v>13</v>
      </c>
      <c r="D468" t="s">
        <v>107</v>
      </c>
      <c r="E468">
        <v>21232.6</v>
      </c>
      <c r="F468">
        <v>22068.423999999999</v>
      </c>
      <c r="G468">
        <v>96.212579566171101</v>
      </c>
      <c r="H468">
        <v>22473</v>
      </c>
      <c r="I468">
        <v>23312</v>
      </c>
      <c r="J468">
        <v>96.4</v>
      </c>
    </row>
    <row r="469" spans="1:10" x14ac:dyDescent="0.25">
      <c r="A469" t="s">
        <v>250</v>
      </c>
      <c r="B469" t="s">
        <v>145</v>
      </c>
      <c r="C469" t="s">
        <v>13</v>
      </c>
      <c r="D469" t="s">
        <v>107</v>
      </c>
      <c r="E469">
        <v>41105.180000000008</v>
      </c>
      <c r="F469">
        <v>43939.859000000004</v>
      </c>
      <c r="G469">
        <v>93.548729867339816</v>
      </c>
      <c r="H469">
        <v>19068</v>
      </c>
      <c r="I469">
        <v>20328</v>
      </c>
      <c r="J469">
        <v>93.8</v>
      </c>
    </row>
    <row r="470" spans="1:10" x14ac:dyDescent="0.25">
      <c r="A470" t="s">
        <v>251</v>
      </c>
      <c r="B470" t="s">
        <v>145</v>
      </c>
      <c r="C470" t="s">
        <v>13</v>
      </c>
      <c r="D470" t="s">
        <v>107</v>
      </c>
      <c r="E470">
        <v>138469.92000000001</v>
      </c>
      <c r="F470">
        <v>193981.992</v>
      </c>
      <c r="G470">
        <v>71.382873519517219</v>
      </c>
      <c r="H470">
        <v>101913</v>
      </c>
      <c r="I470">
        <v>145589</v>
      </c>
      <c r="J470">
        <v>70</v>
      </c>
    </row>
    <row r="471" spans="1:10" x14ac:dyDescent="0.25">
      <c r="A471" t="s">
        <v>252</v>
      </c>
      <c r="B471" t="s">
        <v>146</v>
      </c>
      <c r="C471" t="s">
        <v>13</v>
      </c>
      <c r="D471" t="s">
        <v>107</v>
      </c>
      <c r="E471">
        <v>1298525.1470000001</v>
      </c>
      <c r="F471">
        <v>2224195.7039999999</v>
      </c>
      <c r="G471">
        <v>58.381784690291816</v>
      </c>
      <c r="H471">
        <v>1280683</v>
      </c>
      <c r="I471">
        <v>2208074</v>
      </c>
      <c r="J471">
        <v>58</v>
      </c>
    </row>
    <row r="472" spans="1:10" x14ac:dyDescent="0.25">
      <c r="A472" t="s">
        <v>253</v>
      </c>
      <c r="B472" t="s">
        <v>146</v>
      </c>
      <c r="C472" t="s">
        <v>13</v>
      </c>
      <c r="D472" t="s">
        <v>107</v>
      </c>
      <c r="E472">
        <v>42577.67</v>
      </c>
      <c r="F472">
        <v>47662.451999999997</v>
      </c>
      <c r="G472">
        <v>89.331681886613808</v>
      </c>
      <c r="H472">
        <v>15852</v>
      </c>
      <c r="I472">
        <v>17397</v>
      </c>
      <c r="J472">
        <v>91.12</v>
      </c>
    </row>
    <row r="473" spans="1:10" x14ac:dyDescent="0.25">
      <c r="A473" t="s">
        <v>254</v>
      </c>
      <c r="B473" t="s">
        <v>146</v>
      </c>
      <c r="C473" t="s">
        <v>13</v>
      </c>
      <c r="D473" t="s">
        <v>107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277</v>
      </c>
      <c r="B474" t="s">
        <v>147</v>
      </c>
      <c r="C474" t="s">
        <v>13</v>
      </c>
      <c r="D474" t="s">
        <v>107</v>
      </c>
      <c r="E474">
        <v>1062977.5870000001</v>
      </c>
      <c r="F474">
        <v>1820456.493</v>
      </c>
      <c r="G474">
        <v>58.390716344353741</v>
      </c>
      <c r="H474">
        <v>1114817</v>
      </c>
      <c r="I474">
        <v>1922098</v>
      </c>
      <c r="J474">
        <v>58</v>
      </c>
    </row>
    <row r="475" spans="1:10" x14ac:dyDescent="0.25">
      <c r="A475" t="s">
        <v>255</v>
      </c>
      <c r="B475" t="s">
        <v>148</v>
      </c>
      <c r="C475" t="s">
        <v>13</v>
      </c>
      <c r="D475" t="s">
        <v>107</v>
      </c>
      <c r="E475">
        <v>134832.772</v>
      </c>
      <c r="F475">
        <v>172935.57399999999</v>
      </c>
      <c r="G475">
        <v>77.967053788481948</v>
      </c>
      <c r="H475">
        <v>51364</v>
      </c>
      <c r="I475">
        <v>64086</v>
      </c>
      <c r="J475">
        <v>80.150000000000006</v>
      </c>
    </row>
    <row r="476" spans="1:10" x14ac:dyDescent="0.25">
      <c r="A476" t="s">
        <v>256</v>
      </c>
      <c r="B476" t="s">
        <v>148</v>
      </c>
      <c r="C476" t="s">
        <v>13</v>
      </c>
      <c r="D476" t="s">
        <v>107</v>
      </c>
      <c r="E476">
        <v>143131.69500000001</v>
      </c>
      <c r="F476">
        <v>158061.005</v>
      </c>
      <c r="G476">
        <v>90.554716515942687</v>
      </c>
      <c r="H476">
        <v>0</v>
      </c>
      <c r="I476">
        <v>0</v>
      </c>
      <c r="J476">
        <v>0</v>
      </c>
    </row>
    <row r="477" spans="1:10" x14ac:dyDescent="0.25">
      <c r="A477" t="s">
        <v>257</v>
      </c>
      <c r="B477" t="s">
        <v>148</v>
      </c>
      <c r="C477" t="s">
        <v>13</v>
      </c>
      <c r="D477" t="s">
        <v>107</v>
      </c>
      <c r="E477">
        <v>318990.35700000002</v>
      </c>
      <c r="F477">
        <v>367915.266</v>
      </c>
      <c r="G477">
        <v>86.702125863948254</v>
      </c>
      <c r="H477">
        <v>178511</v>
      </c>
      <c r="I477">
        <v>205279</v>
      </c>
      <c r="J477">
        <v>86.96</v>
      </c>
    </row>
    <row r="478" spans="1:10" x14ac:dyDescent="0.25">
      <c r="A478" t="s">
        <v>258</v>
      </c>
      <c r="B478" t="s">
        <v>148</v>
      </c>
      <c r="C478" t="s">
        <v>13</v>
      </c>
      <c r="D478" t="s">
        <v>107</v>
      </c>
      <c r="E478">
        <v>80956.332999999999</v>
      </c>
      <c r="F478">
        <v>84825.161999999997</v>
      </c>
      <c r="G478">
        <v>95.439054982294053</v>
      </c>
      <c r="H478">
        <v>190514</v>
      </c>
      <c r="I478">
        <v>199491</v>
      </c>
      <c r="J478">
        <v>95.5</v>
      </c>
    </row>
    <row r="479" spans="1:10" x14ac:dyDescent="0.25">
      <c r="A479" t="s">
        <v>259</v>
      </c>
      <c r="B479" t="s">
        <v>149</v>
      </c>
      <c r="C479" t="s">
        <v>13</v>
      </c>
      <c r="D479" t="s">
        <v>107</v>
      </c>
      <c r="E479">
        <v>353527</v>
      </c>
      <c r="F479">
        <v>586874</v>
      </c>
      <c r="G479">
        <v>60.238995082419734</v>
      </c>
      <c r="H479">
        <v>492869</v>
      </c>
      <c r="I479">
        <v>809861</v>
      </c>
      <c r="J479">
        <v>60.86</v>
      </c>
    </row>
    <row r="480" spans="1:10" x14ac:dyDescent="0.25">
      <c r="A480" t="s">
        <v>260</v>
      </c>
      <c r="B480" t="s">
        <v>149</v>
      </c>
      <c r="C480" t="s">
        <v>13</v>
      </c>
      <c r="D480" t="s">
        <v>107</v>
      </c>
      <c r="E480">
        <v>10258.902</v>
      </c>
      <c r="F480">
        <v>10817.506999999998</v>
      </c>
      <c r="G480">
        <v>94.83610225535331</v>
      </c>
      <c r="H480">
        <v>0</v>
      </c>
      <c r="I480">
        <v>0</v>
      </c>
      <c r="J480">
        <v>0</v>
      </c>
    </row>
    <row r="481" spans="1:10" x14ac:dyDescent="0.25">
      <c r="A481" t="s">
        <v>261</v>
      </c>
      <c r="B481" t="s">
        <v>149</v>
      </c>
      <c r="C481" t="s">
        <v>13</v>
      </c>
      <c r="D481" t="s">
        <v>107</v>
      </c>
      <c r="E481">
        <v>98240.273000000001</v>
      </c>
      <c r="F481">
        <v>112688.34</v>
      </c>
      <c r="G481">
        <v>87.178738279399624</v>
      </c>
      <c r="H481">
        <v>178511</v>
      </c>
      <c r="I481">
        <v>205279</v>
      </c>
      <c r="J481">
        <v>86.96</v>
      </c>
    </row>
    <row r="482" spans="1:10" x14ac:dyDescent="0.25">
      <c r="A482" t="s">
        <v>262</v>
      </c>
      <c r="B482" t="s">
        <v>149</v>
      </c>
      <c r="C482" t="s">
        <v>13</v>
      </c>
      <c r="D482" t="s">
        <v>107</v>
      </c>
      <c r="E482">
        <v>125517.986</v>
      </c>
      <c r="F482">
        <v>137754.77799999999</v>
      </c>
      <c r="G482">
        <v>91.11697454152916</v>
      </c>
      <c r="H482">
        <v>187959</v>
      </c>
      <c r="I482">
        <v>208104</v>
      </c>
      <c r="J482">
        <v>90.32</v>
      </c>
    </row>
    <row r="483" spans="1:10" x14ac:dyDescent="0.25">
      <c r="A483" t="s">
        <v>263</v>
      </c>
      <c r="B483" t="s">
        <v>149</v>
      </c>
      <c r="C483" t="s">
        <v>13</v>
      </c>
      <c r="D483" t="s">
        <v>107</v>
      </c>
      <c r="E483">
        <v>51513</v>
      </c>
      <c r="F483">
        <v>80153</v>
      </c>
      <c r="G483">
        <v>64.268336805858794</v>
      </c>
      <c r="H483">
        <v>0</v>
      </c>
      <c r="I483">
        <v>0</v>
      </c>
      <c r="J483">
        <v>0</v>
      </c>
    </row>
    <row r="484" spans="1:10" x14ac:dyDescent="0.25">
      <c r="A484" t="s">
        <v>264</v>
      </c>
      <c r="B484" t="s">
        <v>150</v>
      </c>
      <c r="C484" t="s">
        <v>13</v>
      </c>
      <c r="D484" t="s">
        <v>107</v>
      </c>
      <c r="E484">
        <v>495660.609</v>
      </c>
      <c r="F484">
        <v>851712.74699999997</v>
      </c>
      <c r="G484">
        <v>58.195748595506224</v>
      </c>
      <c r="H484">
        <v>526486</v>
      </c>
      <c r="I484">
        <v>899976</v>
      </c>
      <c r="J484">
        <v>58.5</v>
      </c>
    </row>
    <row r="485" spans="1:10" x14ac:dyDescent="0.25">
      <c r="A485" t="s">
        <v>265</v>
      </c>
      <c r="B485" t="s">
        <v>150</v>
      </c>
      <c r="C485" t="s">
        <v>13</v>
      </c>
      <c r="D485" t="s">
        <v>107</v>
      </c>
      <c r="E485">
        <v>176670.14300000001</v>
      </c>
      <c r="F485">
        <v>206597.83600000001</v>
      </c>
      <c r="G485">
        <v>85.514033651349578</v>
      </c>
      <c r="H485">
        <v>162547</v>
      </c>
      <c r="I485">
        <v>190113</v>
      </c>
      <c r="J485">
        <v>85.5</v>
      </c>
    </row>
    <row r="486" spans="1:10" x14ac:dyDescent="0.25">
      <c r="A486" t="s">
        <v>245</v>
      </c>
      <c r="B486" t="s">
        <v>145</v>
      </c>
      <c r="C486" t="s">
        <v>14</v>
      </c>
      <c r="D486" t="s">
        <v>107</v>
      </c>
      <c r="E486">
        <v>39363.619999999995</v>
      </c>
      <c r="F486">
        <v>42473.648999999998</v>
      </c>
      <c r="G486">
        <v>92.677744735329895</v>
      </c>
      <c r="H486">
        <v>72411</v>
      </c>
      <c r="I486">
        <v>85190</v>
      </c>
      <c r="J486">
        <v>85</v>
      </c>
    </row>
    <row r="487" spans="1:10" x14ac:dyDescent="0.25">
      <c r="A487" t="s">
        <v>246</v>
      </c>
      <c r="B487" t="s">
        <v>145</v>
      </c>
      <c r="C487" t="s">
        <v>14</v>
      </c>
      <c r="D487" t="s">
        <v>107</v>
      </c>
      <c r="E487">
        <v>179048.86</v>
      </c>
      <c r="F487">
        <v>188211.6</v>
      </c>
      <c r="G487">
        <v>95.131681575418298</v>
      </c>
      <c r="H487">
        <v>200630</v>
      </c>
      <c r="I487">
        <v>210084</v>
      </c>
      <c r="J487">
        <v>95.5</v>
      </c>
    </row>
    <row r="488" spans="1:10" x14ac:dyDescent="0.25">
      <c r="A488" t="s">
        <v>247</v>
      </c>
      <c r="B488" t="s">
        <v>145</v>
      </c>
      <c r="C488" t="s">
        <v>14</v>
      </c>
      <c r="D488" t="s">
        <v>107</v>
      </c>
      <c r="E488">
        <v>436360.29</v>
      </c>
      <c r="F488">
        <v>495204.21299999999</v>
      </c>
      <c r="G488">
        <v>88.1172410380927</v>
      </c>
      <c r="H488">
        <v>511648</v>
      </c>
      <c r="I488">
        <v>578787</v>
      </c>
      <c r="J488">
        <v>88.4</v>
      </c>
    </row>
    <row r="489" spans="1:10" x14ac:dyDescent="0.25">
      <c r="A489" t="s">
        <v>248</v>
      </c>
      <c r="B489" t="s">
        <v>145</v>
      </c>
      <c r="C489" t="s">
        <v>14</v>
      </c>
      <c r="D489" t="s">
        <v>107</v>
      </c>
      <c r="E489">
        <v>947635.34000000008</v>
      </c>
      <c r="F489">
        <v>1078790.7009999999</v>
      </c>
      <c r="G489">
        <v>87.842371937538616</v>
      </c>
      <c r="H489">
        <v>961545</v>
      </c>
      <c r="I489">
        <v>1090187</v>
      </c>
      <c r="J489">
        <v>88.2</v>
      </c>
    </row>
    <row r="490" spans="1:10" x14ac:dyDescent="0.25">
      <c r="A490" t="s">
        <v>249</v>
      </c>
      <c r="B490" t="s">
        <v>145</v>
      </c>
      <c r="C490" t="s">
        <v>14</v>
      </c>
      <c r="D490" t="s">
        <v>107</v>
      </c>
      <c r="E490">
        <v>24124.6</v>
      </c>
      <c r="F490">
        <v>25068.423999999999</v>
      </c>
      <c r="G490">
        <v>96.235008630777912</v>
      </c>
      <c r="H490">
        <v>25340</v>
      </c>
      <c r="I490">
        <v>26286</v>
      </c>
      <c r="J490">
        <v>96.4</v>
      </c>
    </row>
    <row r="491" spans="1:10" x14ac:dyDescent="0.25">
      <c r="A491" t="s">
        <v>250</v>
      </c>
      <c r="B491" t="s">
        <v>145</v>
      </c>
      <c r="C491" t="s">
        <v>14</v>
      </c>
      <c r="D491" t="s">
        <v>107</v>
      </c>
      <c r="E491">
        <v>43450.180000000008</v>
      </c>
      <c r="F491">
        <v>46439.859000000004</v>
      </c>
      <c r="G491">
        <v>93.562256509004484</v>
      </c>
      <c r="H491">
        <v>20306</v>
      </c>
      <c r="I491">
        <v>21648</v>
      </c>
      <c r="J491">
        <v>93.8</v>
      </c>
    </row>
    <row r="492" spans="1:10" x14ac:dyDescent="0.25">
      <c r="A492" t="s">
        <v>251</v>
      </c>
      <c r="B492" t="s">
        <v>145</v>
      </c>
      <c r="C492" t="s">
        <v>14</v>
      </c>
      <c r="D492" t="s">
        <v>107</v>
      </c>
      <c r="E492">
        <v>152469.92000000001</v>
      </c>
      <c r="F492">
        <v>213981.992</v>
      </c>
      <c r="G492">
        <v>71.25362212723023</v>
      </c>
      <c r="H492">
        <v>115696</v>
      </c>
      <c r="I492">
        <v>165280</v>
      </c>
      <c r="J492">
        <v>70</v>
      </c>
    </row>
    <row r="493" spans="1:10" x14ac:dyDescent="0.25">
      <c r="A493" t="s">
        <v>252</v>
      </c>
      <c r="B493" t="s">
        <v>146</v>
      </c>
      <c r="C493" t="s">
        <v>14</v>
      </c>
      <c r="D493" t="s">
        <v>107</v>
      </c>
      <c r="E493">
        <v>1446700.1470000001</v>
      </c>
      <c r="F493">
        <v>2479669.7039999999</v>
      </c>
      <c r="G493">
        <v>58.34245362058914</v>
      </c>
      <c r="H493">
        <v>1417222</v>
      </c>
      <c r="I493">
        <v>2443486</v>
      </c>
      <c r="J493">
        <v>58</v>
      </c>
    </row>
    <row r="494" spans="1:10" x14ac:dyDescent="0.25">
      <c r="A494" t="s">
        <v>253</v>
      </c>
      <c r="B494" t="s">
        <v>146</v>
      </c>
      <c r="C494" t="s">
        <v>14</v>
      </c>
      <c r="D494" t="s">
        <v>107</v>
      </c>
      <c r="E494">
        <v>42577.67</v>
      </c>
      <c r="F494">
        <v>47662.451999999997</v>
      </c>
      <c r="G494">
        <v>89.331681886613808</v>
      </c>
      <c r="H494">
        <v>31340</v>
      </c>
      <c r="I494">
        <v>34395</v>
      </c>
      <c r="J494">
        <v>91.12</v>
      </c>
    </row>
    <row r="495" spans="1:10" x14ac:dyDescent="0.25">
      <c r="A495" t="s">
        <v>254</v>
      </c>
      <c r="B495" t="s">
        <v>146</v>
      </c>
      <c r="C495" t="s">
        <v>14</v>
      </c>
      <c r="D495" t="s">
        <v>107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277</v>
      </c>
      <c r="B496" t="s">
        <v>147</v>
      </c>
      <c r="C496" t="s">
        <v>14</v>
      </c>
      <c r="D496" t="s">
        <v>107</v>
      </c>
      <c r="E496">
        <v>1191978.5870000001</v>
      </c>
      <c r="F496">
        <v>2042871.493</v>
      </c>
      <c r="G496">
        <v>58.34819229131022</v>
      </c>
      <c r="H496">
        <v>1245341</v>
      </c>
      <c r="I496">
        <v>2147139</v>
      </c>
      <c r="J496">
        <v>58</v>
      </c>
    </row>
    <row r="497" spans="1:10" x14ac:dyDescent="0.25">
      <c r="A497" t="s">
        <v>255</v>
      </c>
      <c r="B497" t="s">
        <v>148</v>
      </c>
      <c r="C497" t="s">
        <v>14</v>
      </c>
      <c r="D497" t="s">
        <v>107</v>
      </c>
      <c r="E497">
        <v>167669.772</v>
      </c>
      <c r="F497">
        <v>225677.57399999999</v>
      </c>
      <c r="G497">
        <v>74.296160237879903</v>
      </c>
      <c r="H497">
        <v>57463</v>
      </c>
      <c r="I497">
        <v>70603</v>
      </c>
      <c r="J497">
        <v>81.39</v>
      </c>
    </row>
    <row r="498" spans="1:10" x14ac:dyDescent="0.25">
      <c r="A498" t="s">
        <v>256</v>
      </c>
      <c r="B498" t="s">
        <v>148</v>
      </c>
      <c r="C498" t="s">
        <v>14</v>
      </c>
      <c r="D498" t="s">
        <v>107</v>
      </c>
      <c r="E498">
        <v>143131.69500000001</v>
      </c>
      <c r="F498">
        <v>158061.005</v>
      </c>
      <c r="G498">
        <v>90.554716515942687</v>
      </c>
      <c r="H498">
        <v>0</v>
      </c>
      <c r="I498">
        <v>0</v>
      </c>
      <c r="J498">
        <v>0</v>
      </c>
    </row>
    <row r="499" spans="1:10" x14ac:dyDescent="0.25">
      <c r="A499" t="s">
        <v>257</v>
      </c>
      <c r="B499" t="s">
        <v>148</v>
      </c>
      <c r="C499" t="s">
        <v>14</v>
      </c>
      <c r="D499" t="s">
        <v>107</v>
      </c>
      <c r="E499">
        <v>344256.35700000002</v>
      </c>
      <c r="F499">
        <v>396969.266</v>
      </c>
      <c r="G499">
        <v>86.721161179263689</v>
      </c>
      <c r="H499">
        <v>203776</v>
      </c>
      <c r="I499">
        <v>234334</v>
      </c>
      <c r="J499">
        <v>86.96</v>
      </c>
    </row>
    <row r="500" spans="1:10" x14ac:dyDescent="0.25">
      <c r="A500" t="s">
        <v>258</v>
      </c>
      <c r="B500" t="s">
        <v>148</v>
      </c>
      <c r="C500" t="s">
        <v>14</v>
      </c>
      <c r="D500" t="s">
        <v>107</v>
      </c>
      <c r="E500">
        <v>113196.333</v>
      </c>
      <c r="F500">
        <v>118584.162</v>
      </c>
      <c r="G500">
        <v>95.456535755592725</v>
      </c>
      <c r="H500">
        <v>222754</v>
      </c>
      <c r="I500">
        <v>233250</v>
      </c>
      <c r="J500">
        <v>95.5</v>
      </c>
    </row>
    <row r="501" spans="1:10" x14ac:dyDescent="0.25">
      <c r="A501" t="s">
        <v>259</v>
      </c>
      <c r="B501" t="s">
        <v>149</v>
      </c>
      <c r="C501" t="s">
        <v>14</v>
      </c>
      <c r="D501" t="s">
        <v>107</v>
      </c>
      <c r="E501">
        <v>370480</v>
      </c>
      <c r="F501">
        <v>611253</v>
      </c>
      <c r="G501">
        <v>60.609927476838557</v>
      </c>
      <c r="H501">
        <v>548306</v>
      </c>
      <c r="I501">
        <v>900464</v>
      </c>
      <c r="J501">
        <v>60.89</v>
      </c>
    </row>
    <row r="502" spans="1:10" x14ac:dyDescent="0.25">
      <c r="A502" t="s">
        <v>260</v>
      </c>
      <c r="B502" t="s">
        <v>149</v>
      </c>
      <c r="C502" t="s">
        <v>14</v>
      </c>
      <c r="D502" t="s">
        <v>107</v>
      </c>
      <c r="E502">
        <v>10258.902</v>
      </c>
      <c r="F502">
        <v>10817.506999999998</v>
      </c>
      <c r="G502">
        <v>94.83610225535331</v>
      </c>
      <c r="H502">
        <v>0</v>
      </c>
      <c r="I502">
        <v>0</v>
      </c>
      <c r="J502">
        <v>0</v>
      </c>
    </row>
    <row r="503" spans="1:10" x14ac:dyDescent="0.25">
      <c r="A503" t="s">
        <v>261</v>
      </c>
      <c r="B503" t="s">
        <v>149</v>
      </c>
      <c r="C503" t="s">
        <v>14</v>
      </c>
      <c r="D503" t="s">
        <v>107</v>
      </c>
      <c r="E503">
        <v>114809.273</v>
      </c>
      <c r="F503">
        <v>131742.34</v>
      </c>
      <c r="G503">
        <v>87.14682994092864</v>
      </c>
      <c r="H503">
        <v>203776</v>
      </c>
      <c r="I503">
        <v>234334</v>
      </c>
      <c r="J503">
        <v>86.96</v>
      </c>
    </row>
    <row r="504" spans="1:10" x14ac:dyDescent="0.25">
      <c r="A504" t="s">
        <v>262</v>
      </c>
      <c r="B504" t="s">
        <v>149</v>
      </c>
      <c r="C504" t="s">
        <v>14</v>
      </c>
      <c r="D504" t="s">
        <v>107</v>
      </c>
      <c r="E504">
        <v>148684.986</v>
      </c>
      <c r="F504">
        <v>163181.77799999999</v>
      </c>
      <c r="G504">
        <v>91.116169845875817</v>
      </c>
      <c r="H504">
        <v>210925</v>
      </c>
      <c r="I504">
        <v>233530</v>
      </c>
      <c r="J504">
        <v>90.32</v>
      </c>
    </row>
    <row r="505" spans="1:10" x14ac:dyDescent="0.25">
      <c r="A505" t="s">
        <v>263</v>
      </c>
      <c r="B505" t="s">
        <v>149</v>
      </c>
      <c r="C505" t="s">
        <v>14</v>
      </c>
      <c r="D505" t="s">
        <v>107</v>
      </c>
      <c r="E505">
        <v>51513</v>
      </c>
      <c r="F505">
        <v>80153</v>
      </c>
      <c r="G505">
        <v>64.268336805858794</v>
      </c>
      <c r="H505">
        <v>0</v>
      </c>
      <c r="I505">
        <v>0</v>
      </c>
      <c r="J505">
        <v>0</v>
      </c>
    </row>
    <row r="506" spans="1:10" x14ac:dyDescent="0.25">
      <c r="A506" t="s">
        <v>264</v>
      </c>
      <c r="B506" t="s">
        <v>150</v>
      </c>
      <c r="C506" t="s">
        <v>14</v>
      </c>
      <c r="D506" t="s">
        <v>107</v>
      </c>
      <c r="E506">
        <v>549486.60899999994</v>
      </c>
      <c r="F506">
        <v>943722.74699999997</v>
      </c>
      <c r="G506">
        <v>58.225428045129014</v>
      </c>
      <c r="H506">
        <v>585441</v>
      </c>
      <c r="I506">
        <v>1000754</v>
      </c>
      <c r="J506">
        <v>58.5</v>
      </c>
    </row>
    <row r="507" spans="1:10" x14ac:dyDescent="0.25">
      <c r="A507" t="s">
        <v>265</v>
      </c>
      <c r="B507" t="s">
        <v>150</v>
      </c>
      <c r="C507" t="s">
        <v>14</v>
      </c>
      <c r="D507" t="s">
        <v>107</v>
      </c>
      <c r="E507">
        <v>205078.14300000001</v>
      </c>
      <c r="F507">
        <v>239823.83600000001</v>
      </c>
      <c r="G507">
        <v>85.511993478413046</v>
      </c>
      <c r="H507">
        <v>183301</v>
      </c>
      <c r="I507">
        <v>214387</v>
      </c>
      <c r="J507">
        <v>85.5</v>
      </c>
    </row>
    <row r="508" spans="1:10" x14ac:dyDescent="0.25">
      <c r="A508" t="s">
        <v>245</v>
      </c>
      <c r="B508" t="s">
        <v>145</v>
      </c>
      <c r="C508" t="s">
        <v>15</v>
      </c>
      <c r="D508" t="s">
        <v>107</v>
      </c>
      <c r="E508">
        <v>39363.619999999995</v>
      </c>
      <c r="F508">
        <v>42473.648999999998</v>
      </c>
      <c r="G508">
        <v>92.677744735329895</v>
      </c>
      <c r="H508">
        <v>80387</v>
      </c>
      <c r="I508">
        <v>94573</v>
      </c>
      <c r="J508">
        <v>85</v>
      </c>
    </row>
    <row r="509" spans="1:10" x14ac:dyDescent="0.25">
      <c r="A509" t="s">
        <v>246</v>
      </c>
      <c r="B509" t="s">
        <v>145</v>
      </c>
      <c r="C509" t="s">
        <v>15</v>
      </c>
      <c r="D509" t="s">
        <v>107</v>
      </c>
      <c r="E509">
        <v>202923.86</v>
      </c>
      <c r="F509">
        <v>213211.6</v>
      </c>
      <c r="G509">
        <v>95.174868534357401</v>
      </c>
      <c r="H509">
        <v>222158</v>
      </c>
      <c r="I509">
        <v>232626</v>
      </c>
      <c r="J509">
        <v>95.5</v>
      </c>
    </row>
    <row r="510" spans="1:10" x14ac:dyDescent="0.25">
      <c r="A510" t="s">
        <v>247</v>
      </c>
      <c r="B510" t="s">
        <v>145</v>
      </c>
      <c r="C510" t="s">
        <v>15</v>
      </c>
      <c r="D510" t="s">
        <v>107</v>
      </c>
      <c r="E510">
        <v>489930.29</v>
      </c>
      <c r="F510">
        <v>555804.21299999999</v>
      </c>
      <c r="G510">
        <v>88.147998619074869</v>
      </c>
      <c r="H510">
        <v>565752</v>
      </c>
      <c r="I510">
        <v>639991</v>
      </c>
      <c r="J510">
        <v>88.4</v>
      </c>
    </row>
    <row r="511" spans="1:10" x14ac:dyDescent="0.25">
      <c r="A511" t="s">
        <v>248</v>
      </c>
      <c r="B511" t="s">
        <v>145</v>
      </c>
      <c r="C511" t="s">
        <v>15</v>
      </c>
      <c r="D511" t="s">
        <v>107</v>
      </c>
      <c r="E511">
        <v>1053475.3400000001</v>
      </c>
      <c r="F511">
        <v>1198790.7009999999</v>
      </c>
      <c r="G511">
        <v>87.878170820078807</v>
      </c>
      <c r="H511">
        <v>1059037</v>
      </c>
      <c r="I511">
        <v>1200722</v>
      </c>
      <c r="J511">
        <v>88.2</v>
      </c>
    </row>
    <row r="512" spans="1:10" x14ac:dyDescent="0.25">
      <c r="A512" t="s">
        <v>249</v>
      </c>
      <c r="B512" t="s">
        <v>145</v>
      </c>
      <c r="C512" t="s">
        <v>15</v>
      </c>
      <c r="D512" t="s">
        <v>107</v>
      </c>
      <c r="E512">
        <v>27016.6</v>
      </c>
      <c r="F512">
        <v>28068.423999999999</v>
      </c>
      <c r="G512">
        <v>96.252643183671438</v>
      </c>
      <c r="H512">
        <v>28059</v>
      </c>
      <c r="I512">
        <v>29106</v>
      </c>
      <c r="J512">
        <v>96.4</v>
      </c>
    </row>
    <row r="513" spans="1:10" x14ac:dyDescent="0.25">
      <c r="A513" t="s">
        <v>250</v>
      </c>
      <c r="B513" t="s">
        <v>145</v>
      </c>
      <c r="C513" t="s">
        <v>15</v>
      </c>
      <c r="D513" t="s">
        <v>107</v>
      </c>
      <c r="E513">
        <v>45795.180000000008</v>
      </c>
      <c r="F513">
        <v>48939.859000000004</v>
      </c>
      <c r="G513">
        <v>93.574401184931915</v>
      </c>
      <c r="H513">
        <v>22892</v>
      </c>
      <c r="I513">
        <v>24406</v>
      </c>
      <c r="J513">
        <v>93.8</v>
      </c>
    </row>
    <row r="514" spans="1:10" x14ac:dyDescent="0.25">
      <c r="A514" t="s">
        <v>251</v>
      </c>
      <c r="B514" t="s">
        <v>145</v>
      </c>
      <c r="C514" t="s">
        <v>15</v>
      </c>
      <c r="D514" t="s">
        <v>107</v>
      </c>
      <c r="E514">
        <v>165069.92000000001</v>
      </c>
      <c r="F514">
        <v>231981.992</v>
      </c>
      <c r="G514">
        <v>71.156350791228661</v>
      </c>
      <c r="H514">
        <v>128784</v>
      </c>
      <c r="I514">
        <v>183977</v>
      </c>
      <c r="J514">
        <v>70</v>
      </c>
    </row>
    <row r="515" spans="1:10" x14ac:dyDescent="0.25">
      <c r="A515" t="s">
        <v>252</v>
      </c>
      <c r="B515" t="s">
        <v>146</v>
      </c>
      <c r="C515" t="s">
        <v>15</v>
      </c>
      <c r="D515" t="s">
        <v>107</v>
      </c>
      <c r="E515">
        <v>1589387.1470000001</v>
      </c>
      <c r="F515">
        <v>2725681.7039999999</v>
      </c>
      <c r="G515">
        <v>58.311546233279486</v>
      </c>
      <c r="H515">
        <v>1555910</v>
      </c>
      <c r="I515">
        <v>2682603</v>
      </c>
      <c r="J515">
        <v>58</v>
      </c>
    </row>
    <row r="516" spans="1:10" x14ac:dyDescent="0.25">
      <c r="A516" t="s">
        <v>253</v>
      </c>
      <c r="B516" t="s">
        <v>146</v>
      </c>
      <c r="C516" t="s">
        <v>15</v>
      </c>
      <c r="D516" t="s">
        <v>107</v>
      </c>
      <c r="E516">
        <v>42577.67</v>
      </c>
      <c r="F516">
        <v>47662.451999999997</v>
      </c>
      <c r="G516">
        <v>89.331681886613808</v>
      </c>
      <c r="H516">
        <v>45949</v>
      </c>
      <c r="I516">
        <v>50428</v>
      </c>
      <c r="J516">
        <v>91.12</v>
      </c>
    </row>
    <row r="517" spans="1:10" x14ac:dyDescent="0.25">
      <c r="A517" t="s">
        <v>254</v>
      </c>
      <c r="B517" t="s">
        <v>146</v>
      </c>
      <c r="C517" t="s">
        <v>15</v>
      </c>
      <c r="D517" t="s">
        <v>107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277</v>
      </c>
      <c r="B518" t="s">
        <v>147</v>
      </c>
      <c r="C518" t="s">
        <v>15</v>
      </c>
      <c r="D518" t="s">
        <v>107</v>
      </c>
      <c r="E518">
        <v>1315821.5870000001</v>
      </c>
      <c r="F518">
        <v>2256394.4929999998</v>
      </c>
      <c r="G518">
        <v>58.315227726448818</v>
      </c>
      <c r="H518">
        <v>1368831</v>
      </c>
      <c r="I518">
        <v>2360053</v>
      </c>
      <c r="J518">
        <v>58</v>
      </c>
    </row>
    <row r="519" spans="1:10" x14ac:dyDescent="0.25">
      <c r="A519" t="s">
        <v>255</v>
      </c>
      <c r="B519" t="s">
        <v>148</v>
      </c>
      <c r="C519" t="s">
        <v>15</v>
      </c>
      <c r="D519" t="s">
        <v>107</v>
      </c>
      <c r="E519">
        <v>177119.772</v>
      </c>
      <c r="F519">
        <v>238272.57399999999</v>
      </c>
      <c r="G519">
        <v>74.334938774783197</v>
      </c>
      <c r="H519">
        <v>66862</v>
      </c>
      <c r="I519">
        <v>83198</v>
      </c>
      <c r="J519">
        <v>80.36</v>
      </c>
    </row>
    <row r="520" spans="1:10" x14ac:dyDescent="0.25">
      <c r="A520" t="s">
        <v>256</v>
      </c>
      <c r="B520" t="s">
        <v>148</v>
      </c>
      <c r="C520" t="s">
        <v>15</v>
      </c>
      <c r="D520" t="s">
        <v>107</v>
      </c>
      <c r="E520">
        <v>143131.69500000001</v>
      </c>
      <c r="F520">
        <v>158061.005</v>
      </c>
      <c r="G520">
        <v>90.554716515942687</v>
      </c>
      <c r="H520">
        <v>0</v>
      </c>
      <c r="I520">
        <v>0</v>
      </c>
      <c r="J520">
        <v>0</v>
      </c>
    </row>
    <row r="521" spans="1:10" x14ac:dyDescent="0.25">
      <c r="A521" t="s">
        <v>257</v>
      </c>
      <c r="B521" t="s">
        <v>148</v>
      </c>
      <c r="C521" t="s">
        <v>15</v>
      </c>
      <c r="D521" t="s">
        <v>107</v>
      </c>
      <c r="E521">
        <v>361680.35700000002</v>
      </c>
      <c r="F521">
        <v>417006.266</v>
      </c>
      <c r="G521">
        <v>86.732595284311628</v>
      </c>
      <c r="H521">
        <v>221201</v>
      </c>
      <c r="I521">
        <v>254371</v>
      </c>
      <c r="J521">
        <v>86.96</v>
      </c>
    </row>
    <row r="522" spans="1:10" x14ac:dyDescent="0.25">
      <c r="A522" t="s">
        <v>258</v>
      </c>
      <c r="B522" t="s">
        <v>148</v>
      </c>
      <c r="C522" t="s">
        <v>15</v>
      </c>
      <c r="D522" t="s">
        <v>107</v>
      </c>
      <c r="E522">
        <v>143814.33299999998</v>
      </c>
      <c r="F522">
        <v>150644.16200000001</v>
      </c>
      <c r="G522">
        <v>95.46625046113634</v>
      </c>
      <c r="H522">
        <v>253372</v>
      </c>
      <c r="I522">
        <v>265311</v>
      </c>
      <c r="J522">
        <v>95.5</v>
      </c>
    </row>
    <row r="523" spans="1:10" x14ac:dyDescent="0.25">
      <c r="A523" t="s">
        <v>259</v>
      </c>
      <c r="B523" t="s">
        <v>149</v>
      </c>
      <c r="C523" t="s">
        <v>15</v>
      </c>
      <c r="D523" t="s">
        <v>107</v>
      </c>
      <c r="E523">
        <v>422542</v>
      </c>
      <c r="F523">
        <v>696486</v>
      </c>
      <c r="G523">
        <v>60.667694684458837</v>
      </c>
      <c r="H523">
        <v>598576</v>
      </c>
      <c r="I523">
        <v>982698</v>
      </c>
      <c r="J523">
        <v>60.91</v>
      </c>
    </row>
    <row r="524" spans="1:10" x14ac:dyDescent="0.25">
      <c r="A524" t="s">
        <v>260</v>
      </c>
      <c r="B524" t="s">
        <v>149</v>
      </c>
      <c r="C524" t="s">
        <v>15</v>
      </c>
      <c r="D524" t="s">
        <v>107</v>
      </c>
      <c r="E524">
        <v>10258.902</v>
      </c>
      <c r="F524">
        <v>10817.506999999998</v>
      </c>
      <c r="G524">
        <v>94.83610225535331</v>
      </c>
      <c r="H524">
        <v>0</v>
      </c>
      <c r="I524">
        <v>0</v>
      </c>
      <c r="J524">
        <v>0</v>
      </c>
    </row>
    <row r="525" spans="1:10" x14ac:dyDescent="0.25">
      <c r="A525" t="s">
        <v>261</v>
      </c>
      <c r="B525" t="s">
        <v>149</v>
      </c>
      <c r="C525" t="s">
        <v>15</v>
      </c>
      <c r="D525" t="s">
        <v>107</v>
      </c>
      <c r="E525">
        <v>138387.27299999999</v>
      </c>
      <c r="F525">
        <v>158856.34</v>
      </c>
      <c r="G525">
        <v>87.114730831643229</v>
      </c>
      <c r="H525">
        <v>221201</v>
      </c>
      <c r="I525">
        <v>254371</v>
      </c>
      <c r="J525">
        <v>86.96</v>
      </c>
    </row>
    <row r="526" spans="1:10" x14ac:dyDescent="0.25">
      <c r="A526" t="s">
        <v>262</v>
      </c>
      <c r="B526" t="s">
        <v>149</v>
      </c>
      <c r="C526" t="s">
        <v>15</v>
      </c>
      <c r="D526" t="s">
        <v>107</v>
      </c>
      <c r="E526">
        <v>170159.986</v>
      </c>
      <c r="F526">
        <v>186750.77799999999</v>
      </c>
      <c r="G526">
        <v>91.116078777460302</v>
      </c>
      <c r="H526">
        <v>232212</v>
      </c>
      <c r="I526">
        <v>257099</v>
      </c>
      <c r="J526">
        <v>90.32</v>
      </c>
    </row>
    <row r="527" spans="1:10" x14ac:dyDescent="0.25">
      <c r="A527" t="s">
        <v>263</v>
      </c>
      <c r="B527" t="s">
        <v>149</v>
      </c>
      <c r="C527" t="s">
        <v>15</v>
      </c>
      <c r="D527" t="s">
        <v>107</v>
      </c>
      <c r="E527">
        <v>51513</v>
      </c>
      <c r="F527">
        <v>80153</v>
      </c>
      <c r="G527">
        <v>64.268336805858794</v>
      </c>
      <c r="H527">
        <v>0</v>
      </c>
      <c r="I527">
        <v>0</v>
      </c>
      <c r="J527">
        <v>0</v>
      </c>
    </row>
    <row r="528" spans="1:10" x14ac:dyDescent="0.25">
      <c r="A528" t="s">
        <v>264</v>
      </c>
      <c r="B528" t="s">
        <v>150</v>
      </c>
      <c r="C528" t="s">
        <v>15</v>
      </c>
      <c r="D528" t="s">
        <v>107</v>
      </c>
      <c r="E528">
        <v>602631.60899999994</v>
      </c>
      <c r="F528">
        <v>1034568.747</v>
      </c>
      <c r="G528">
        <v>58.249547045325535</v>
      </c>
      <c r="H528">
        <v>642578</v>
      </c>
      <c r="I528">
        <v>1098425</v>
      </c>
      <c r="J528">
        <v>58.5</v>
      </c>
    </row>
    <row r="529" spans="1:10" x14ac:dyDescent="0.25">
      <c r="A529" t="s">
        <v>265</v>
      </c>
      <c r="B529" t="s">
        <v>150</v>
      </c>
      <c r="C529" t="s">
        <v>15</v>
      </c>
      <c r="D529" t="s">
        <v>107</v>
      </c>
      <c r="E529">
        <v>233006.14300000001</v>
      </c>
      <c r="F529">
        <v>272487.83600000001</v>
      </c>
      <c r="G529">
        <v>85.510658538166822</v>
      </c>
      <c r="H529">
        <v>202985</v>
      </c>
      <c r="I529">
        <v>237409</v>
      </c>
      <c r="J529">
        <v>85.5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/>
  </sheetViews>
  <sheetFormatPr defaultColWidth="12.6328125" defaultRowHeight="15.75" customHeight="1" x14ac:dyDescent="0.25"/>
  <cols>
    <col min="1" max="1" width="35.453125" customWidth="1"/>
    <col min="2" max="3" width="34.26953125" customWidth="1"/>
  </cols>
  <sheetData>
    <row r="1" spans="1:3" ht="15.75" customHeight="1" x14ac:dyDescent="0.25">
      <c r="A1" s="1" t="s">
        <v>266</v>
      </c>
      <c r="B1" s="1" t="s">
        <v>267</v>
      </c>
      <c r="C1" s="1" t="s">
        <v>268</v>
      </c>
    </row>
    <row r="2" spans="1:3" ht="15.75" customHeight="1" x14ac:dyDescent="0.25">
      <c r="A2" s="138" t="e">
        <f>ROUNDUP(MAX(#REF!),2)</f>
        <v>#REF!</v>
      </c>
      <c r="B2" s="138" t="e">
        <f>MAX(#REF!)</f>
        <v>#REF!</v>
      </c>
      <c r="C2" s="138" t="e">
        <f>MAX(#REF!)</f>
        <v>#REF!</v>
      </c>
    </row>
    <row r="3" spans="1:3" ht="15.75" customHeight="1" x14ac:dyDescent="0.25">
      <c r="A3" s="138" t="e">
        <f t="shared" ref="A3:C3" si="0">IF(A2=0,"", MAX(0, A2 - 1))</f>
        <v>#REF!</v>
      </c>
      <c r="B3" s="138" t="e">
        <f t="shared" si="0"/>
        <v>#REF!</v>
      </c>
      <c r="C3" s="138" t="e">
        <f t="shared" si="0"/>
        <v>#REF!</v>
      </c>
    </row>
    <row r="4" spans="1:3" ht="15.75" customHeight="1" x14ac:dyDescent="0.25">
      <c r="A4" s="138" t="e">
        <f t="shared" ref="A4:C4" si="1">IF(A3=0,"", MAX(0, A3 - 1))</f>
        <v>#REF!</v>
      </c>
      <c r="B4" s="138" t="e">
        <f t="shared" si="1"/>
        <v>#REF!</v>
      </c>
      <c r="C4" s="138" t="e">
        <f t="shared" si="1"/>
        <v>#REF!</v>
      </c>
    </row>
    <row r="5" spans="1:3" ht="15.75" customHeight="1" x14ac:dyDescent="0.25">
      <c r="A5" s="138" t="e">
        <f t="shared" ref="A5:C5" si="2">IF(A4=0,"", MAX(0, A4 - 1))</f>
        <v>#REF!</v>
      </c>
      <c r="B5" s="138" t="e">
        <f t="shared" si="2"/>
        <v>#REF!</v>
      </c>
      <c r="C5" s="138" t="e">
        <f t="shared" si="2"/>
        <v>#REF!</v>
      </c>
    </row>
    <row r="6" spans="1:3" ht="15.75" customHeight="1" x14ac:dyDescent="0.25">
      <c r="A6" s="138" t="e">
        <f t="shared" ref="A6:C6" si="3">IF(A5=0,"", MAX(0, A5 - 1))</f>
        <v>#REF!</v>
      </c>
      <c r="B6" s="138" t="e">
        <f t="shared" si="3"/>
        <v>#REF!</v>
      </c>
      <c r="C6" s="138" t="e">
        <f t="shared" si="3"/>
        <v>#REF!</v>
      </c>
    </row>
    <row r="7" spans="1:3" ht="15.75" customHeight="1" x14ac:dyDescent="0.25">
      <c r="A7" s="138" t="e">
        <f t="shared" ref="A7:C7" si="4">IF(A6=0,"", MAX(0, A6 - 1))</f>
        <v>#REF!</v>
      </c>
      <c r="B7" s="138" t="e">
        <f t="shared" si="4"/>
        <v>#REF!</v>
      </c>
      <c r="C7" s="138" t="e">
        <f t="shared" si="4"/>
        <v>#REF!</v>
      </c>
    </row>
    <row r="8" spans="1:3" ht="15.75" customHeight="1" x14ac:dyDescent="0.25">
      <c r="A8" s="138" t="e">
        <f t="shared" ref="A8:C8" si="5">IF(A7=0,"", MAX(0, A7 - 1))</f>
        <v>#REF!</v>
      </c>
      <c r="B8" s="138" t="e">
        <f t="shared" si="5"/>
        <v>#REF!</v>
      </c>
      <c r="C8" s="138" t="e">
        <f t="shared" si="5"/>
        <v>#REF!</v>
      </c>
    </row>
    <row r="9" spans="1:3" ht="15.75" customHeight="1" x14ac:dyDescent="0.25">
      <c r="A9" s="138" t="e">
        <f t="shared" ref="A9:C9" si="6">IF(A8=0,"", MAX(0, A8 - 1))</f>
        <v>#REF!</v>
      </c>
      <c r="B9" s="138" t="e">
        <f t="shared" si="6"/>
        <v>#REF!</v>
      </c>
      <c r="C9" s="138" t="e">
        <f t="shared" si="6"/>
        <v>#REF!</v>
      </c>
    </row>
    <row r="10" spans="1:3" ht="15.75" customHeight="1" x14ac:dyDescent="0.25">
      <c r="A10" s="138" t="e">
        <f t="shared" ref="A10:C10" si="7">IF(A9=0,"", MAX(0, A9 - 1))</f>
        <v>#REF!</v>
      </c>
      <c r="B10" s="138" t="e">
        <f t="shared" si="7"/>
        <v>#REF!</v>
      </c>
      <c r="C10" s="138" t="e">
        <f t="shared" si="7"/>
        <v>#REF!</v>
      </c>
    </row>
    <row r="11" spans="1:3" ht="15.75" customHeight="1" x14ac:dyDescent="0.25">
      <c r="A11" s="138" t="e">
        <f t="shared" ref="A11:C11" si="8">IF(A10=0,"", MAX(0, A10 - 1))</f>
        <v>#REF!</v>
      </c>
      <c r="B11" s="138" t="e">
        <f t="shared" si="8"/>
        <v>#REF!</v>
      </c>
      <c r="C11" s="138" t="e">
        <f t="shared" si="8"/>
        <v>#REF!</v>
      </c>
    </row>
    <row r="12" spans="1:3" ht="15.75" customHeight="1" x14ac:dyDescent="0.25">
      <c r="A12" s="138" t="e">
        <f t="shared" ref="A12:C12" si="9">IF(A11=0,"", MAX(0, A11 - 1))</f>
        <v>#REF!</v>
      </c>
      <c r="B12" s="138" t="e">
        <f t="shared" si="9"/>
        <v>#REF!</v>
      </c>
      <c r="C12" s="138" t="e">
        <f t="shared" si="9"/>
        <v>#REF!</v>
      </c>
    </row>
    <row r="13" spans="1:3" ht="15.75" customHeight="1" x14ac:dyDescent="0.25">
      <c r="A13" s="138" t="e">
        <f t="shared" ref="A13:C13" si="10">IF(A12=0,"", MAX(0, A12 - 1))</f>
        <v>#REF!</v>
      </c>
      <c r="B13" s="138" t="e">
        <f t="shared" si="10"/>
        <v>#REF!</v>
      </c>
      <c r="C13" s="138" t="e">
        <f t="shared" si="10"/>
        <v>#REF!</v>
      </c>
    </row>
    <row r="14" spans="1:3" ht="15.75" customHeight="1" x14ac:dyDescent="0.25">
      <c r="A14" s="138" t="e">
        <f t="shared" ref="A14:C14" si="11">IF(A13=0,"", MAX(0, A13 - 1))</f>
        <v>#REF!</v>
      </c>
      <c r="B14" s="138" t="e">
        <f t="shared" si="11"/>
        <v>#REF!</v>
      </c>
      <c r="C14" s="138" t="e">
        <f t="shared" si="11"/>
        <v>#REF!</v>
      </c>
    </row>
    <row r="15" spans="1:3" ht="15.75" customHeight="1" x14ac:dyDescent="0.25">
      <c r="A15" s="138" t="e">
        <f t="shared" ref="A15:C15" si="12">IF(A14=0,"", MAX(0, A14 - 1))</f>
        <v>#REF!</v>
      </c>
      <c r="B15" s="138" t="e">
        <f t="shared" si="12"/>
        <v>#REF!</v>
      </c>
      <c r="C15" s="138" t="e">
        <f t="shared" si="12"/>
        <v>#REF!</v>
      </c>
    </row>
    <row r="16" spans="1:3" ht="15.75" customHeight="1" x14ac:dyDescent="0.25">
      <c r="A16" s="138" t="e">
        <f t="shared" ref="A16:C16" si="13">IF(A15=0,"", MAX(0, A15 - 1))</f>
        <v>#REF!</v>
      </c>
      <c r="B16" s="138" t="e">
        <f t="shared" si="13"/>
        <v>#REF!</v>
      </c>
      <c r="C16" s="138" t="e">
        <f t="shared" si="13"/>
        <v>#REF!</v>
      </c>
    </row>
    <row r="17" spans="1:3" ht="15.75" customHeight="1" x14ac:dyDescent="0.25">
      <c r="A17" s="138" t="e">
        <f t="shared" ref="A17:C17" si="14">IF(A16=0,"", MAX(0, A16 - 1))</f>
        <v>#REF!</v>
      </c>
      <c r="B17" s="138" t="e">
        <f t="shared" si="14"/>
        <v>#REF!</v>
      </c>
      <c r="C17" s="138" t="e">
        <f t="shared" si="14"/>
        <v>#REF!</v>
      </c>
    </row>
    <row r="18" spans="1:3" ht="15.75" customHeight="1" x14ac:dyDescent="0.25">
      <c r="A18" s="138" t="e">
        <f t="shared" ref="A18:C18" si="15">IF(A17=0,"", MAX(0, A17 - 1))</f>
        <v>#REF!</v>
      </c>
      <c r="B18" s="138" t="e">
        <f t="shared" si="15"/>
        <v>#REF!</v>
      </c>
      <c r="C18" s="138" t="e">
        <f t="shared" si="15"/>
        <v>#REF!</v>
      </c>
    </row>
    <row r="19" spans="1:3" ht="15.75" customHeight="1" x14ac:dyDescent="0.25">
      <c r="A19" s="138" t="e">
        <f t="shared" ref="A19:C19" si="16">IF(A18=0,"", MAX(0, A18 - 1))</f>
        <v>#REF!</v>
      </c>
      <c r="B19" s="138" t="e">
        <f t="shared" si="16"/>
        <v>#REF!</v>
      </c>
      <c r="C19" s="138" t="e">
        <f t="shared" si="16"/>
        <v>#REF!</v>
      </c>
    </row>
    <row r="20" spans="1:3" ht="15.75" customHeight="1" x14ac:dyDescent="0.25">
      <c r="A20" s="138" t="e">
        <f t="shared" ref="A20:C20" si="17">IF(A19=0,"", MAX(0, A19 - 1))</f>
        <v>#REF!</v>
      </c>
      <c r="B20" s="138" t="e">
        <f t="shared" si="17"/>
        <v>#REF!</v>
      </c>
      <c r="C20" s="138" t="e">
        <f t="shared" si="17"/>
        <v>#REF!</v>
      </c>
    </row>
    <row r="21" spans="1:3" ht="15.75" customHeight="1" x14ac:dyDescent="0.25">
      <c r="A21" s="138" t="e">
        <f t="shared" ref="A21:C21" si="18">IF(A20=0,"", MAX(0, A20 - 1))</f>
        <v>#REF!</v>
      </c>
      <c r="B21" s="138" t="e">
        <f t="shared" si="18"/>
        <v>#REF!</v>
      </c>
      <c r="C21" s="138" t="e">
        <f t="shared" si="18"/>
        <v>#REF!</v>
      </c>
    </row>
    <row r="22" spans="1:3" ht="12.5" x14ac:dyDescent="0.25">
      <c r="A22" s="138" t="e">
        <f t="shared" ref="A22:C22" si="19">IF(A21=0,"", MAX(0, A21 - 1))</f>
        <v>#REF!</v>
      </c>
      <c r="B22" s="138" t="e">
        <f t="shared" si="19"/>
        <v>#REF!</v>
      </c>
      <c r="C22" s="138" t="e">
        <f t="shared" si="19"/>
        <v>#REF!</v>
      </c>
    </row>
    <row r="23" spans="1:3" ht="12.5" x14ac:dyDescent="0.25">
      <c r="A23" s="138" t="e">
        <f t="shared" ref="A23:C23" si="20">IF(A22=0,"", MAX(0, A22 - 1))</f>
        <v>#REF!</v>
      </c>
      <c r="B23" s="138" t="e">
        <f t="shared" si="20"/>
        <v>#REF!</v>
      </c>
      <c r="C23" s="138" t="e">
        <f t="shared" si="20"/>
        <v>#REF!</v>
      </c>
    </row>
    <row r="24" spans="1:3" ht="12.5" x14ac:dyDescent="0.25">
      <c r="A24" s="138" t="e">
        <f t="shared" ref="A24:C24" si="21">IF(A23=0,"", MAX(0, A23 - 1))</f>
        <v>#REF!</v>
      </c>
      <c r="B24" s="138" t="e">
        <f t="shared" si="21"/>
        <v>#REF!</v>
      </c>
      <c r="C24" s="138" t="e">
        <f t="shared" si="21"/>
        <v>#REF!</v>
      </c>
    </row>
    <row r="25" spans="1:3" ht="12.5" x14ac:dyDescent="0.25">
      <c r="A25" s="138" t="e">
        <f t="shared" ref="A25:C25" si="22">IF(A24=0,"", MAX(0, A24 - 1))</f>
        <v>#REF!</v>
      </c>
      <c r="B25" s="138" t="e">
        <f t="shared" si="22"/>
        <v>#REF!</v>
      </c>
      <c r="C25" s="138" t="e">
        <f t="shared" si="22"/>
        <v>#REF!</v>
      </c>
    </row>
    <row r="26" spans="1:3" ht="12.5" x14ac:dyDescent="0.25">
      <c r="A26" s="138" t="e">
        <f t="shared" ref="A26:C26" si="23">IF(A25=0,"", MAX(0, A25 - 1))</f>
        <v>#REF!</v>
      </c>
      <c r="B26" s="138" t="e">
        <f t="shared" si="23"/>
        <v>#REF!</v>
      </c>
      <c r="C26" s="138" t="e">
        <f t="shared" si="23"/>
        <v>#REF!</v>
      </c>
    </row>
    <row r="27" spans="1:3" ht="12.5" x14ac:dyDescent="0.25">
      <c r="A27" s="138" t="e">
        <f t="shared" ref="A27:C27" si="24">IF(A26=0,"", MAX(0, A26 - 1))</f>
        <v>#REF!</v>
      </c>
      <c r="B27" s="138" t="e">
        <f t="shared" si="24"/>
        <v>#REF!</v>
      </c>
      <c r="C27" s="138" t="e">
        <f t="shared" si="24"/>
        <v>#REF!</v>
      </c>
    </row>
    <row r="28" spans="1:3" ht="12.5" x14ac:dyDescent="0.25">
      <c r="A28" s="138" t="e">
        <f t="shared" ref="A28:C28" si="25">IF(A27=0,"", MAX(0, A27 - 1))</f>
        <v>#REF!</v>
      </c>
      <c r="B28" s="138" t="e">
        <f t="shared" si="25"/>
        <v>#REF!</v>
      </c>
      <c r="C28" s="138" t="e">
        <f t="shared" si="25"/>
        <v>#REF!</v>
      </c>
    </row>
    <row r="29" spans="1:3" ht="12.5" x14ac:dyDescent="0.25">
      <c r="A29" s="138" t="e">
        <f t="shared" ref="A29:C29" si="26">IF(A28=0,"", MAX(0, A28 - 1))</f>
        <v>#REF!</v>
      </c>
      <c r="B29" s="138" t="e">
        <f t="shared" si="26"/>
        <v>#REF!</v>
      </c>
      <c r="C29" s="138" t="e">
        <f t="shared" si="26"/>
        <v>#REF!</v>
      </c>
    </row>
    <row r="30" spans="1:3" ht="12.5" x14ac:dyDescent="0.25">
      <c r="A30" s="138" t="e">
        <f t="shared" ref="A30:C30" si="27">IF(A29=0,"", MAX(0, A29 - 1))</f>
        <v>#REF!</v>
      </c>
      <c r="B30" s="138" t="e">
        <f t="shared" si="27"/>
        <v>#REF!</v>
      </c>
      <c r="C30" s="138" t="e">
        <f t="shared" si="27"/>
        <v>#REF!</v>
      </c>
    </row>
    <row r="31" spans="1:3" ht="12.5" x14ac:dyDescent="0.25">
      <c r="A31" s="138" t="e">
        <f t="shared" ref="A31:C31" si="28">IF(A30=0,"", MAX(0, A30 - 1))</f>
        <v>#REF!</v>
      </c>
      <c r="B31" s="138" t="e">
        <f t="shared" si="28"/>
        <v>#REF!</v>
      </c>
      <c r="C31" s="138" t="e">
        <f t="shared" si="28"/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21"/>
  <sheetViews>
    <sheetView workbookViewId="0"/>
  </sheetViews>
  <sheetFormatPr defaultColWidth="12.6328125" defaultRowHeight="15.75" customHeight="1" x14ac:dyDescent="0.25"/>
  <cols>
    <col min="2" max="5" width="13.6328125" customWidth="1"/>
    <col min="6" max="7" width="13.6328125" hidden="1" customWidth="1"/>
    <col min="8" max="12" width="12.6328125" hidden="1"/>
  </cols>
  <sheetData>
    <row r="1" spans="1:26" ht="15.75" customHeight="1" x14ac:dyDescent="0.25">
      <c r="A1" s="1" t="s">
        <v>102</v>
      </c>
      <c r="B1" s="1" t="s">
        <v>8</v>
      </c>
    </row>
    <row r="3" spans="1:26" ht="15.75" customHeight="1" x14ac:dyDescent="0.25">
      <c r="A3" s="195" t="s">
        <v>106</v>
      </c>
      <c r="B3" s="221" t="s">
        <v>269</v>
      </c>
      <c r="C3" s="216"/>
      <c r="D3" s="216"/>
      <c r="E3" s="197" t="s">
        <v>270</v>
      </c>
      <c r="F3" s="221" t="s">
        <v>271</v>
      </c>
      <c r="G3" s="216"/>
      <c r="H3" s="216"/>
      <c r="I3" s="216"/>
    </row>
    <row r="4" spans="1:26" ht="15.75" customHeight="1" x14ac:dyDescent="0.25">
      <c r="A4" s="198" t="s">
        <v>144</v>
      </c>
      <c r="B4" s="196" t="s">
        <v>0</v>
      </c>
      <c r="C4" s="196" t="s">
        <v>272</v>
      </c>
      <c r="D4" s="196" t="s">
        <v>273</v>
      </c>
      <c r="E4" s="196" t="s">
        <v>274</v>
      </c>
      <c r="F4" s="196" t="s">
        <v>0</v>
      </c>
      <c r="G4" s="196" t="s">
        <v>272</v>
      </c>
      <c r="H4" s="196" t="s">
        <v>273</v>
      </c>
      <c r="I4" s="197" t="s">
        <v>275</v>
      </c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spans="1:26" ht="15.75" customHeight="1" x14ac:dyDescent="0.25">
      <c r="A5" s="1" t="s">
        <v>145</v>
      </c>
      <c r="B5" s="128" t="e">
        <f>HLOOKUP($B$1,'CF Monitor Dashboard'!$B$2:$M$61,2,)</f>
        <v>#REF!</v>
      </c>
      <c r="C5" s="138">
        <f>HLOOKUP($B$1,'STEC TSR'!$B$32:$M$39,2,)</f>
        <v>3370</v>
      </c>
      <c r="D5" s="109">
        <f>HLOOKUP($B$1,'STEC TSR'!$B$42:$M$49,2,)</f>
        <v>17.940000000000001</v>
      </c>
      <c r="E5" s="131" t="e">
        <f>HLOOKUP($B$1,'CO2 Estimate'!$B$32:$M$39,2,)</f>
        <v>#REF!</v>
      </c>
      <c r="F5" s="128" t="str">
        <f>'CF Monitor Dashboard'!Y3</f>
        <v/>
      </c>
      <c r="G5" s="138">
        <f>HLOOKUP($B$1,'STEC TSR'!$B$32:$M$39,2,)</f>
        <v>3370</v>
      </c>
      <c r="H5" s="109">
        <f>HLOOKUP($B$1,'STEC TSR'!$B$42:$M$49,2,)</f>
        <v>17.940000000000001</v>
      </c>
      <c r="I5" s="138" t="e">
        <f>(F5/100*'CO2 Estimate'!$B$1*1000)+(G5*'CO2 Estimate'!$B$11*(1-H5/100)*F5/100)</f>
        <v>#VALUE!</v>
      </c>
      <c r="J5" s="138"/>
    </row>
    <row r="6" spans="1:26" ht="15.75" customHeight="1" x14ac:dyDescent="0.25">
      <c r="A6" s="1" t="s">
        <v>146</v>
      </c>
      <c r="B6" s="128" t="e">
        <f>HLOOKUP($B$1,'CF Monitor Dashboard'!$B$2:$M$61,10,)</f>
        <v>#REF!</v>
      </c>
      <c r="C6" s="138">
        <f>HLOOKUP($B$1,'STEC TSR'!$B$32:$M$39,3,)</f>
        <v>3403</v>
      </c>
      <c r="D6" s="109">
        <f>HLOOKUP($B$1,'STEC TSR'!$B$42:$M$49,3,)</f>
        <v>20.39</v>
      </c>
      <c r="E6" s="131" t="e">
        <f>HLOOKUP($B$1,'CO2 Estimate'!$B$32:$M$39,3,)</f>
        <v>#REF!</v>
      </c>
      <c r="F6" s="128" t="str">
        <f>'CF Monitor Dashboard'!Y11</f>
        <v/>
      </c>
      <c r="G6" s="138">
        <f>HLOOKUP($B$1,'STEC TSR'!$B$32:$M$39,3,)</f>
        <v>3403</v>
      </c>
      <c r="H6" s="109">
        <f>HLOOKUP($B$1,'STEC TSR'!$B$42:$M$49,3,)</f>
        <v>20.39</v>
      </c>
      <c r="I6" s="138" t="e">
        <f>(F6/100*'CO2 Estimate'!$B$1*1000)+(G6*'CO2 Estimate'!$B$11*(1-H6/100)*F6/100)</f>
        <v>#VALUE!</v>
      </c>
    </row>
    <row r="7" spans="1:26" ht="15.75" customHeight="1" x14ac:dyDescent="0.25">
      <c r="A7" s="1" t="s">
        <v>147</v>
      </c>
      <c r="B7" s="128" t="e">
        <f>HLOOKUP($B$1,'CF Monitor Dashboard'!$B$2:$M$61,14,)</f>
        <v>#REF!</v>
      </c>
      <c r="C7" s="138">
        <f>HLOOKUP($B$1,'STEC TSR'!$B$32:$M$39,4,)</f>
        <v>3517</v>
      </c>
      <c r="D7" s="109">
        <f>HLOOKUP($B$1,'STEC TSR'!$B$42:$M$49,4,)</f>
        <v>17.010000000000002</v>
      </c>
      <c r="E7" s="131" t="e">
        <f>HLOOKUP($B$1,'CO2 Estimate'!$B$32:$M$39,4,)</f>
        <v>#REF!</v>
      </c>
      <c r="F7" s="128" t="str">
        <f>'CF Monitor Dashboard'!Y15</f>
        <v/>
      </c>
      <c r="G7" s="138">
        <f>HLOOKUP($B$1,'STEC TSR'!$B$32:$M$39,4,)</f>
        <v>3517</v>
      </c>
      <c r="H7" s="109">
        <f>HLOOKUP($B$1,'STEC TSR'!$B$42:$M$49,4,)</f>
        <v>17.010000000000002</v>
      </c>
      <c r="I7" s="138" t="e">
        <f>(F7/100*'CO2 Estimate'!$B$1*1000)+(G7*'CO2 Estimate'!$B$11*(1-H7/100)*F7/100)</f>
        <v>#VALUE!</v>
      </c>
    </row>
    <row r="8" spans="1:26" ht="15.75" customHeight="1" x14ac:dyDescent="0.25">
      <c r="A8" s="1" t="s">
        <v>148</v>
      </c>
      <c r="B8" s="128" t="e">
        <f>HLOOKUP($B$1,'CF Monitor Dashboard'!$B$2:$M$61,15,)</f>
        <v>#REF!</v>
      </c>
      <c r="C8" s="138">
        <f>HLOOKUP($B$1,'STEC TSR'!$B$32:$M$39,5,)</f>
        <v>3269</v>
      </c>
      <c r="D8" s="109">
        <f>HLOOKUP($B$1,'STEC TSR'!$B$42:$M$49,5,)</f>
        <v>7.57</v>
      </c>
      <c r="E8" s="131" t="e">
        <f>HLOOKUP($B$1,'CO2 Estimate'!$B$32:$M$39,5,)</f>
        <v>#REF!</v>
      </c>
      <c r="F8" s="128" t="str">
        <f>'CF Monitor Dashboard'!Y16</f>
        <v/>
      </c>
      <c r="G8" s="138">
        <f>HLOOKUP($B$1,'STEC TSR'!$B$32:$M$39,5,)</f>
        <v>3269</v>
      </c>
      <c r="H8" s="109">
        <f>HLOOKUP($B$1,'STEC TSR'!$B$42:$M$49,5,)</f>
        <v>7.57</v>
      </c>
      <c r="I8" s="138" t="e">
        <f>(F8/100*'CO2 Estimate'!$B$1*1000)+(G8*'CO2 Estimate'!$B$11*(1-H8/100)*F8/100)</f>
        <v>#VALUE!</v>
      </c>
    </row>
    <row r="9" spans="1:26" ht="15.75" customHeight="1" x14ac:dyDescent="0.25">
      <c r="A9" s="1" t="s">
        <v>149</v>
      </c>
      <c r="B9" s="128" t="e">
        <f>HLOOKUP($B$1,'CF Monitor Dashboard'!$B$2:$M$61,20,)</f>
        <v>#REF!</v>
      </c>
      <c r="C9" s="138">
        <f>HLOOKUP($B$1,'STEC TSR'!$B$32:$M$39,6,)</f>
        <v>3302</v>
      </c>
      <c r="D9" s="109">
        <f>HLOOKUP($B$1,'STEC TSR'!$B$42:$M$49,6,)</f>
        <v>8.2899999999999991</v>
      </c>
      <c r="E9" s="131" t="e">
        <f>HLOOKUP($B$1,'CO2 Estimate'!$B$32:$M$39,6,)</f>
        <v>#REF!</v>
      </c>
      <c r="F9" s="128" t="str">
        <f>'CF Monitor Dashboard'!Y21</f>
        <v/>
      </c>
      <c r="G9" s="138">
        <f>HLOOKUP($B$1,'STEC TSR'!$B$32:$M$39,6,)</f>
        <v>3302</v>
      </c>
      <c r="H9" s="109">
        <f>HLOOKUP($B$1,'STEC TSR'!$B$42:$M$49,6,)</f>
        <v>8.2899999999999991</v>
      </c>
      <c r="I9" s="138" t="e">
        <f>(F9/100*'CO2 Estimate'!$B$1*1000)+(G9*'CO2 Estimate'!$B$11*(1-H9/100)*F9/100)</f>
        <v>#VALUE!</v>
      </c>
    </row>
    <row r="10" spans="1:26" ht="15.75" customHeight="1" x14ac:dyDescent="0.25">
      <c r="A10" s="1" t="s">
        <v>150</v>
      </c>
      <c r="B10" s="128" t="e">
        <f>HLOOKUP($B$1,'CF Monitor Dashboard'!$B$2:$M$61,26,)</f>
        <v>#REF!</v>
      </c>
      <c r="C10" s="138">
        <f>HLOOKUP($B$1,'STEC TSR'!$B$32:$M$39,7,)</f>
        <v>3809</v>
      </c>
      <c r="D10" s="109">
        <f>HLOOKUP($B$1,'STEC TSR'!$B$42:$M$49,7,)</f>
        <v>8.6300000000000008</v>
      </c>
      <c r="E10" s="131" t="e">
        <f>HLOOKUP($B$1,'CO2 Estimate'!$B$32:$M$39,7,)</f>
        <v>#REF!</v>
      </c>
      <c r="F10" s="128" t="str">
        <f>'CF Monitor Dashboard'!Y27</f>
        <v/>
      </c>
      <c r="G10" s="138">
        <f>HLOOKUP($B$1,'STEC TSR'!$B$32:$M$39,7,)</f>
        <v>3809</v>
      </c>
      <c r="H10" s="109">
        <f>HLOOKUP($B$1,'STEC TSR'!$B$42:$M$49,7,)</f>
        <v>8.6300000000000008</v>
      </c>
      <c r="I10" s="138" t="e">
        <f>(F10/100*'CO2 Estimate'!$B$1*1000)+(G10*'CO2 Estimate'!$B$11*(1-H10/100)*F10/100)</f>
        <v>#VALUE!</v>
      </c>
    </row>
    <row r="11" spans="1:26" ht="15.75" customHeight="1" x14ac:dyDescent="0.25">
      <c r="A11" s="1" t="s">
        <v>151</v>
      </c>
      <c r="B11" s="128" t="e">
        <f>HLOOKUP($B$1,'CF Monitor Dashboard'!$B$2:$M$61,29,)</f>
        <v>#REF!</v>
      </c>
      <c r="C11" s="138">
        <f>HLOOKUP($B$1,'STEC TSR'!$B$32:$M$39,8,)</f>
        <v>3408</v>
      </c>
      <c r="D11" s="109">
        <f>HLOOKUP($B$1,'STEC TSR'!$B$42:$M$49,8,)</f>
        <v>15.33</v>
      </c>
      <c r="E11" s="131" t="e">
        <f>HLOOKUP($B$1,'CO2 Estimate'!$B$32:$M$39,8,)</f>
        <v>#REF!</v>
      </c>
      <c r="F11" s="128" t="str">
        <f>'CF Monitor Dashboard'!Y31</f>
        <v/>
      </c>
      <c r="G11" s="138">
        <f>HLOOKUP($B$1,'STEC TSR'!$B$32:$M$39,8,)</f>
        <v>3408</v>
      </c>
      <c r="H11" s="109">
        <f>HLOOKUP($B$1,'STEC TSR'!$B$42:$M$49,8,)</f>
        <v>15.33</v>
      </c>
      <c r="I11" s="138" t="e">
        <f>(F11/100*'CO2 Estimate'!$B$1*1000)+(G11*'CO2 Estimate'!$B$11*(1-H11/100)*F11/100)</f>
        <v>#VALUE!</v>
      </c>
      <c r="J11" s="128" t="e">
        <f>F11-B11</f>
        <v>#VALUE!</v>
      </c>
      <c r="K11" s="138" t="e">
        <f>I11-E11</f>
        <v>#VALUE!</v>
      </c>
      <c r="L11" s="131" t="e">
        <f>K11/J11</f>
        <v>#VALUE!</v>
      </c>
    </row>
    <row r="13" spans="1:26" ht="15.75" customHeight="1" x14ac:dyDescent="0.25">
      <c r="A13" s="195" t="s">
        <v>107</v>
      </c>
      <c r="B13" s="221" t="s">
        <v>269</v>
      </c>
      <c r="C13" s="216"/>
      <c r="D13" s="216"/>
      <c r="E13" s="197" t="s">
        <v>270</v>
      </c>
      <c r="F13" s="221" t="s">
        <v>276</v>
      </c>
      <c r="G13" s="216"/>
      <c r="H13" s="216"/>
      <c r="I13" s="216"/>
    </row>
    <row r="14" spans="1:26" ht="15.75" customHeight="1" x14ac:dyDescent="0.25">
      <c r="A14" s="198" t="s">
        <v>144</v>
      </c>
      <c r="B14" s="196" t="s">
        <v>0</v>
      </c>
      <c r="C14" s="196" t="s">
        <v>272</v>
      </c>
      <c r="D14" s="196" t="s">
        <v>273</v>
      </c>
      <c r="E14" s="196" t="s">
        <v>274</v>
      </c>
      <c r="F14" s="196" t="s">
        <v>0</v>
      </c>
      <c r="G14" s="196" t="s">
        <v>272</v>
      </c>
      <c r="H14" s="196" t="s">
        <v>273</v>
      </c>
      <c r="I14" s="197" t="s">
        <v>275</v>
      </c>
    </row>
    <row r="15" spans="1:26" ht="15.75" customHeight="1" x14ac:dyDescent="0.25">
      <c r="A15" s="1" t="s">
        <v>145</v>
      </c>
      <c r="B15" s="128" t="e">
        <f>HLOOKUP($B$1,'CF Monitor Dashboard'!$B$2:$M$61,33,)</f>
        <v>#REF!</v>
      </c>
      <c r="C15" s="138">
        <f>HLOOKUP($B$1,'STEC TSR'!$O$32:$Z$39,2,)</f>
        <v>3380</v>
      </c>
      <c r="D15" s="109">
        <f>HLOOKUP($B$1,'STEC TSR'!$O$42:$Z$49,2,)</f>
        <v>15.79</v>
      </c>
      <c r="E15" s="131" t="e">
        <f>HLOOKUP($B$1,'CO2 Estimate'!$Q$32:$AB$39,2,)</f>
        <v>#REF!</v>
      </c>
      <c r="F15" s="128" t="str">
        <f>'CF Monitor Dashboard'!Y34</f>
        <v/>
      </c>
      <c r="G15" s="138">
        <f>HLOOKUP($B$1,'STEC TSR'!$O$32:$Z$39,2,)</f>
        <v>3380</v>
      </c>
      <c r="H15" s="109">
        <f>HLOOKUP($B$1,'STEC TSR'!$O$42:$Z$49,2,)</f>
        <v>15.79</v>
      </c>
      <c r="I15" s="138" t="e">
        <f>(F15/100*'CO2 Estimate'!$B$1*1000)+(G15*'CO2 Estimate'!$B$11*(1-H15/100)*F15/100)</f>
        <v>#VALUE!</v>
      </c>
    </row>
    <row r="16" spans="1:26" ht="15.75" customHeight="1" x14ac:dyDescent="0.25">
      <c r="A16" s="1" t="s">
        <v>146</v>
      </c>
      <c r="B16" s="128" t="e">
        <f>HLOOKUP($B$1,'CF Monitor Dashboard'!$B$2:$M$61,41,)</f>
        <v>#REF!</v>
      </c>
      <c r="C16" s="138">
        <f>HLOOKUP($B$1,'STEC TSR'!$O$32:$Z$39,3,)</f>
        <v>3383</v>
      </c>
      <c r="D16" s="109">
        <f>HLOOKUP($B$1,'STEC TSR'!$O$42:$Z$49,3,)</f>
        <v>20.350000000000001</v>
      </c>
      <c r="E16" s="131" t="e">
        <f>HLOOKUP($B$1,'CO2 Estimate'!$Q$32:$AB$39,3,)</f>
        <v>#REF!</v>
      </c>
      <c r="F16" s="128" t="str">
        <f>'CF Monitor Dashboard'!Y42</f>
        <v/>
      </c>
      <c r="G16" s="138">
        <f>HLOOKUP($B$1,'STEC TSR'!$O$32:$Z$39,3,)</f>
        <v>3383</v>
      </c>
      <c r="H16" s="109">
        <f>HLOOKUP($B$1,'STEC TSR'!$O$42:$Z$49,3,)</f>
        <v>20.350000000000001</v>
      </c>
      <c r="I16" s="138" t="e">
        <f>(F16/100*'CO2 Estimate'!$B$1*1000)+(G16*'CO2 Estimate'!$B$11*(1-H16/100)*F16/100)</f>
        <v>#VALUE!</v>
      </c>
    </row>
    <row r="17" spans="1:12" ht="15.75" customHeight="1" x14ac:dyDescent="0.25">
      <c r="A17" s="1" t="s">
        <v>147</v>
      </c>
      <c r="B17" s="128" t="e">
        <f>HLOOKUP($B$1,'CF Monitor Dashboard'!$B$2:$M$61,45,)</f>
        <v>#REF!</v>
      </c>
      <c r="C17" s="138">
        <f>HLOOKUP($B$1,'STEC TSR'!$O$32:$Z$39,4,)</f>
        <v>3434</v>
      </c>
      <c r="D17" s="109">
        <f>HLOOKUP($B$1,'STEC TSR'!$O$42:$Z$49,4,)</f>
        <v>15.53</v>
      </c>
      <c r="E17" s="131" t="e">
        <f>HLOOKUP($B$1,'CO2 Estimate'!$Q$32:$AB$39,4,)</f>
        <v>#REF!</v>
      </c>
      <c r="F17" s="128" t="str">
        <f>'CF Monitor Dashboard'!Y46</f>
        <v/>
      </c>
      <c r="G17" s="138">
        <f>HLOOKUP($B$1,'STEC TSR'!$O$32:$Z$39,4,)</f>
        <v>3434</v>
      </c>
      <c r="H17" s="109">
        <f>HLOOKUP($B$1,'STEC TSR'!$O$42:$Z$49,4,)</f>
        <v>15.53</v>
      </c>
      <c r="I17" s="138" t="e">
        <f>(F17/100*'CO2 Estimate'!$B$1*1000)+(G17*'CO2 Estimate'!$B$11*(1-H17/100)*F17/100)</f>
        <v>#VALUE!</v>
      </c>
    </row>
    <row r="18" spans="1:12" ht="15.75" customHeight="1" x14ac:dyDescent="0.25">
      <c r="A18" s="1" t="s">
        <v>148</v>
      </c>
      <c r="B18" s="128" t="e">
        <f>HLOOKUP($B$1,'CF Monitor Dashboard'!$B$2:$M$61,46,)</f>
        <v>#REF!</v>
      </c>
      <c r="C18" s="138">
        <f>HLOOKUP($B$1,'STEC TSR'!$O$32:$Z$39,5,)</f>
        <v>3263</v>
      </c>
      <c r="D18" s="109">
        <f>HLOOKUP($B$1,'STEC TSR'!$O$42:$Z$49,5,)</f>
        <v>8.1999999999999993</v>
      </c>
      <c r="E18" s="131" t="e">
        <f>HLOOKUP($B$1,'CO2 Estimate'!$Q$32:$AB$39,5,)</f>
        <v>#REF!</v>
      </c>
      <c r="F18" s="128" t="str">
        <f>'CF Monitor Dashboard'!Y47</f>
        <v/>
      </c>
      <c r="G18" s="138">
        <f>HLOOKUP($B$1,'STEC TSR'!$O$32:$Z$39,5,)</f>
        <v>3263</v>
      </c>
      <c r="H18" s="109">
        <f>HLOOKUP($B$1,'STEC TSR'!$O$42:$Z$49,5,)</f>
        <v>8.1999999999999993</v>
      </c>
      <c r="I18" s="138" t="e">
        <f>(F18/100*'CO2 Estimate'!$B$1*1000)+(G18*'CO2 Estimate'!$B$11*(1-H18/100)*F18/100)</f>
        <v>#VALUE!</v>
      </c>
    </row>
    <row r="19" spans="1:12" ht="15.75" customHeight="1" x14ac:dyDescent="0.25">
      <c r="A19" s="1" t="s">
        <v>149</v>
      </c>
      <c r="B19" s="128" t="e">
        <f>HLOOKUP($B$1,'CF Monitor Dashboard'!$B$2:$M$61,51,)</f>
        <v>#REF!</v>
      </c>
      <c r="C19" s="138">
        <f>HLOOKUP($B$1,'STEC TSR'!$O$32:$Z$39,6,)</f>
        <v>3267</v>
      </c>
      <c r="D19" s="109">
        <f>HLOOKUP($B$1,'STEC TSR'!$O$42:$Z$49,6,)</f>
        <v>8.0299999999999994</v>
      </c>
      <c r="E19" s="131" t="e">
        <f>HLOOKUP($B$1,'CO2 Estimate'!$Q$32:$AB$39,6,)</f>
        <v>#REF!</v>
      </c>
      <c r="F19" s="128" t="str">
        <f>'CF Monitor Dashboard'!Y52</f>
        <v/>
      </c>
      <c r="G19" s="138">
        <f>HLOOKUP($B$1,'STEC TSR'!$O$32:$Z$39,6,)</f>
        <v>3267</v>
      </c>
      <c r="H19" s="109">
        <f>HLOOKUP($B$1,'STEC TSR'!$O$42:$Z$49,6,)</f>
        <v>8.0299999999999994</v>
      </c>
      <c r="I19" s="138" t="e">
        <f>(F19/100*'CO2 Estimate'!$B$1*1000)+(G19*'CO2 Estimate'!$B$11*(1-H19/100)*F19/100)</f>
        <v>#VALUE!</v>
      </c>
    </row>
    <row r="20" spans="1:12" ht="15.75" customHeight="1" x14ac:dyDescent="0.25">
      <c r="A20" s="1" t="s">
        <v>150</v>
      </c>
      <c r="B20" s="128" t="e">
        <f>HLOOKUP($B$1,'CF Monitor Dashboard'!$B$2:$M$61,57,)</f>
        <v>#REF!</v>
      </c>
      <c r="C20" s="138">
        <f>HLOOKUP($B$1,'STEC TSR'!$O$32:$Z$39,7,)</f>
        <v>3768</v>
      </c>
      <c r="D20" s="109">
        <f>HLOOKUP($B$1,'STEC TSR'!$O$42:$Z$49,7,)</f>
        <v>7.9</v>
      </c>
      <c r="E20" s="131" t="e">
        <f>HLOOKUP($B$1,'CO2 Estimate'!$Q$32:$AB$39,7,)</f>
        <v>#REF!</v>
      </c>
      <c r="F20" s="128" t="str">
        <f>'CF Monitor Dashboard'!Y58</f>
        <v/>
      </c>
      <c r="G20" s="138">
        <f>HLOOKUP($B$1,'STEC TSR'!$O$32:$Z$39,7,)</f>
        <v>3768</v>
      </c>
      <c r="H20" s="109">
        <f>HLOOKUP($B$1,'STEC TSR'!$O$42:$Z$49,7,)</f>
        <v>7.9</v>
      </c>
      <c r="I20" s="138" t="e">
        <f>(F20/100*'CO2 Estimate'!$B$1*1000)+(G20*'CO2 Estimate'!$B$11*(1-H20/100)*F20/100)</f>
        <v>#VALUE!</v>
      </c>
    </row>
    <row r="21" spans="1:12" ht="15.75" customHeight="1" x14ac:dyDescent="0.25">
      <c r="A21" s="1" t="s">
        <v>151</v>
      </c>
      <c r="B21" s="128" t="e">
        <f>HLOOKUP($B$1,'CF Monitor Dashboard'!$B$2:$M$61,60,)</f>
        <v>#REF!</v>
      </c>
      <c r="C21" s="138">
        <f>HLOOKUP($B$1,'STEC TSR'!$O$32:$Z$39,8,)</f>
        <v>3384</v>
      </c>
      <c r="D21" s="109">
        <f>HLOOKUP($B$1,'STEC TSR'!$O$42:$Z$49,8,)</f>
        <v>14.17</v>
      </c>
      <c r="E21" s="131" t="e">
        <f>HLOOKUP($B$1,'CO2 Estimate'!$Q$32:$AB$39,8,)</f>
        <v>#REF!</v>
      </c>
      <c r="F21" s="128" t="str">
        <f>'CF Monitor Dashboard'!Y62</f>
        <v/>
      </c>
      <c r="G21" s="138">
        <f>HLOOKUP($B$1,'STEC TSR'!$O$32:$Z$39,8,)</f>
        <v>3384</v>
      </c>
      <c r="H21" s="109">
        <f>HLOOKUP($B$1,'STEC TSR'!$O$42:$Z$49,8,)</f>
        <v>14.17</v>
      </c>
      <c r="I21" s="138" t="e">
        <f>(F21/100*'CO2 Estimate'!$B$1*1000)+(G21*'CO2 Estimate'!$B$11*(1-H21/100)*F21/100)</f>
        <v>#VALUE!</v>
      </c>
      <c r="J21" s="128" t="e">
        <f>F21-B21</f>
        <v>#VALUE!</v>
      </c>
      <c r="K21" s="138" t="e">
        <f>I21-E21</f>
        <v>#VALUE!</v>
      </c>
      <c r="L21" s="131" t="e">
        <f>K21/J21</f>
        <v>#VALUE!</v>
      </c>
    </row>
  </sheetData>
  <mergeCells count="4">
    <mergeCell ref="B3:D3"/>
    <mergeCell ref="F3:I3"/>
    <mergeCell ref="B13:D13"/>
    <mergeCell ref="F13:I13"/>
  </mergeCells>
  <dataValidations count="1">
    <dataValidation type="list" allowBlank="1" showErrorMessage="1" sqref="B1">
      <formula1>"Jan,Feb,Mar,Apr,May,Jun,Jul,Aug,Sep,Nov,Dec"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000"/>
  <sheetViews>
    <sheetView workbookViewId="0"/>
  </sheetViews>
  <sheetFormatPr defaultColWidth="12.6328125" defaultRowHeight="15.75" customHeight="1" x14ac:dyDescent="0.25"/>
  <cols>
    <col min="1" max="26" width="7.6328125" customWidth="1"/>
  </cols>
  <sheetData>
    <row r="1" spans="5:5" ht="14.25" customHeight="1" x14ac:dyDescent="0.25"/>
    <row r="2" spans="5:5" ht="14.25" customHeight="1" x14ac:dyDescent="0.25"/>
    <row r="3" spans="5:5" ht="14.25" customHeight="1" x14ac:dyDescent="0.35">
      <c r="E3" s="52">
        <v>45658</v>
      </c>
    </row>
    <row r="4" spans="5:5" ht="14.25" customHeight="1" x14ac:dyDescent="0.35">
      <c r="E4" s="52">
        <v>45689</v>
      </c>
    </row>
    <row r="5" spans="5:5" ht="14.25" customHeight="1" x14ac:dyDescent="0.35">
      <c r="E5" s="52">
        <v>45717</v>
      </c>
    </row>
    <row r="6" spans="5:5" ht="14.25" customHeight="1" x14ac:dyDescent="0.35">
      <c r="E6" s="52">
        <v>45748</v>
      </c>
    </row>
    <row r="7" spans="5:5" ht="14.25" customHeight="1" x14ac:dyDescent="0.35">
      <c r="E7" s="52">
        <v>45778</v>
      </c>
    </row>
    <row r="8" spans="5:5" ht="14.25" customHeight="1" x14ac:dyDescent="0.35">
      <c r="E8" s="52">
        <v>45809</v>
      </c>
    </row>
    <row r="9" spans="5:5" ht="14.25" customHeight="1" x14ac:dyDescent="0.35">
      <c r="E9" s="52">
        <v>45839</v>
      </c>
    </row>
    <row r="10" spans="5:5" ht="14.25" customHeight="1" x14ac:dyDescent="0.35">
      <c r="E10" s="52">
        <v>45870</v>
      </c>
    </row>
    <row r="11" spans="5:5" ht="14.25" customHeight="1" x14ac:dyDescent="0.35">
      <c r="E11" s="52">
        <v>45901</v>
      </c>
    </row>
    <row r="12" spans="5:5" ht="14.25" customHeight="1" x14ac:dyDescent="0.35">
      <c r="E12" s="52">
        <v>45931</v>
      </c>
    </row>
    <row r="13" spans="5:5" ht="14.25" customHeight="1" x14ac:dyDescent="0.35">
      <c r="E13" s="52">
        <v>45962</v>
      </c>
    </row>
    <row r="14" spans="5:5" ht="14.25" customHeight="1" x14ac:dyDescent="0.35">
      <c r="E14" s="52">
        <v>45992</v>
      </c>
    </row>
    <row r="15" spans="5:5" ht="14.25" customHeight="1" x14ac:dyDescent="0.25"/>
    <row r="16" spans="5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1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4</v>
      </c>
    </row>
    <row r="2" spans="1:1" ht="15.75" customHeight="1" x14ac:dyDescent="0.25">
      <c r="A2" s="1" t="s">
        <v>5</v>
      </c>
    </row>
    <row r="3" spans="1:1" ht="15.75" customHeight="1" x14ac:dyDescent="0.25">
      <c r="A3" s="1" t="s">
        <v>6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8</v>
      </c>
    </row>
    <row r="6" spans="1:1" ht="15.75" customHeight="1" x14ac:dyDescent="0.25">
      <c r="A6" s="1" t="s">
        <v>9</v>
      </c>
    </row>
    <row r="7" spans="1:1" ht="15.75" customHeight="1" x14ac:dyDescent="0.25">
      <c r="A7" s="1" t="s">
        <v>10</v>
      </c>
    </row>
    <row r="8" spans="1:1" ht="15.75" customHeight="1" x14ac:dyDescent="0.25">
      <c r="A8" s="1" t="s">
        <v>11</v>
      </c>
    </row>
    <row r="9" spans="1:1" ht="15.75" customHeight="1" x14ac:dyDescent="0.25">
      <c r="A9" s="1" t="s">
        <v>12</v>
      </c>
    </row>
    <row r="10" spans="1:1" ht="15.75" customHeight="1" x14ac:dyDescent="0.25">
      <c r="A10" s="1" t="s">
        <v>13</v>
      </c>
    </row>
    <row r="11" spans="1:1" ht="15.75" customHeight="1" x14ac:dyDescent="0.25">
      <c r="A11" s="1" t="s">
        <v>14</v>
      </c>
    </row>
    <row r="12" spans="1:1" ht="15.75" customHeight="1" x14ac:dyDescent="0.25">
      <c r="A12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</vt:lpstr>
      <vt:lpstr>RKAP</vt:lpstr>
      <vt:lpstr>Transpose CF MTD</vt:lpstr>
      <vt:lpstr>Transpose CF YTD</vt:lpstr>
      <vt:lpstr>Chart</vt:lpstr>
      <vt:lpstr>hanya untuk update angka foreca</vt:lpstr>
      <vt:lpstr>CF Monitor Dashboard</vt:lpstr>
      <vt:lpstr>STEC TSR</vt:lpstr>
      <vt:lpstr>CO2 Estimate</vt:lpstr>
      <vt:lpstr>MTD</vt:lpstr>
      <vt:lpstr>Slider</vt:lpstr>
      <vt:lpstr>Summary</vt:lpstr>
      <vt:lpstr>bulan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 YEMIMA ELVARETY S.</cp:lastModifiedBy>
  <dcterms:modified xsi:type="dcterms:W3CDTF">2025-06-19T07:37:23Z</dcterms:modified>
</cp:coreProperties>
</file>