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wen\Desktop\"/>
    </mc:Choice>
  </mc:AlternateContent>
  <bookViews>
    <workbookView xWindow="0" yWindow="0" windowWidth="19200" windowHeight="6310" activeTab="3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4" l="1"/>
  <c r="H15" i="4"/>
  <c r="F6" i="5" l="1"/>
  <c r="H3" i="3"/>
  <c r="G4" i="3"/>
  <c r="M11" i="3"/>
  <c r="N11" i="3" s="1"/>
  <c r="M10" i="3"/>
  <c r="N10" i="3" s="1"/>
  <c r="M9" i="3"/>
  <c r="N9" i="3" s="1"/>
  <c r="K7" i="4"/>
  <c r="K8" i="4"/>
  <c r="J7" i="4"/>
  <c r="J8" i="4"/>
  <c r="J6" i="4"/>
  <c r="K6" i="4" s="1"/>
  <c r="N3" i="1"/>
  <c r="E5" i="1"/>
  <c r="N4" i="1"/>
  <c r="E4" i="1"/>
  <c r="B77" i="1"/>
  <c r="B76" i="1"/>
  <c r="B75" i="1"/>
  <c r="B74" i="1"/>
  <c r="B73" i="1"/>
  <c r="B72" i="1"/>
  <c r="B71" i="1"/>
  <c r="P4" i="4" l="1"/>
  <c r="P2" i="4"/>
  <c r="B6" i="3"/>
  <c r="B4" i="3"/>
  <c r="B3" i="3" l="1"/>
  <c r="B5" i="3"/>
  <c r="G6" i="5"/>
  <c r="B5" i="5"/>
  <c r="B2" i="5"/>
  <c r="M4" i="4"/>
  <c r="M2" i="4" s="1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G2" i="4"/>
  <c r="G3" i="4" s="1"/>
  <c r="F66" i="3"/>
  <c r="F65" i="3"/>
  <c r="F64" i="3"/>
  <c r="F63" i="3"/>
  <c r="F62" i="3"/>
  <c r="F61" i="3"/>
  <c r="F60" i="3"/>
  <c r="F59" i="3"/>
  <c r="F58" i="3"/>
  <c r="F57" i="3"/>
  <c r="F56" i="3"/>
  <c r="F55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D61" i="3"/>
  <c r="D60" i="3"/>
  <c r="D59" i="3"/>
  <c r="D58" i="3"/>
  <c r="D57" i="3"/>
  <c r="D56" i="3"/>
  <c r="D55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F8" i="3"/>
  <c r="H4" i="3" s="1"/>
  <c r="E8" i="3"/>
  <c r="G3" i="3" s="1"/>
  <c r="D8" i="3"/>
  <c r="G5" i="3" s="1"/>
  <c r="E3" i="1"/>
  <c r="G3" i="1" s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C3" i="1"/>
  <c r="F18" i="1"/>
  <c r="B8" i="1"/>
  <c r="M3" i="4" l="1"/>
  <c r="G6" i="3"/>
  <c r="H6" i="3" s="1"/>
  <c r="H5" i="3"/>
</calcChain>
</file>

<file path=xl/sharedStrings.xml><?xml version="1.0" encoding="utf-8"?>
<sst xmlns="http://schemas.openxmlformats.org/spreadsheetml/2006/main" count="162" uniqueCount="133">
  <si>
    <t>實驗一</t>
    <phoneticPr fontId="1" type="noConversion"/>
  </si>
  <si>
    <t>裝置I</t>
    <phoneticPr fontId="1" type="noConversion"/>
  </si>
  <si>
    <t>質量kg</t>
    <phoneticPr fontId="1" type="noConversion"/>
  </si>
  <si>
    <t>半徑m</t>
    <phoneticPr fontId="1" type="noConversion"/>
  </si>
  <si>
    <t>轉動慣量 理論</t>
    <phoneticPr fontId="1" type="noConversion"/>
  </si>
  <si>
    <t>轉動慣量實際</t>
    <phoneticPr fontId="1" type="noConversion"/>
  </si>
  <si>
    <t>轉動慣量資料</t>
    <phoneticPr fontId="1" type="noConversion"/>
  </si>
  <si>
    <t>點質量及裝置</t>
    <phoneticPr fontId="1" type="noConversion"/>
  </si>
  <si>
    <t>僅裝置</t>
    <phoneticPr fontId="1" type="noConversion"/>
  </si>
  <si>
    <t>摩擦力N</t>
    <phoneticPr fontId="1" type="noConversion"/>
  </si>
  <si>
    <t>掛物質量</t>
    <phoneticPr fontId="1" type="noConversion"/>
  </si>
  <si>
    <t>斜率</t>
    <phoneticPr fontId="1" type="noConversion"/>
  </si>
  <si>
    <t>繞線半徑</t>
    <phoneticPr fontId="1" type="noConversion"/>
  </si>
  <si>
    <t>比較</t>
    <phoneticPr fontId="1" type="noConversion"/>
  </si>
  <si>
    <t>點質量與裝置的轉動慣量</t>
    <phoneticPr fontId="1" type="noConversion"/>
  </si>
  <si>
    <t>僅裝置的轉慣量</t>
    <phoneticPr fontId="1" type="noConversion"/>
  </si>
  <si>
    <t>點質量的轉動慣量(實驗值)</t>
    <phoneticPr fontId="1" type="noConversion"/>
  </si>
  <si>
    <t>點質量的轉動慣量(理論值)</t>
    <phoneticPr fontId="1" type="noConversion"/>
  </si>
  <si>
    <t>誤差百分比</t>
    <phoneticPr fontId="1" type="noConversion"/>
  </si>
  <si>
    <t>實驗一</t>
    <phoneticPr fontId="1" type="noConversion"/>
  </si>
  <si>
    <t>T1</t>
    <phoneticPr fontId="1" type="noConversion"/>
  </si>
  <si>
    <t>W</t>
    <phoneticPr fontId="1" type="noConversion"/>
  </si>
  <si>
    <t>T空轉</t>
    <phoneticPr fontId="1" type="noConversion"/>
  </si>
  <si>
    <t>總</t>
    <phoneticPr fontId="1" type="noConversion"/>
  </si>
  <si>
    <t>轉動慣量理論值</t>
    <phoneticPr fontId="1" type="noConversion"/>
  </si>
  <si>
    <t>實驗三</t>
    <phoneticPr fontId="1" type="noConversion"/>
  </si>
  <si>
    <t>轉動慣量實際值</t>
    <phoneticPr fontId="1" type="noConversion"/>
  </si>
  <si>
    <t>I</t>
    <phoneticPr fontId="1" type="noConversion"/>
  </si>
  <si>
    <t>誤差</t>
    <phoneticPr fontId="1" type="noConversion"/>
  </si>
  <si>
    <t>盤直立</t>
    <phoneticPr fontId="1" type="noConversion"/>
  </si>
  <si>
    <t>半徑</t>
    <phoneticPr fontId="1" type="noConversion"/>
  </si>
  <si>
    <t>盤直立</t>
    <phoneticPr fontId="1" type="noConversion"/>
  </si>
  <si>
    <t>內徑</t>
    <phoneticPr fontId="1" type="noConversion"/>
  </si>
  <si>
    <t>外徑</t>
    <phoneticPr fontId="1" type="noConversion"/>
  </si>
  <si>
    <t>盤與環</t>
    <phoneticPr fontId="1" type="noConversion"/>
  </si>
  <si>
    <t>環與盤</t>
    <phoneticPr fontId="1" type="noConversion"/>
  </si>
  <si>
    <t>摩擦力</t>
    <phoneticPr fontId="1" type="noConversion"/>
  </si>
  <si>
    <t>摩擦力</t>
    <phoneticPr fontId="1" type="noConversion"/>
  </si>
  <si>
    <t>W</t>
    <phoneticPr fontId="1" type="noConversion"/>
  </si>
  <si>
    <t>W</t>
    <phoneticPr fontId="1" type="noConversion"/>
  </si>
  <si>
    <t>T盤與環</t>
    <phoneticPr fontId="1" type="noConversion"/>
  </si>
  <si>
    <t>T直立</t>
    <phoneticPr fontId="1" type="noConversion"/>
  </si>
  <si>
    <t>誤差</t>
    <phoneticPr fontId="1" type="noConversion"/>
  </si>
  <si>
    <t>誤差</t>
    <phoneticPr fontId="1" type="noConversion"/>
  </si>
  <si>
    <t>實驗四</t>
    <phoneticPr fontId="1" type="noConversion"/>
  </si>
  <si>
    <t>盤m</t>
    <phoneticPr fontId="1" type="noConversion"/>
  </si>
  <si>
    <t>盤r</t>
    <phoneticPr fontId="1" type="noConversion"/>
  </si>
  <si>
    <t>掛重植量</t>
    <phoneticPr fontId="1" type="noConversion"/>
  </si>
  <si>
    <t>斜率</t>
    <phoneticPr fontId="1" type="noConversion"/>
  </si>
  <si>
    <t>繞線半徑</t>
    <phoneticPr fontId="1" type="noConversion"/>
  </si>
  <si>
    <t>固定軌道</t>
    <phoneticPr fontId="1" type="noConversion"/>
  </si>
  <si>
    <t>自由移動</t>
    <phoneticPr fontId="1" type="noConversion"/>
  </si>
  <si>
    <t>只有軌道</t>
    <phoneticPr fontId="1" type="noConversion"/>
  </si>
  <si>
    <t>T固定</t>
    <phoneticPr fontId="1" type="noConversion"/>
  </si>
  <si>
    <t>T自由</t>
    <phoneticPr fontId="1" type="noConversion"/>
  </si>
  <si>
    <t>T軌道</t>
    <phoneticPr fontId="1" type="noConversion"/>
  </si>
  <si>
    <t>W</t>
    <phoneticPr fontId="1" type="noConversion"/>
  </si>
  <si>
    <t>實驗五</t>
    <phoneticPr fontId="1" type="noConversion"/>
  </si>
  <si>
    <t>初角速度</t>
    <phoneticPr fontId="1" type="noConversion"/>
  </si>
  <si>
    <t>末角速度</t>
    <phoneticPr fontId="1" type="noConversion"/>
  </si>
  <si>
    <t>Icm</t>
    <phoneticPr fontId="1" type="noConversion"/>
  </si>
  <si>
    <t>md^2</t>
    <phoneticPr fontId="1" type="noConversion"/>
  </si>
  <si>
    <t>I盤</t>
    <phoneticPr fontId="1" type="noConversion"/>
  </si>
  <si>
    <t>I</t>
    <phoneticPr fontId="1" type="noConversion"/>
  </si>
  <si>
    <t>Icm+md^2</t>
    <phoneticPr fontId="1" type="noConversion"/>
  </si>
  <si>
    <t>理論</t>
    <phoneticPr fontId="1" type="noConversion"/>
  </si>
  <si>
    <t>盤平放</t>
    <phoneticPr fontId="1" type="noConversion"/>
  </si>
  <si>
    <t>盤平放</t>
    <phoneticPr fontId="1" type="noConversion"/>
  </si>
  <si>
    <t>T平放</t>
    <phoneticPr fontId="1" type="noConversion"/>
  </si>
  <si>
    <t>盤平放</t>
    <phoneticPr fontId="1" type="noConversion"/>
  </si>
  <si>
    <t>環</t>
    <phoneticPr fontId="1" type="noConversion"/>
  </si>
  <si>
    <t>I軌道＋自由</t>
    <phoneticPr fontId="1" type="noConversion"/>
  </si>
  <si>
    <t>I軌道＋固定</t>
    <phoneticPr fontId="1" type="noConversion"/>
  </si>
  <si>
    <t>誤差</t>
    <phoneticPr fontId="1" type="noConversion"/>
  </si>
  <si>
    <t>實際值</t>
    <phoneticPr fontId="1" type="noConversion"/>
  </si>
  <si>
    <t>理論值</t>
    <phoneticPr fontId="1" type="noConversion"/>
  </si>
  <si>
    <t>轉動慣量(I)</t>
    <phoneticPr fontId="1" type="noConversion"/>
  </si>
  <si>
    <t>摩擦力(N)</t>
    <phoneticPr fontId="1" type="noConversion"/>
  </si>
  <si>
    <r>
      <rPr>
        <sz val="10"/>
        <color theme="1"/>
        <rFont val="新細明體"/>
        <family val="1"/>
        <charset val="136"/>
      </rPr>
      <t>α</t>
    </r>
    <r>
      <rPr>
        <sz val="10"/>
        <color theme="1"/>
        <rFont val="標楷體"/>
        <family val="4"/>
        <charset val="136"/>
      </rPr>
      <t>(rad/s^2)</t>
    </r>
    <phoneticPr fontId="1" type="noConversion"/>
  </si>
  <si>
    <t>掛物質量(kg)</t>
    <phoneticPr fontId="1" type="noConversion"/>
  </si>
  <si>
    <t>力臂(m)</t>
    <phoneticPr fontId="1" type="noConversion"/>
  </si>
  <si>
    <t>實驗一</t>
    <phoneticPr fontId="1" type="noConversion"/>
  </si>
  <si>
    <t>僅裝置</t>
    <phoneticPr fontId="1" type="noConversion"/>
  </si>
  <si>
    <t>質量鋼體+裝置</t>
    <phoneticPr fontId="1" type="noConversion"/>
  </si>
  <si>
    <t>剛體質量(kg)</t>
    <phoneticPr fontId="1" type="noConversion"/>
  </si>
  <si>
    <t>旋轉半徑(m)</t>
    <phoneticPr fontId="1" type="noConversion"/>
  </si>
  <si>
    <t>剛體轉動慣量</t>
    <phoneticPr fontId="1" type="noConversion"/>
  </si>
  <si>
    <t>掛重質量</t>
    <phoneticPr fontId="1" type="noConversion"/>
  </si>
  <si>
    <t>角加速度</t>
    <phoneticPr fontId="1" type="noConversion"/>
  </si>
  <si>
    <t>力臂</t>
    <phoneticPr fontId="1" type="noConversion"/>
  </si>
  <si>
    <t>轉動慣量(I)</t>
    <phoneticPr fontId="1" type="noConversion"/>
  </si>
  <si>
    <r>
      <t>施力總和(</t>
    </r>
    <r>
      <rPr>
        <sz val="10"/>
        <color theme="1"/>
        <rFont val="新細明體"/>
        <family val="1"/>
        <charset val="136"/>
      </rPr>
      <t>τ</t>
    </r>
    <r>
      <rPr>
        <sz val="10"/>
        <color theme="1"/>
        <rFont val="標楷體"/>
        <family val="4"/>
        <charset val="136"/>
      </rPr>
      <t>)</t>
    </r>
    <phoneticPr fontId="1" type="noConversion"/>
  </si>
  <si>
    <t>τ</t>
    <phoneticPr fontId="1" type="noConversion"/>
  </si>
  <si>
    <r>
      <t>施力總和(</t>
    </r>
    <r>
      <rPr>
        <sz val="10"/>
        <color theme="1"/>
        <rFont val="新細明體"/>
        <family val="1"/>
        <charset val="136"/>
      </rPr>
      <t>τ</t>
    </r>
    <r>
      <rPr>
        <sz val="10"/>
        <color theme="1"/>
        <rFont val="標楷體"/>
        <family val="4"/>
        <charset val="136"/>
      </rPr>
      <t>)</t>
    </r>
    <phoneticPr fontId="1" type="noConversion"/>
  </si>
  <si>
    <t>鐵盤直立</t>
    <phoneticPr fontId="1" type="noConversion"/>
  </si>
  <si>
    <t>鐵盤平放</t>
    <phoneticPr fontId="1" type="noConversion"/>
  </si>
  <si>
    <t>鐵盤加環</t>
    <phoneticPr fontId="1" type="noConversion"/>
  </si>
  <si>
    <t>環</t>
    <phoneticPr fontId="1" type="noConversion"/>
  </si>
  <si>
    <t>質量</t>
    <phoneticPr fontId="1" type="noConversion"/>
  </si>
  <si>
    <t>質量(kg)</t>
    <phoneticPr fontId="1" type="noConversion"/>
  </si>
  <si>
    <t>外徑(半徑)m</t>
    <phoneticPr fontId="1" type="noConversion"/>
  </si>
  <si>
    <t>內徑m</t>
    <phoneticPr fontId="1" type="noConversion"/>
  </si>
  <si>
    <t>理論轉動慣量</t>
    <phoneticPr fontId="1" type="noConversion"/>
  </si>
  <si>
    <t>理論慣量I</t>
    <phoneticPr fontId="1" type="noConversion"/>
  </si>
  <si>
    <t>實驗慣量I</t>
    <phoneticPr fontId="1" type="noConversion"/>
  </si>
  <si>
    <t>僅環</t>
    <phoneticPr fontId="1" type="noConversion"/>
  </si>
  <si>
    <t>誤差</t>
    <phoneticPr fontId="1" type="noConversion"/>
  </si>
  <si>
    <t>實驗值</t>
    <phoneticPr fontId="1" type="noConversion"/>
  </si>
  <si>
    <t>理論值</t>
    <phoneticPr fontId="1" type="noConversion"/>
  </si>
  <si>
    <t>比較</t>
    <phoneticPr fontId="1" type="noConversion"/>
  </si>
  <si>
    <t>實驗值</t>
    <phoneticPr fontId="1" type="noConversion"/>
  </si>
  <si>
    <t>盤</t>
    <phoneticPr fontId="1" type="noConversion"/>
  </si>
  <si>
    <t>盤加環</t>
    <phoneticPr fontId="1" type="noConversion"/>
  </si>
  <si>
    <t>理論</t>
    <phoneticPr fontId="1" type="noConversion"/>
  </si>
  <si>
    <t>慣量I</t>
    <phoneticPr fontId="1" type="noConversion"/>
  </si>
  <si>
    <t>誤差%</t>
    <phoneticPr fontId="1" type="noConversion"/>
  </si>
  <si>
    <r>
      <t>速度</t>
    </r>
    <r>
      <rPr>
        <sz val="10"/>
        <color theme="1"/>
        <rFont val="新細明體"/>
        <family val="1"/>
        <charset val="136"/>
      </rPr>
      <t>ω</t>
    </r>
    <phoneticPr fontId="1" type="noConversion"/>
  </si>
  <si>
    <t>速度ω</t>
    <phoneticPr fontId="1" type="noConversion"/>
  </si>
  <si>
    <t>鐵盤固定</t>
    <phoneticPr fontId="1" type="noConversion"/>
  </si>
  <si>
    <t>鐵盤自由</t>
    <phoneticPr fontId="1" type="noConversion"/>
  </si>
  <si>
    <t>只軌道</t>
    <phoneticPr fontId="1" type="noConversion"/>
  </si>
  <si>
    <t>理論值</t>
    <phoneticPr fontId="1" type="noConversion"/>
  </si>
  <si>
    <t>兩軸心距離</t>
    <phoneticPr fontId="1" type="noConversion"/>
  </si>
  <si>
    <t>轉動慣量(I)</t>
    <phoneticPr fontId="1" type="noConversion"/>
  </si>
  <si>
    <t>盤質量(kg)</t>
    <phoneticPr fontId="1" type="noConversion"/>
  </si>
  <si>
    <t>兩軸心距離(m)</t>
    <phoneticPr fontId="1" type="noConversion"/>
  </si>
  <si>
    <t>比較</t>
    <phoneticPr fontId="1" type="noConversion"/>
  </si>
  <si>
    <t>只鐵盤固定</t>
    <phoneticPr fontId="1" type="noConversion"/>
  </si>
  <si>
    <t>只鐵盤自由</t>
    <phoneticPr fontId="1" type="noConversion"/>
  </si>
  <si>
    <t>理論值</t>
    <phoneticPr fontId="1" type="noConversion"/>
  </si>
  <si>
    <t>實驗值</t>
    <phoneticPr fontId="1" type="noConversion"/>
  </si>
  <si>
    <t>誤差(%)</t>
    <phoneticPr fontId="1" type="noConversion"/>
  </si>
  <si>
    <t>盤半徑r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</si>
</sst>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00"/>
    <numFmt numFmtId="177" formatCode="0.000"/>
    <numFmt numFmtId="178" formatCode="0.000000"/>
    <numFmt numFmtId="179" formatCode="0.0000"/>
    <numFmt numFmtId="180" formatCode="0.000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9" fontId="0" fillId="0" borderId="0" xfId="0" applyNumberFormat="1" applyAlignment="1">
      <alignment vertical="center" wrapText="1"/>
    </xf>
    <xf numFmtId="0" fontId="5" fillId="0" borderId="0" xfId="0" applyFont="1">
      <alignment vertical="center"/>
    </xf>
    <xf numFmtId="2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質量鋼體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+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裝置</a:t>
            </a:r>
            <a:r>
              <a:rPr lang="el-GR" altLang="zh-TW" sz="1200" b="0" i="0" baseline="0">
                <a:effectLst/>
                <a:ea typeface="標楷體" panose="03000509000000000000" pitchFamily="65" charset="-120"/>
              </a:rPr>
              <a:t>ω</a:t>
            </a:r>
            <a:r>
              <a:rPr lang="en-US" altLang="zh-TW" sz="12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-t</a:t>
            </a:r>
            <a:r>
              <a:rPr lang="zh-TW" altLang="zh-TW" sz="12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endParaRPr lang="zh-TW" altLang="zh-TW" sz="12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279372541733146E-2"/>
          <c:y val="0.18588807785888078"/>
          <c:w val="0.87451180346180146"/>
          <c:h val="0.56458187252140923"/>
        </c:manualLayout>
      </c:layout>
      <c:scatterChart>
        <c:scatterStyle val="smoothMarker"/>
        <c:varyColors val="0"/>
        <c:ser>
          <c:idx val="0"/>
          <c:order val="0"/>
          <c:tx>
            <c:v>實驗線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5993272140200477E-2"/>
                  <c:y val="-2.242810889514722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ω</a:t>
                    </a:r>
                    <a:r>
                      <a:rPr lang="en-US" altLang="zh-TW" baseline="0"/>
                      <a:t> = 0.6235t - 0.1596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工作表1!$A$22:$A$65</c:f>
              <c:numCache>
                <c:formatCode>General</c:formatCode>
                <c:ptCount val="44"/>
                <c:pt idx="0">
                  <c:v>3.0720000000000001</c:v>
                </c:pt>
                <c:pt idx="1">
                  <c:v>4.1790000000000003</c:v>
                </c:pt>
                <c:pt idx="2">
                  <c:v>4.9980000000000002</c:v>
                </c:pt>
                <c:pt idx="3">
                  <c:v>5.6430000000000007</c:v>
                </c:pt>
                <c:pt idx="4">
                  <c:v>6.1940000000000008</c:v>
                </c:pt>
                <c:pt idx="5">
                  <c:v>6.7010000000000005</c:v>
                </c:pt>
                <c:pt idx="6">
                  <c:v>7.1620000000000008</c:v>
                </c:pt>
                <c:pt idx="7">
                  <c:v>7.5870000000000006</c:v>
                </c:pt>
                <c:pt idx="8">
                  <c:v>7.992</c:v>
                </c:pt>
                <c:pt idx="9">
                  <c:v>8.3759999999999994</c:v>
                </c:pt>
                <c:pt idx="10">
                  <c:v>8.7350000000000012</c:v>
                </c:pt>
                <c:pt idx="11">
                  <c:v>9.08</c:v>
                </c:pt>
                <c:pt idx="12">
                  <c:v>9.4139999999999997</c:v>
                </c:pt>
                <c:pt idx="13">
                  <c:v>9.734</c:v>
                </c:pt>
                <c:pt idx="14">
                  <c:v>10.042</c:v>
                </c:pt>
                <c:pt idx="15">
                  <c:v>10.343</c:v>
                </c:pt>
                <c:pt idx="16">
                  <c:v>10.635000000000002</c:v>
                </c:pt>
                <c:pt idx="17">
                  <c:v>10.915000000000001</c:v>
                </c:pt>
                <c:pt idx="18">
                  <c:v>11.192</c:v>
                </c:pt>
                <c:pt idx="19">
                  <c:v>11.461000000000002</c:v>
                </c:pt>
                <c:pt idx="20">
                  <c:v>11.722000000000001</c:v>
                </c:pt>
                <c:pt idx="21">
                  <c:v>11.978999999999999</c:v>
                </c:pt>
                <c:pt idx="22">
                  <c:v>12.232000000000001</c:v>
                </c:pt>
                <c:pt idx="23">
                  <c:v>12.478</c:v>
                </c:pt>
                <c:pt idx="24">
                  <c:v>12.72</c:v>
                </c:pt>
                <c:pt idx="25">
                  <c:v>12.958</c:v>
                </c:pt>
                <c:pt idx="26">
                  <c:v>13.193000000000001</c:v>
                </c:pt>
                <c:pt idx="27">
                  <c:v>13.421000000000001</c:v>
                </c:pt>
                <c:pt idx="28">
                  <c:v>13.648</c:v>
                </c:pt>
                <c:pt idx="29">
                  <c:v>13.872</c:v>
                </c:pt>
                <c:pt idx="30">
                  <c:v>14.091000000000001</c:v>
                </c:pt>
                <c:pt idx="31">
                  <c:v>14.308</c:v>
                </c:pt>
                <c:pt idx="32">
                  <c:v>14.523000000000001</c:v>
                </c:pt>
                <c:pt idx="33">
                  <c:v>14.733000000000001</c:v>
                </c:pt>
                <c:pt idx="34">
                  <c:v>14.942</c:v>
                </c:pt>
                <c:pt idx="35">
                  <c:v>15.149000000000001</c:v>
                </c:pt>
                <c:pt idx="36">
                  <c:v>15.352</c:v>
                </c:pt>
                <c:pt idx="37">
                  <c:v>15.552000000000001</c:v>
                </c:pt>
                <c:pt idx="38">
                  <c:v>15.753000000000002</c:v>
                </c:pt>
                <c:pt idx="39">
                  <c:v>15.95</c:v>
                </c:pt>
                <c:pt idx="40">
                  <c:v>16.145</c:v>
                </c:pt>
                <c:pt idx="41">
                  <c:v>16.338000000000001</c:v>
                </c:pt>
                <c:pt idx="42">
                  <c:v>16.530999999999999</c:v>
                </c:pt>
                <c:pt idx="43">
                  <c:v>16.720000000000002</c:v>
                </c:pt>
              </c:numCache>
            </c:numRef>
          </c:xVal>
          <c:yVal>
            <c:numRef>
              <c:f>工作表1!$B$22:$B$65</c:f>
              <c:numCache>
                <c:formatCode>General</c:formatCode>
                <c:ptCount val="44"/>
                <c:pt idx="0">
                  <c:v>1.4765485471872026</c:v>
                </c:pt>
                <c:pt idx="1">
                  <c:v>2.12999981913388</c:v>
                </c:pt>
                <c:pt idx="2">
                  <c:v>2.7080528673944015</c:v>
                </c:pt>
                <c:pt idx="3">
                  <c:v>3.3049554715764624</c:v>
                </c:pt>
                <c:pt idx="4">
                  <c:v>3.6316811075498006</c:v>
                </c:pt>
                <c:pt idx="5">
                  <c:v>3.95212355821596</c:v>
                </c:pt>
                <c:pt idx="6">
                  <c:v>4.335397861953914</c:v>
                </c:pt>
                <c:pt idx="7">
                  <c:v>4.5867252742410978</c:v>
                </c:pt>
                <c:pt idx="8">
                  <c:v>4.8317695012211015</c:v>
                </c:pt>
                <c:pt idx="9">
                  <c:v>5.15221195188726</c:v>
                </c:pt>
                <c:pt idx="10">
                  <c:v>5.4161057347888031</c:v>
                </c:pt>
                <c:pt idx="11">
                  <c:v>5.5606189968539335</c:v>
                </c:pt>
                <c:pt idx="12">
                  <c:v>5.761680926683681</c:v>
                </c:pt>
                <c:pt idx="13">
                  <c:v>6.100972933271378</c:v>
                </c:pt>
                <c:pt idx="14">
                  <c:v>6.2203534541077907</c:v>
                </c:pt>
                <c:pt idx="15">
                  <c:v>6.3460171602513817</c:v>
                </c:pt>
                <c:pt idx="16">
                  <c:v>6.6853091668390805</c:v>
                </c:pt>
                <c:pt idx="17">
                  <c:v>6.6853091668390805</c:v>
                </c:pt>
                <c:pt idx="18">
                  <c:v>6.9052206525903648</c:v>
                </c:pt>
                <c:pt idx="19">
                  <c:v>7.1376985089560092</c:v>
                </c:pt>
                <c:pt idx="20">
                  <c:v>7.307344512249859</c:v>
                </c:pt>
                <c:pt idx="21">
                  <c:v>7.4769905155437071</c:v>
                </c:pt>
                <c:pt idx="22">
                  <c:v>7.5712382951514021</c:v>
                </c:pt>
                <c:pt idx="23">
                  <c:v>7.8539816339744828</c:v>
                </c:pt>
                <c:pt idx="24">
                  <c:v>7.8539816339744828</c:v>
                </c:pt>
                <c:pt idx="25">
                  <c:v>7.9545125988893561</c:v>
                </c:pt>
                <c:pt idx="26">
                  <c:v>8.1618577140262829</c:v>
                </c:pt>
                <c:pt idx="27">
                  <c:v>8.2686718642483363</c:v>
                </c:pt>
                <c:pt idx="28">
                  <c:v>8.375486014470388</c:v>
                </c:pt>
                <c:pt idx="29">
                  <c:v>8.6079638708360342</c:v>
                </c:pt>
                <c:pt idx="30">
                  <c:v>8.8467249125088561</c:v>
                </c:pt>
                <c:pt idx="31">
                  <c:v>8.727344391672446</c:v>
                </c:pt>
                <c:pt idx="32">
                  <c:v>8.8467249125088561</c:v>
                </c:pt>
                <c:pt idx="33">
                  <c:v>9.1043355101032208</c:v>
                </c:pt>
                <c:pt idx="34">
                  <c:v>9.242565586861172</c:v>
                </c:pt>
                <c:pt idx="35">
                  <c:v>9.242565586861172</c:v>
                </c:pt>
                <c:pt idx="36">
                  <c:v>9.3807956636191232</c:v>
                </c:pt>
                <c:pt idx="37">
                  <c:v>9.242565586861172</c:v>
                </c:pt>
                <c:pt idx="38">
                  <c:v>9.663539002442203</c:v>
                </c:pt>
                <c:pt idx="39">
                  <c:v>9.663539002442203</c:v>
                </c:pt>
                <c:pt idx="40">
                  <c:v>9.8143354498145143</c:v>
                </c:pt>
                <c:pt idx="41">
                  <c:v>9.663539002442203</c:v>
                </c:pt>
                <c:pt idx="42">
                  <c:v>9.8143354498145143</c:v>
                </c:pt>
                <c:pt idx="43">
                  <c:v>9.9714150824940031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F6-470D-B30B-9522ED880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27440"/>
        <c:axId val="1797327856"/>
      </c:scatterChart>
      <c:valAx>
        <c:axId val="179732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7327856"/>
        <c:crosses val="autoZero"/>
        <c:crossBetween val="midCat"/>
      </c:valAx>
      <c:valAx>
        <c:axId val="17973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/>
                  <a:t>ω(</a:t>
                </a:r>
                <a:r>
                  <a:rPr lang="en-US" altLang="zh-TW"/>
                  <a:t>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732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08815030306695"/>
          <c:y val="0.91301645688449529"/>
          <c:w val="0.49815329538739744"/>
          <c:h val="5.77864628235339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>
                <a:latin typeface="標楷體" panose="03000509000000000000" pitchFamily="65" charset="-120"/>
                <a:ea typeface="標楷體" panose="03000509000000000000" pitchFamily="65" charset="-120"/>
              </a:rPr>
              <a:t>僅裝置實驗</a:t>
            </a:r>
            <a:r>
              <a:rPr lang="el-GR" altLang="zh-TW" sz="1400">
                <a:latin typeface="新細明體" panose="02020500000000000000" pitchFamily="18" charset="-120"/>
                <a:ea typeface="標楷體" panose="03000509000000000000" pitchFamily="65" charset="-120"/>
              </a:rPr>
              <a:t>ω</a:t>
            </a:r>
            <a:r>
              <a:rPr lang="en-US" altLang="zh-TW" sz="1400">
                <a:latin typeface="標楷體" panose="03000509000000000000" pitchFamily="65" charset="-120"/>
                <a:ea typeface="標楷體" panose="03000509000000000000" pitchFamily="65" charset="-120"/>
              </a:rPr>
              <a:t>-t</a:t>
            </a:r>
            <a:r>
              <a:rPr lang="zh-TW" altLang="en-US" sz="1400"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992865532692391E-2"/>
          <c:y val="0.17934272300469484"/>
          <c:w val="0.85708791925871142"/>
          <c:h val="0.55643931832464599"/>
        </c:manualLayout>
      </c:layout>
      <c:scatterChart>
        <c:scatterStyle val="smoothMarker"/>
        <c:varyColors val="0"/>
        <c:ser>
          <c:idx val="0"/>
          <c:order val="0"/>
          <c:tx>
            <c:v>實驗線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917148823247923"/>
                  <c:y val="-1.971830985915493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ω</a:t>
                    </a:r>
                    <a:r>
                      <a:rPr lang="zh-TW" altLang="en-US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 </a:t>
                    </a:r>
                    <a:r>
                      <a:rPr lang="en-US" altLang="zh-TW" baseline="0"/>
                      <a:t>= 0.7598t + 0.0368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工作表1!$C$22:$C$65</c:f>
              <c:numCache>
                <c:formatCode>General</c:formatCode>
                <c:ptCount val="44"/>
                <c:pt idx="0">
                  <c:v>2.3410000000000002</c:v>
                </c:pt>
                <c:pt idx="1">
                  <c:v>3.4560000000000004</c:v>
                </c:pt>
                <c:pt idx="2">
                  <c:v>4.1829999999999998</c:v>
                </c:pt>
                <c:pt idx="3">
                  <c:v>4.7830000000000004</c:v>
                </c:pt>
                <c:pt idx="4">
                  <c:v>5.3040000000000003</c:v>
                </c:pt>
                <c:pt idx="5">
                  <c:v>5.766</c:v>
                </c:pt>
                <c:pt idx="6">
                  <c:v>6.1890000000000001</c:v>
                </c:pt>
                <c:pt idx="7">
                  <c:v>6.5830000000000002</c:v>
                </c:pt>
                <c:pt idx="8">
                  <c:v>6.9500000000000011</c:v>
                </c:pt>
                <c:pt idx="9">
                  <c:v>7.2960000000000003</c:v>
                </c:pt>
                <c:pt idx="10">
                  <c:v>7.6240000000000006</c:v>
                </c:pt>
                <c:pt idx="11">
                  <c:v>7.9380000000000006</c:v>
                </c:pt>
                <c:pt idx="12">
                  <c:v>8.2370000000000001</c:v>
                </c:pt>
                <c:pt idx="13">
                  <c:v>8.5250000000000004</c:v>
                </c:pt>
                <c:pt idx="14">
                  <c:v>8.8049999999999997</c:v>
                </c:pt>
                <c:pt idx="15">
                  <c:v>9.0740000000000016</c:v>
                </c:pt>
                <c:pt idx="16">
                  <c:v>9.3350000000000009</c:v>
                </c:pt>
                <c:pt idx="17">
                  <c:v>9.59</c:v>
                </c:pt>
                <c:pt idx="18">
                  <c:v>9.838000000000001</c:v>
                </c:pt>
                <c:pt idx="19">
                  <c:v>10.08</c:v>
                </c:pt>
                <c:pt idx="20">
                  <c:v>10.316000000000001</c:v>
                </c:pt>
                <c:pt idx="21">
                  <c:v>10.548999999999999</c:v>
                </c:pt>
                <c:pt idx="22">
                  <c:v>10.775000000000002</c:v>
                </c:pt>
                <c:pt idx="23">
                  <c:v>10.997000000000002</c:v>
                </c:pt>
                <c:pt idx="24">
                  <c:v>11.216000000000001</c:v>
                </c:pt>
                <c:pt idx="25">
                  <c:v>11.431000000000001</c:v>
                </c:pt>
                <c:pt idx="26">
                  <c:v>11.642000000000001</c:v>
                </c:pt>
                <c:pt idx="27">
                  <c:v>11.851000000000001</c:v>
                </c:pt>
                <c:pt idx="28">
                  <c:v>12.056000000000001</c:v>
                </c:pt>
                <c:pt idx="29">
                  <c:v>12.257999999999999</c:v>
                </c:pt>
                <c:pt idx="30">
                  <c:v>12.456</c:v>
                </c:pt>
                <c:pt idx="31">
                  <c:v>12.653</c:v>
                </c:pt>
                <c:pt idx="32">
                  <c:v>12.847</c:v>
                </c:pt>
                <c:pt idx="33">
                  <c:v>13.037000000000001</c:v>
                </c:pt>
                <c:pt idx="34">
                  <c:v>13.227</c:v>
                </c:pt>
                <c:pt idx="35">
                  <c:v>13.414000000000001</c:v>
                </c:pt>
                <c:pt idx="36">
                  <c:v>13.598000000000001</c:v>
                </c:pt>
                <c:pt idx="37">
                  <c:v>13.782</c:v>
                </c:pt>
                <c:pt idx="38">
                  <c:v>13.963000000000001</c:v>
                </c:pt>
                <c:pt idx="39">
                  <c:v>14.141000000000002</c:v>
                </c:pt>
                <c:pt idx="40">
                  <c:v>14.319000000000003</c:v>
                </c:pt>
                <c:pt idx="41">
                  <c:v>14.495000000000001</c:v>
                </c:pt>
                <c:pt idx="42">
                  <c:v>14.669</c:v>
                </c:pt>
                <c:pt idx="43">
                  <c:v>14.840999999999999</c:v>
                </c:pt>
              </c:numCache>
            </c:numRef>
          </c:xVal>
          <c:yVal>
            <c:numRef>
              <c:f>工作表1!$D$22:$D$65</c:f>
              <c:numCache>
                <c:formatCode>General</c:formatCode>
                <c:ptCount val="44"/>
                <c:pt idx="0">
                  <c:v>1.3571680263507906</c:v>
                </c:pt>
                <c:pt idx="1">
                  <c:v>2.3813272314210634</c:v>
                </c:pt>
                <c:pt idx="2">
                  <c:v>3.0033625768318419</c:v>
                </c:pt>
                <c:pt idx="3">
                  <c:v>3.4494687336415932</c:v>
                </c:pt>
                <c:pt idx="4">
                  <c:v>3.9269908169872414</c:v>
                </c:pt>
                <c:pt idx="5">
                  <c:v>4.3605306031826325</c:v>
                </c:pt>
                <c:pt idx="6">
                  <c:v>4.6872562391559711</c:v>
                </c:pt>
                <c:pt idx="7">
                  <c:v>5.026548245743669</c:v>
                </c:pt>
                <c:pt idx="8">
                  <c:v>5.3721234376385461</c:v>
                </c:pt>
                <c:pt idx="9">
                  <c:v>5.6611499617688077</c:v>
                </c:pt>
                <c:pt idx="10">
                  <c:v>5.8747782622129137</c:v>
                </c:pt>
                <c:pt idx="11">
                  <c:v>6.2203534541077907</c:v>
                </c:pt>
                <c:pt idx="12">
                  <c:v>6.4779640517021528</c:v>
                </c:pt>
                <c:pt idx="13">
                  <c:v>6.616194128460104</c:v>
                </c:pt>
                <c:pt idx="14">
                  <c:v>6.9806188762765204</c:v>
                </c:pt>
                <c:pt idx="15">
                  <c:v>7.1376985089560092</c:v>
                </c:pt>
                <c:pt idx="16">
                  <c:v>7.389025921243193</c:v>
                </c:pt>
                <c:pt idx="17">
                  <c:v>7.5712382951514021</c:v>
                </c:pt>
                <c:pt idx="18">
                  <c:v>7.6654860747590954</c:v>
                </c:pt>
                <c:pt idx="19">
                  <c:v>7.9545125988893561</c:v>
                </c:pt>
                <c:pt idx="20">
                  <c:v>8.0550435638042295</c:v>
                </c:pt>
                <c:pt idx="21">
                  <c:v>8.2686718642483363</c:v>
                </c:pt>
                <c:pt idx="22">
                  <c:v>8.4885833499996206</c:v>
                </c:pt>
                <c:pt idx="23">
                  <c:v>8.4885833499996206</c:v>
                </c:pt>
                <c:pt idx="24">
                  <c:v>8.6079638708360342</c:v>
                </c:pt>
                <c:pt idx="25">
                  <c:v>8.8467249125088561</c:v>
                </c:pt>
                <c:pt idx="26">
                  <c:v>8.9786718039596298</c:v>
                </c:pt>
                <c:pt idx="27">
                  <c:v>9.1043355101032208</c:v>
                </c:pt>
                <c:pt idx="28">
                  <c:v>9.242565586861172</c:v>
                </c:pt>
                <c:pt idx="29">
                  <c:v>9.5190257403770726</c:v>
                </c:pt>
                <c:pt idx="30">
                  <c:v>9.5190257403770726</c:v>
                </c:pt>
                <c:pt idx="31">
                  <c:v>9.663539002442203</c:v>
                </c:pt>
                <c:pt idx="32">
                  <c:v>9.9714150824940031</c:v>
                </c:pt>
                <c:pt idx="33">
                  <c:v>9.8143354498145143</c:v>
                </c:pt>
                <c:pt idx="34">
                  <c:v>9.9714150824940031</c:v>
                </c:pt>
                <c:pt idx="35">
                  <c:v>10.298140718467343</c:v>
                </c:pt>
                <c:pt idx="36">
                  <c:v>10.134777900480673</c:v>
                </c:pt>
                <c:pt idx="37">
                  <c:v>10.474069907068371</c:v>
                </c:pt>
                <c:pt idx="38">
                  <c:v>10.474069907068371</c:v>
                </c:pt>
                <c:pt idx="39">
                  <c:v>10.649999095669399</c:v>
                </c:pt>
                <c:pt idx="40">
                  <c:v>10.832211469577606</c:v>
                </c:pt>
                <c:pt idx="41">
                  <c:v>10.649999095669399</c:v>
                </c:pt>
                <c:pt idx="42">
                  <c:v>10.832211469577606</c:v>
                </c:pt>
                <c:pt idx="43">
                  <c:v>10.832211469577606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88-4208-9C82-7EA96C9A8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818000"/>
        <c:axId val="1888828400"/>
      </c:scatterChart>
      <c:valAx>
        <c:axId val="18888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8828400"/>
        <c:crosses val="autoZero"/>
        <c:crossBetween val="midCat"/>
      </c:valAx>
      <c:valAx>
        <c:axId val="18888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/>
                  <a:t>ω(</a:t>
                </a:r>
                <a:r>
                  <a:rPr lang="en-US" altLang="zh-TW"/>
                  <a:t>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88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680667333710353"/>
          <c:y val="0.89260507929466559"/>
          <c:w val="0.49599991299430124"/>
          <c:h val="7.922590662082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盤直立</a:t>
            </a:r>
            <a:r>
              <a:rPr lang="el-GR" altLang="zh-TW">
                <a:latin typeface="新細明體" panose="02020500000000000000" pitchFamily="18" charset="-120"/>
                <a:ea typeface="標楷體" panose="03000509000000000000" pitchFamily="65" charset="-120"/>
              </a:rPr>
              <a:t>ω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-t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</a:p>
        </c:rich>
      </c:tx>
      <c:layout>
        <c:manualLayout>
          <c:xMode val="edge"/>
          <c:yMode val="edge"/>
          <c:x val="0.34567901234567899"/>
          <c:y val="2.7881040892193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392424376904577"/>
          <c:y val="0.17750929368029739"/>
          <c:w val="0.83238278790030473"/>
          <c:h val="0.57433407487632815"/>
        </c:manualLayout>
      </c:layout>
      <c:scatterChart>
        <c:scatterStyle val="smoothMarker"/>
        <c:varyColors val="0"/>
        <c:ser>
          <c:idx val="0"/>
          <c:order val="0"/>
          <c:tx>
            <c:v>盤平放加環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320936936023094E-2"/>
                  <c:y val="-1.486988847583643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ω</a:t>
                    </a:r>
                    <a:r>
                      <a:rPr lang="en-US" altLang="zh-TW" baseline="0"/>
                      <a:t> = 1.7126t + 3.0908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工作表3!$C$13:$C$53</c:f>
              <c:numCache>
                <c:formatCode>General</c:formatCode>
                <c:ptCount val="41"/>
                <c:pt idx="0">
                  <c:v>0.44</c:v>
                </c:pt>
                <c:pt idx="1">
                  <c:v>1.0050000000000001</c:v>
                </c:pt>
                <c:pt idx="2">
                  <c:v>1.429</c:v>
                </c:pt>
                <c:pt idx="3">
                  <c:v>1.7830000000000001</c:v>
                </c:pt>
                <c:pt idx="4">
                  <c:v>2.0920000000000001</c:v>
                </c:pt>
                <c:pt idx="5">
                  <c:v>2.3719999999999999</c:v>
                </c:pt>
                <c:pt idx="6">
                  <c:v>2.63</c:v>
                </c:pt>
                <c:pt idx="7">
                  <c:v>2.87</c:v>
                </c:pt>
                <c:pt idx="8">
                  <c:v>3.0960000000000001</c:v>
                </c:pt>
                <c:pt idx="9">
                  <c:v>3.3109999999999999</c:v>
                </c:pt>
                <c:pt idx="10">
                  <c:v>3.516</c:v>
                </c:pt>
                <c:pt idx="11">
                  <c:v>3.7130000000000001</c:v>
                </c:pt>
                <c:pt idx="12">
                  <c:v>3.9020000000000001</c:v>
                </c:pt>
                <c:pt idx="13">
                  <c:v>4.0860000000000003</c:v>
                </c:pt>
                <c:pt idx="14">
                  <c:v>4.2629999999999999</c:v>
                </c:pt>
                <c:pt idx="15">
                  <c:v>4.4359999999999999</c:v>
                </c:pt>
                <c:pt idx="16">
                  <c:v>4.6050000000000004</c:v>
                </c:pt>
                <c:pt idx="17">
                  <c:v>4.7690000000000001</c:v>
                </c:pt>
                <c:pt idx="18">
                  <c:v>4.93</c:v>
                </c:pt>
                <c:pt idx="19">
                  <c:v>5.0880000000000001</c:v>
                </c:pt>
                <c:pt idx="20">
                  <c:v>5.2410000000000005</c:v>
                </c:pt>
                <c:pt idx="21">
                  <c:v>5.3920000000000003</c:v>
                </c:pt>
                <c:pt idx="22">
                  <c:v>5.5410000000000004</c:v>
                </c:pt>
                <c:pt idx="23">
                  <c:v>5.6870000000000003</c:v>
                </c:pt>
                <c:pt idx="24">
                  <c:v>5.83</c:v>
                </c:pt>
                <c:pt idx="25">
                  <c:v>5.9710000000000001</c:v>
                </c:pt>
                <c:pt idx="26">
                  <c:v>6.1109999999999998</c:v>
                </c:pt>
                <c:pt idx="27">
                  <c:v>6.2469999999999999</c:v>
                </c:pt>
                <c:pt idx="28">
                  <c:v>6.3820000000000006</c:v>
                </c:pt>
                <c:pt idx="29">
                  <c:v>6.5150000000000006</c:v>
                </c:pt>
                <c:pt idx="30">
                  <c:v>6.6459999999999999</c:v>
                </c:pt>
                <c:pt idx="31">
                  <c:v>6.7759999999999998</c:v>
                </c:pt>
                <c:pt idx="32">
                  <c:v>6.9039999999999999</c:v>
                </c:pt>
                <c:pt idx="33">
                  <c:v>7.0310000000000006</c:v>
                </c:pt>
                <c:pt idx="34">
                  <c:v>7.1560000000000006</c:v>
                </c:pt>
                <c:pt idx="35">
                  <c:v>7.28</c:v>
                </c:pt>
                <c:pt idx="36">
                  <c:v>7.4039999999999999</c:v>
                </c:pt>
                <c:pt idx="37">
                  <c:v>7.5250000000000004</c:v>
                </c:pt>
                <c:pt idx="38">
                  <c:v>7.6450000000000005</c:v>
                </c:pt>
                <c:pt idx="39">
                  <c:v>7.7640000000000002</c:v>
                </c:pt>
                <c:pt idx="40">
                  <c:v>7.8820000000000006</c:v>
                </c:pt>
              </c:numCache>
            </c:numRef>
          </c:xVal>
          <c:yVal>
            <c:numRef>
              <c:f>工作表3!$D$13:$D$53</c:f>
              <c:numCache>
                <c:formatCode>General</c:formatCode>
                <c:ptCount val="41"/>
                <c:pt idx="0">
                  <c:v>2.921681167838508</c:v>
                </c:pt>
                <c:pt idx="1">
                  <c:v>4.1092031908954496</c:v>
                </c:pt>
                <c:pt idx="2">
                  <c:v>5.026548245743669</c:v>
                </c:pt>
                <c:pt idx="3">
                  <c:v>5.8747782622129137</c:v>
                </c:pt>
                <c:pt idx="4">
                  <c:v>6.5470790900811293</c:v>
                </c:pt>
                <c:pt idx="5">
                  <c:v>7.1376985089560092</c:v>
                </c:pt>
                <c:pt idx="6">
                  <c:v>7.6654860747590954</c:v>
                </c:pt>
                <c:pt idx="7">
                  <c:v>8.1618577140262829</c:v>
                </c:pt>
                <c:pt idx="8">
                  <c:v>8.6079638708360342</c:v>
                </c:pt>
                <c:pt idx="9">
                  <c:v>8.9786718039596298</c:v>
                </c:pt>
                <c:pt idx="10">
                  <c:v>9.5190257403770726</c:v>
                </c:pt>
                <c:pt idx="11">
                  <c:v>9.9714150824940031</c:v>
                </c:pt>
                <c:pt idx="12">
                  <c:v>10.134777900480673</c:v>
                </c:pt>
                <c:pt idx="13">
                  <c:v>10.474069907068371</c:v>
                </c:pt>
                <c:pt idx="14">
                  <c:v>10.832211469577606</c:v>
                </c:pt>
                <c:pt idx="15">
                  <c:v>11.020707028792994</c:v>
                </c:pt>
                <c:pt idx="16">
                  <c:v>11.221768958622741</c:v>
                </c:pt>
                <c:pt idx="17">
                  <c:v>11.422830888452488</c:v>
                </c:pt>
                <c:pt idx="18">
                  <c:v>11.856370674647879</c:v>
                </c:pt>
                <c:pt idx="19">
                  <c:v>12.082565345706344</c:v>
                </c:pt>
                <c:pt idx="20">
                  <c:v>12.082565345706344</c:v>
                </c:pt>
                <c:pt idx="21">
                  <c:v>12.566370614359172</c:v>
                </c:pt>
                <c:pt idx="22">
                  <c:v>12.566370614359172</c:v>
                </c:pt>
                <c:pt idx="23">
                  <c:v>13.087874994855079</c:v>
                </c:pt>
                <c:pt idx="24">
                  <c:v>13.370618333678161</c:v>
                </c:pt>
                <c:pt idx="25">
                  <c:v>13.370618333678161</c:v>
                </c:pt>
                <c:pt idx="26">
                  <c:v>13.961237752553041</c:v>
                </c:pt>
                <c:pt idx="27">
                  <c:v>13.961237752553041</c:v>
                </c:pt>
                <c:pt idx="28">
                  <c:v>14.281680203219201</c:v>
                </c:pt>
                <c:pt idx="29">
                  <c:v>14.281680203219201</c:v>
                </c:pt>
                <c:pt idx="30">
                  <c:v>14.281680203219201</c:v>
                </c:pt>
                <c:pt idx="31">
                  <c:v>14.614689024499718</c:v>
                </c:pt>
                <c:pt idx="32">
                  <c:v>14.614689024499718</c:v>
                </c:pt>
                <c:pt idx="33">
                  <c:v>14.960264216394593</c:v>
                </c:pt>
                <c:pt idx="34">
                  <c:v>14.960264216394593</c:v>
                </c:pt>
                <c:pt idx="35">
                  <c:v>14.960264216394593</c:v>
                </c:pt>
                <c:pt idx="36">
                  <c:v>15.707963267948966</c:v>
                </c:pt>
                <c:pt idx="37">
                  <c:v>15.707963267948966</c:v>
                </c:pt>
                <c:pt idx="38">
                  <c:v>15.707963267948966</c:v>
                </c:pt>
                <c:pt idx="39">
                  <c:v>16.110087127608459</c:v>
                </c:pt>
                <c:pt idx="40">
                  <c:v>16.110087127608459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CD-4F99-AF7D-812B21D94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817584"/>
        <c:axId val="1888813840"/>
      </c:scatterChart>
      <c:valAx>
        <c:axId val="188881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8813840"/>
        <c:crosses val="autoZero"/>
        <c:crossBetween val="midCat"/>
      </c:valAx>
      <c:valAx>
        <c:axId val="18888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 sz="1000" b="0" i="0" baseline="0">
                    <a:effectLst/>
                  </a:rPr>
                  <a:t>ω</a:t>
                </a:r>
                <a:r>
                  <a:rPr lang="en-US" altLang="zh-TW" sz="1000" b="0" i="0" baseline="0">
                    <a:effectLst/>
                  </a:rPr>
                  <a:t>(rad/s)</a:t>
                </a:r>
                <a:endParaRPr lang="zh-TW" altLang="zh-TW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881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baseline="0">
                <a:effectLst/>
              </a:rPr>
              <a:t>盤平放</a:t>
            </a:r>
            <a:r>
              <a:rPr lang="en-US" altLang="zh-TW" sz="1400" b="0" i="0" baseline="0">
                <a:effectLst/>
              </a:rPr>
              <a:t>+</a:t>
            </a:r>
            <a:r>
              <a:rPr lang="zh-TW" altLang="zh-TW" sz="1400" b="0" i="0" baseline="0">
                <a:effectLst/>
              </a:rPr>
              <a:t>環</a:t>
            </a:r>
            <a:r>
              <a:rPr lang="el-GR" altLang="zh-TW" sz="1400" b="0" i="0" baseline="0">
                <a:effectLst/>
              </a:rPr>
              <a:t>ω</a:t>
            </a:r>
            <a:r>
              <a:rPr lang="en-US" altLang="zh-TW" sz="1400" b="0" i="0" baseline="0">
                <a:effectLst/>
              </a:rPr>
              <a:t>-t</a:t>
            </a:r>
            <a:r>
              <a:rPr lang="zh-TW" altLang="zh-TW" sz="1400" b="0" i="0" baseline="0">
                <a:effectLst/>
              </a:rPr>
              <a:t>圖</a:t>
            </a:r>
            <a:endParaRPr lang="zh-TW" altLang="zh-TW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0227746622361443E-2"/>
          <c:y val="0.14916666666666667"/>
          <c:w val="0.882142265469537"/>
          <c:h val="0.60880358705161841"/>
        </c:manualLayout>
      </c:layout>
      <c:scatterChart>
        <c:scatterStyle val="smoothMarker"/>
        <c:varyColors val="0"/>
        <c:ser>
          <c:idx val="0"/>
          <c:order val="0"/>
          <c:tx>
            <c:v>盤直立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836826019480334E-2"/>
                  <c:y val="-2.74074074074074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ω</a:t>
                    </a:r>
                    <a:r>
                      <a:rPr lang="en-US" altLang="zh-TW" baseline="0"/>
                      <a:t> = 0.7295t + 0.0977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工作表3!$E$13:$E$53</c:f>
              <c:numCache>
                <c:formatCode>General</c:formatCode>
                <c:ptCount val="41"/>
                <c:pt idx="0">
                  <c:v>1.1850000000000001</c:v>
                </c:pt>
                <c:pt idx="1">
                  <c:v>2.5870000000000002</c:v>
                </c:pt>
                <c:pt idx="2">
                  <c:v>3.452</c:v>
                </c:pt>
                <c:pt idx="3">
                  <c:v>4.1340000000000003</c:v>
                </c:pt>
                <c:pt idx="4">
                  <c:v>4.7149999999999999</c:v>
                </c:pt>
                <c:pt idx="5">
                  <c:v>5.2320000000000002</c:v>
                </c:pt>
                <c:pt idx="6">
                  <c:v>5.7030000000000003</c:v>
                </c:pt>
                <c:pt idx="7">
                  <c:v>6.1340000000000003</c:v>
                </c:pt>
                <c:pt idx="8">
                  <c:v>6.5389999999999997</c:v>
                </c:pt>
                <c:pt idx="9">
                  <c:v>6.9210000000000003</c:v>
                </c:pt>
                <c:pt idx="10">
                  <c:v>7.2810000000000006</c:v>
                </c:pt>
                <c:pt idx="11">
                  <c:v>7.6240000000000006</c:v>
                </c:pt>
                <c:pt idx="12">
                  <c:v>7.9539999999999997</c:v>
                </c:pt>
                <c:pt idx="13">
                  <c:v>8.2690000000000001</c:v>
                </c:pt>
                <c:pt idx="14">
                  <c:v>8.572000000000001</c:v>
                </c:pt>
                <c:pt idx="15">
                  <c:v>8.8659999999999997</c:v>
                </c:pt>
                <c:pt idx="16">
                  <c:v>9.1509999999999998</c:v>
                </c:pt>
                <c:pt idx="17">
                  <c:v>9.4250000000000007</c:v>
                </c:pt>
                <c:pt idx="18">
                  <c:v>9.6929999999999996</c:v>
                </c:pt>
                <c:pt idx="19">
                  <c:v>9.9540000000000006</c:v>
                </c:pt>
                <c:pt idx="20">
                  <c:v>10.208</c:v>
                </c:pt>
                <c:pt idx="21">
                  <c:v>10.455</c:v>
                </c:pt>
                <c:pt idx="22">
                  <c:v>10.696</c:v>
                </c:pt>
                <c:pt idx="23">
                  <c:v>10.934000000000001</c:v>
                </c:pt>
                <c:pt idx="24">
                  <c:v>11.164</c:v>
                </c:pt>
                <c:pt idx="25">
                  <c:v>11.391999999999999</c:v>
                </c:pt>
                <c:pt idx="26">
                  <c:v>11.615</c:v>
                </c:pt>
                <c:pt idx="27">
                  <c:v>11.833</c:v>
                </c:pt>
                <c:pt idx="28">
                  <c:v>12.047000000000001</c:v>
                </c:pt>
                <c:pt idx="29">
                  <c:v>12.258000000000001</c:v>
                </c:pt>
                <c:pt idx="30">
                  <c:v>12.465</c:v>
                </c:pt>
                <c:pt idx="31">
                  <c:v>12.668000000000001</c:v>
                </c:pt>
                <c:pt idx="32">
                  <c:v>12.870000000000001</c:v>
                </c:pt>
                <c:pt idx="33">
                  <c:v>13.068</c:v>
                </c:pt>
                <c:pt idx="34">
                  <c:v>13.262</c:v>
                </c:pt>
                <c:pt idx="35">
                  <c:v>13.455</c:v>
                </c:pt>
                <c:pt idx="36">
                  <c:v>13.644</c:v>
                </c:pt>
                <c:pt idx="37">
                  <c:v>13.832000000000001</c:v>
                </c:pt>
                <c:pt idx="38">
                  <c:v>14.016</c:v>
                </c:pt>
                <c:pt idx="39">
                  <c:v>14.199</c:v>
                </c:pt>
                <c:pt idx="40">
                  <c:v>14.381</c:v>
                </c:pt>
              </c:numCache>
            </c:numRef>
          </c:xVal>
          <c:yVal>
            <c:numRef>
              <c:f>工作表3!$F$13:$F$53</c:f>
              <c:numCache>
                <c:formatCode>General</c:formatCode>
                <c:ptCount val="41"/>
                <c:pt idx="0">
                  <c:v>1.0430087609918113</c:v>
                </c:pt>
                <c:pt idx="1">
                  <c:v>1.9729201864543902</c:v>
                </c:pt>
                <c:pt idx="2">
                  <c:v>2.5949555318651689</c:v>
                </c:pt>
                <c:pt idx="3">
                  <c:v>3.1101767270538954</c:v>
                </c:pt>
                <c:pt idx="4">
                  <c:v>3.5311501426349277</c:v>
                </c:pt>
                <c:pt idx="5">
                  <c:v>3.8767253345298047</c:v>
                </c:pt>
                <c:pt idx="6">
                  <c:v>4.2474332676534008</c:v>
                </c:pt>
                <c:pt idx="7">
                  <c:v>4.5553093477052</c:v>
                </c:pt>
                <c:pt idx="8">
                  <c:v>4.8317695012211015</c:v>
                </c:pt>
                <c:pt idx="9">
                  <c:v>5.108229654737003</c:v>
                </c:pt>
                <c:pt idx="10">
                  <c:v>5.4161057347888031</c:v>
                </c:pt>
                <c:pt idx="11">
                  <c:v>5.6611499617688077</c:v>
                </c:pt>
                <c:pt idx="12">
                  <c:v>5.9250437446703499</c:v>
                </c:pt>
                <c:pt idx="13">
                  <c:v>6.100972933271378</c:v>
                </c:pt>
                <c:pt idx="14">
                  <c:v>6.2831853071795862</c:v>
                </c:pt>
                <c:pt idx="15">
                  <c:v>6.4779640517021528</c:v>
                </c:pt>
                <c:pt idx="16">
                  <c:v>6.82982242890421</c:v>
                </c:pt>
                <c:pt idx="17">
                  <c:v>6.9052206525903648</c:v>
                </c:pt>
                <c:pt idx="18">
                  <c:v>7.1376985089560092</c:v>
                </c:pt>
                <c:pt idx="19">
                  <c:v>7.307344512249859</c:v>
                </c:pt>
                <c:pt idx="20">
                  <c:v>7.6654860747590954</c:v>
                </c:pt>
                <c:pt idx="21">
                  <c:v>7.8539816339744828</c:v>
                </c:pt>
                <c:pt idx="22">
                  <c:v>7.8539816339744828</c:v>
                </c:pt>
                <c:pt idx="23">
                  <c:v>8.1618577140262829</c:v>
                </c:pt>
                <c:pt idx="24">
                  <c:v>8.1618577140262829</c:v>
                </c:pt>
                <c:pt idx="25">
                  <c:v>8.4885833499996206</c:v>
                </c:pt>
                <c:pt idx="26">
                  <c:v>8.727344391672446</c:v>
                </c:pt>
                <c:pt idx="27">
                  <c:v>8.727344391672446</c:v>
                </c:pt>
                <c:pt idx="28">
                  <c:v>8.8467249125088561</c:v>
                </c:pt>
                <c:pt idx="29">
                  <c:v>9.1043355101032208</c:v>
                </c:pt>
                <c:pt idx="30">
                  <c:v>9.242565586861172</c:v>
                </c:pt>
                <c:pt idx="31">
                  <c:v>9.242565586861172</c:v>
                </c:pt>
                <c:pt idx="32">
                  <c:v>9.5190257403770726</c:v>
                </c:pt>
                <c:pt idx="33">
                  <c:v>9.8143354498145143</c:v>
                </c:pt>
                <c:pt idx="34">
                  <c:v>9.8143354498145143</c:v>
                </c:pt>
                <c:pt idx="35">
                  <c:v>9.9714150824940031</c:v>
                </c:pt>
                <c:pt idx="36">
                  <c:v>9.8143354498145143</c:v>
                </c:pt>
                <c:pt idx="37">
                  <c:v>10.298140718467343</c:v>
                </c:pt>
                <c:pt idx="38">
                  <c:v>10.298140718467343</c:v>
                </c:pt>
                <c:pt idx="39">
                  <c:v>10.134777900480673</c:v>
                </c:pt>
                <c:pt idx="40">
                  <c:v>10.649999095669399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D6-41DE-B19B-A6153272D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816336"/>
        <c:axId val="1888822576"/>
      </c:scatterChart>
      <c:valAx>
        <c:axId val="188881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8822576"/>
        <c:crosses val="autoZero"/>
        <c:crossBetween val="midCat"/>
      </c:valAx>
      <c:valAx>
        <c:axId val="18888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 sz="1000" b="0" i="0" baseline="0">
                    <a:effectLst/>
                  </a:rPr>
                  <a:t>ω</a:t>
                </a:r>
                <a:r>
                  <a:rPr lang="en-US" altLang="zh-TW" sz="1000" b="0" i="0" baseline="0">
                    <a:effectLst/>
                  </a:rPr>
                  <a:t>(rad/s)</a:t>
                </a:r>
                <a:endParaRPr lang="zh-TW" altLang="zh-TW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881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>
                <a:latin typeface="標楷體" panose="03000509000000000000" pitchFamily="65" charset="-120"/>
                <a:ea typeface="標楷體" panose="03000509000000000000" pitchFamily="65" charset="-120"/>
              </a:rPr>
              <a:t>盤平放</a:t>
            </a:r>
            <a:r>
              <a:rPr lang="el-GR" altLang="zh-TW" sz="1400" b="0" i="0" baseline="0">
                <a:effectLst/>
                <a:ea typeface="標楷體" panose="03000509000000000000" pitchFamily="65" charset="-120"/>
              </a:rPr>
              <a:t>ω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7.8592120565907392E-2"/>
          <c:y val="0.1682218309859155"/>
          <c:w val="0.88316752553878664"/>
          <c:h val="0.6104822834645669"/>
        </c:manualLayout>
      </c:layout>
      <c:scatterChart>
        <c:scatterStyle val="smoothMarker"/>
        <c:varyColors val="0"/>
        <c:ser>
          <c:idx val="0"/>
          <c:order val="0"/>
          <c:tx>
            <c:v>盤平放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216211299957621"/>
                  <c:y val="-7.589241155594987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ω</a:t>
                    </a:r>
                    <a:r>
                      <a:rPr lang="en-US" altLang="zh-TW" baseline="0"/>
                      <a:t> = 1.079t + 2.1049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工作表3!$A$13:$A$53</c:f>
              <c:numCache>
                <c:formatCode>General</c:formatCode>
                <c:ptCount val="41"/>
                <c:pt idx="0">
                  <c:v>0.63600000000000001</c:v>
                </c:pt>
                <c:pt idx="1">
                  <c:v>1.4450000000000001</c:v>
                </c:pt>
                <c:pt idx="2">
                  <c:v>2.0350000000000001</c:v>
                </c:pt>
                <c:pt idx="3">
                  <c:v>2.5270000000000001</c:v>
                </c:pt>
                <c:pt idx="4">
                  <c:v>2.9529999999999998</c:v>
                </c:pt>
                <c:pt idx="5">
                  <c:v>3.3359999999999999</c:v>
                </c:pt>
                <c:pt idx="6">
                  <c:v>3.6890000000000001</c:v>
                </c:pt>
                <c:pt idx="7">
                  <c:v>4.0170000000000003</c:v>
                </c:pt>
                <c:pt idx="8">
                  <c:v>4.3230000000000004</c:v>
                </c:pt>
                <c:pt idx="9">
                  <c:v>4.6130000000000004</c:v>
                </c:pt>
                <c:pt idx="10">
                  <c:v>4.8890000000000002</c:v>
                </c:pt>
                <c:pt idx="11">
                  <c:v>5.1520000000000001</c:v>
                </c:pt>
                <c:pt idx="12">
                  <c:v>5.4050000000000002</c:v>
                </c:pt>
                <c:pt idx="13">
                  <c:v>5.65</c:v>
                </c:pt>
                <c:pt idx="14">
                  <c:v>5.8840000000000003</c:v>
                </c:pt>
                <c:pt idx="15">
                  <c:v>6.1120000000000001</c:v>
                </c:pt>
                <c:pt idx="16">
                  <c:v>6.3330000000000002</c:v>
                </c:pt>
                <c:pt idx="17">
                  <c:v>6.5469999999999997</c:v>
                </c:pt>
                <c:pt idx="18">
                  <c:v>6.7549999999999999</c:v>
                </c:pt>
                <c:pt idx="19">
                  <c:v>6.9590000000000005</c:v>
                </c:pt>
                <c:pt idx="20">
                  <c:v>7.157</c:v>
                </c:pt>
                <c:pt idx="21">
                  <c:v>7.351</c:v>
                </c:pt>
                <c:pt idx="22">
                  <c:v>7.54</c:v>
                </c:pt>
                <c:pt idx="23">
                  <c:v>7.7270000000000003</c:v>
                </c:pt>
                <c:pt idx="24">
                  <c:v>7.9080000000000004</c:v>
                </c:pt>
                <c:pt idx="25">
                  <c:v>8.0860000000000003</c:v>
                </c:pt>
                <c:pt idx="26">
                  <c:v>8.2620000000000005</c:v>
                </c:pt>
                <c:pt idx="27">
                  <c:v>8.4340000000000011</c:v>
                </c:pt>
                <c:pt idx="28">
                  <c:v>8.6029999999999998</c:v>
                </c:pt>
                <c:pt idx="29">
                  <c:v>8.77</c:v>
                </c:pt>
                <c:pt idx="30">
                  <c:v>8.9350000000000005</c:v>
                </c:pt>
                <c:pt idx="31">
                  <c:v>9.0960000000000001</c:v>
                </c:pt>
                <c:pt idx="32">
                  <c:v>9.2550000000000008</c:v>
                </c:pt>
                <c:pt idx="33">
                  <c:v>9.4130000000000003</c:v>
                </c:pt>
                <c:pt idx="34">
                  <c:v>9.5679999999999996</c:v>
                </c:pt>
                <c:pt idx="35">
                  <c:v>9.7200000000000006</c:v>
                </c:pt>
                <c:pt idx="36">
                  <c:v>9.8729999999999993</c:v>
                </c:pt>
                <c:pt idx="37">
                  <c:v>10.022</c:v>
                </c:pt>
                <c:pt idx="38">
                  <c:v>10.17</c:v>
                </c:pt>
                <c:pt idx="39">
                  <c:v>10.315</c:v>
                </c:pt>
                <c:pt idx="40">
                  <c:v>10.461</c:v>
                </c:pt>
              </c:numCache>
            </c:numRef>
          </c:xVal>
          <c:yVal>
            <c:numRef>
              <c:f>工作表3!$B$13:$B$53</c:f>
              <c:numCache>
                <c:formatCode>General</c:formatCode>
                <c:ptCount val="41"/>
                <c:pt idx="0">
                  <c:v>2.9656634649887645</c:v>
                </c:pt>
                <c:pt idx="1">
                  <c:v>3.6316811075498006</c:v>
                </c:pt>
                <c:pt idx="2">
                  <c:v>4.2725660088821193</c:v>
                </c:pt>
                <c:pt idx="3">
                  <c:v>4.7626544628421268</c:v>
                </c:pt>
                <c:pt idx="4">
                  <c:v>5.1899110637303378</c:v>
                </c:pt>
                <c:pt idx="5">
                  <c:v>5.5606189968539335</c:v>
                </c:pt>
                <c:pt idx="6">
                  <c:v>6.0444242655067617</c:v>
                </c:pt>
                <c:pt idx="7">
                  <c:v>6.4088490133231781</c:v>
                </c:pt>
                <c:pt idx="8">
                  <c:v>6.6853091668390805</c:v>
                </c:pt>
                <c:pt idx="9">
                  <c:v>7.0623002852698553</c:v>
                </c:pt>
                <c:pt idx="10">
                  <c:v>7.389025921243193</c:v>
                </c:pt>
                <c:pt idx="11">
                  <c:v>7.6654860747590954</c:v>
                </c:pt>
                <c:pt idx="12">
                  <c:v>7.9545125988893561</c:v>
                </c:pt>
                <c:pt idx="13">
                  <c:v>8.1618577140262829</c:v>
                </c:pt>
                <c:pt idx="14">
                  <c:v>8.6079638708360342</c:v>
                </c:pt>
                <c:pt idx="15">
                  <c:v>8.727344391672446</c:v>
                </c:pt>
                <c:pt idx="16">
                  <c:v>8.9786718039596298</c:v>
                </c:pt>
                <c:pt idx="17">
                  <c:v>9.242565586861172</c:v>
                </c:pt>
                <c:pt idx="18">
                  <c:v>9.5190257403770726</c:v>
                </c:pt>
                <c:pt idx="19">
                  <c:v>9.5190257403770726</c:v>
                </c:pt>
                <c:pt idx="20">
                  <c:v>9.9714150824940031</c:v>
                </c:pt>
                <c:pt idx="21">
                  <c:v>9.9714150824940031</c:v>
                </c:pt>
                <c:pt idx="22">
                  <c:v>10.298140718467343</c:v>
                </c:pt>
                <c:pt idx="23">
                  <c:v>10.474069907068371</c:v>
                </c:pt>
                <c:pt idx="24">
                  <c:v>10.649999095669399</c:v>
                </c:pt>
                <c:pt idx="25">
                  <c:v>10.832211469577606</c:v>
                </c:pt>
                <c:pt idx="26">
                  <c:v>11.020707028792994</c:v>
                </c:pt>
                <c:pt idx="27">
                  <c:v>11.422830888452488</c:v>
                </c:pt>
                <c:pt idx="28">
                  <c:v>11.422830888452488</c:v>
                </c:pt>
                <c:pt idx="29">
                  <c:v>11.636459188896595</c:v>
                </c:pt>
                <c:pt idx="30">
                  <c:v>11.856370674647879</c:v>
                </c:pt>
                <c:pt idx="31">
                  <c:v>11.856370674647879</c:v>
                </c:pt>
                <c:pt idx="32">
                  <c:v>12.082565345706344</c:v>
                </c:pt>
                <c:pt idx="33">
                  <c:v>12.32132638737917</c:v>
                </c:pt>
                <c:pt idx="34">
                  <c:v>12.082565345706344</c:v>
                </c:pt>
                <c:pt idx="35">
                  <c:v>12.566370614359172</c:v>
                </c:pt>
                <c:pt idx="36">
                  <c:v>12.566370614359172</c:v>
                </c:pt>
                <c:pt idx="37">
                  <c:v>13.087874994855079</c:v>
                </c:pt>
                <c:pt idx="38">
                  <c:v>12.823981211953535</c:v>
                </c:pt>
                <c:pt idx="39">
                  <c:v>13.370618333678161</c:v>
                </c:pt>
                <c:pt idx="40">
                  <c:v>13.370618333678161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A0-4736-8984-FB7DAE3DB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80480"/>
        <c:axId val="71182144"/>
      </c:scatterChart>
      <c:valAx>
        <c:axId val="711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182144"/>
        <c:crosses val="autoZero"/>
        <c:crossBetween val="midCat"/>
      </c:valAx>
      <c:valAx>
        <c:axId val="711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新細明體" panose="02020500000000000000" pitchFamily="18" charset="-120"/>
                    <a:ea typeface="新細明體" panose="02020500000000000000" pitchFamily="18" charset="-120"/>
                  </a:rPr>
                  <a:t>ω</a:t>
                </a:r>
                <a:r>
                  <a:rPr lang="en-US" altLang="zh-TW">
                    <a:latin typeface="新細明體" panose="02020500000000000000" pitchFamily="18" charset="-120"/>
                    <a:ea typeface="新細明體" panose="02020500000000000000" pitchFamily="18" charset="-120"/>
                  </a:rPr>
                  <a:t>(rad/s)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18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>
                <a:latin typeface="標楷體" panose="03000509000000000000" pitchFamily="65" charset="-120"/>
                <a:ea typeface="標楷體" panose="03000509000000000000" pitchFamily="65" charset="-120"/>
              </a:rPr>
              <a:t>鐵盤固定</a:t>
            </a:r>
            <a:r>
              <a:rPr lang="el-GR" altLang="zh-TW" sz="1400" b="0" i="0" baseline="0">
                <a:effectLst/>
                <a:ea typeface="標楷體" panose="03000509000000000000" pitchFamily="65" charset="-120"/>
              </a:rPr>
              <a:t>ω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ω</a:t>
                    </a:r>
                    <a:r>
                      <a:rPr lang="en-US" altLang="zh-TW" baseline="0"/>
                      <a:t> = 0.1447t - 0.1908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工作表4!$A$38:$A$71</c:f>
              <c:numCache>
                <c:formatCode>General</c:formatCode>
                <c:ptCount val="34"/>
                <c:pt idx="0">
                  <c:v>14.118</c:v>
                </c:pt>
                <c:pt idx="1">
                  <c:v>15.125</c:v>
                </c:pt>
                <c:pt idx="2">
                  <c:v>16.054000000000002</c:v>
                </c:pt>
                <c:pt idx="3">
                  <c:v>16.936</c:v>
                </c:pt>
                <c:pt idx="4">
                  <c:v>17.763999999999999</c:v>
                </c:pt>
                <c:pt idx="5">
                  <c:v>18.542000000000002</c:v>
                </c:pt>
                <c:pt idx="6">
                  <c:v>19.291</c:v>
                </c:pt>
                <c:pt idx="7">
                  <c:v>20.004999999999999</c:v>
                </c:pt>
                <c:pt idx="8">
                  <c:v>20.689</c:v>
                </c:pt>
                <c:pt idx="9">
                  <c:v>21.353000000000002</c:v>
                </c:pt>
                <c:pt idx="10">
                  <c:v>21.997</c:v>
                </c:pt>
                <c:pt idx="11">
                  <c:v>22.617000000000001</c:v>
                </c:pt>
                <c:pt idx="12">
                  <c:v>23.221</c:v>
                </c:pt>
                <c:pt idx="13">
                  <c:v>23.811</c:v>
                </c:pt>
                <c:pt idx="14">
                  <c:v>24.38</c:v>
                </c:pt>
                <c:pt idx="15">
                  <c:v>24.937000000000001</c:v>
                </c:pt>
                <c:pt idx="16">
                  <c:v>25.483000000000001</c:v>
                </c:pt>
                <c:pt idx="17">
                  <c:v>26.013000000000002</c:v>
                </c:pt>
                <c:pt idx="18">
                  <c:v>26.532</c:v>
                </c:pt>
                <c:pt idx="19">
                  <c:v>27.042999999999999</c:v>
                </c:pt>
                <c:pt idx="20">
                  <c:v>27.542999999999999</c:v>
                </c:pt>
                <c:pt idx="21">
                  <c:v>28.033000000000001</c:v>
                </c:pt>
                <c:pt idx="22">
                  <c:v>28.515000000000001</c:v>
                </c:pt>
                <c:pt idx="23">
                  <c:v>28.990000000000002</c:v>
                </c:pt>
                <c:pt idx="24">
                  <c:v>29.455000000000002</c:v>
                </c:pt>
                <c:pt idx="25">
                  <c:v>29.914999999999999</c:v>
                </c:pt>
                <c:pt idx="26">
                  <c:v>30.369</c:v>
                </c:pt>
                <c:pt idx="27">
                  <c:v>30.815999999999999</c:v>
                </c:pt>
                <c:pt idx="28">
                  <c:v>31.254999999999999</c:v>
                </c:pt>
                <c:pt idx="29">
                  <c:v>31.692</c:v>
                </c:pt>
                <c:pt idx="30">
                  <c:v>32.121000000000002</c:v>
                </c:pt>
                <c:pt idx="31">
                  <c:v>32.544000000000004</c:v>
                </c:pt>
                <c:pt idx="32">
                  <c:v>32.963999999999999</c:v>
                </c:pt>
                <c:pt idx="33">
                  <c:v>33.378999999999998</c:v>
                </c:pt>
              </c:numCache>
            </c:numRef>
          </c:xVal>
          <c:yVal>
            <c:numRef>
              <c:f>工作表4!$B$38:$B$71</c:f>
              <c:numCache>
                <c:formatCode>General</c:formatCode>
                <c:ptCount val="34"/>
                <c:pt idx="0">
                  <c:v>1.803274183160541</c:v>
                </c:pt>
                <c:pt idx="1">
                  <c:v>1.9917697423759289</c:v>
                </c:pt>
                <c:pt idx="2">
                  <c:v>2.0985838925979818</c:v>
                </c:pt>
                <c:pt idx="3">
                  <c:v>2.2179644134343937</c:v>
                </c:pt>
                <c:pt idx="4">
                  <c:v>2.3876104167282426</c:v>
                </c:pt>
                <c:pt idx="5">
                  <c:v>2.4818581963359367</c:v>
                </c:pt>
                <c:pt idx="6">
                  <c:v>2.5949555318651689</c:v>
                </c:pt>
                <c:pt idx="7">
                  <c:v>2.7080528673944015</c:v>
                </c:pt>
                <c:pt idx="8">
                  <c:v>2.8023006470020957</c:v>
                </c:pt>
                <c:pt idx="9">
                  <c:v>2.8965484266097894</c:v>
                </c:pt>
                <c:pt idx="10">
                  <c:v>3.0033625768318419</c:v>
                </c:pt>
                <c:pt idx="11">
                  <c:v>3.0976103564395361</c:v>
                </c:pt>
                <c:pt idx="12">
                  <c:v>3.1730085801256909</c:v>
                </c:pt>
                <c:pt idx="13">
                  <c:v>3.2923891009621031</c:v>
                </c:pt>
                <c:pt idx="14">
                  <c:v>3.3615041393410787</c:v>
                </c:pt>
                <c:pt idx="15">
                  <c:v>3.4306191777200543</c:v>
                </c:pt>
                <c:pt idx="16">
                  <c:v>3.5311501426349277</c:v>
                </c:pt>
                <c:pt idx="17">
                  <c:v>3.6128315516282616</c:v>
                </c:pt>
                <c:pt idx="18">
                  <c:v>3.6756634047000576</c:v>
                </c:pt>
                <c:pt idx="19">
                  <c:v>3.7196457018503151</c:v>
                </c:pt>
                <c:pt idx="20">
                  <c:v>3.8327430373795477</c:v>
                </c:pt>
                <c:pt idx="21">
                  <c:v>3.9269908169872414</c:v>
                </c:pt>
                <c:pt idx="22">
                  <c:v>3.9269908169872414</c:v>
                </c:pt>
                <c:pt idx="23">
                  <c:v>4.0023890406733962</c:v>
                </c:pt>
                <c:pt idx="24">
                  <c:v>4.1092031908954496</c:v>
                </c:pt>
                <c:pt idx="25">
                  <c:v>4.1343359321241682</c:v>
                </c:pt>
                <c:pt idx="26">
                  <c:v>4.1908845998887845</c:v>
                </c:pt>
                <c:pt idx="27">
                  <c:v>4.3039819354180171</c:v>
                </c:pt>
                <c:pt idx="28">
                  <c:v>4.3039819354180171</c:v>
                </c:pt>
                <c:pt idx="29">
                  <c:v>4.3605306031826325</c:v>
                </c:pt>
                <c:pt idx="30">
                  <c:v>4.423362456254428</c:v>
                </c:pt>
                <c:pt idx="31">
                  <c:v>4.4547783827903267</c:v>
                </c:pt>
                <c:pt idx="32">
                  <c:v>4.5176102358621222</c:v>
                </c:pt>
                <c:pt idx="33">
                  <c:v>4.6181412007769955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5F-43AE-AC5A-31131D92C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924064"/>
        <c:axId val="1799928640"/>
      </c:scatterChart>
      <c:valAx>
        <c:axId val="179992406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9928640"/>
        <c:crosses val="autoZero"/>
        <c:crossBetween val="midCat"/>
      </c:valAx>
      <c:valAx>
        <c:axId val="1799928640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 sz="1000" b="0" i="0" baseline="0">
                    <a:effectLst/>
                  </a:rPr>
                  <a:t>ω</a:t>
                </a:r>
                <a:r>
                  <a:rPr lang="en-US" altLang="zh-TW" sz="1000" b="0" i="0" baseline="0">
                    <a:effectLst/>
                  </a:rPr>
                  <a:t>(rad/s)</a:t>
                </a:r>
                <a:endParaRPr lang="zh-TW" altLang="zh-TW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992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>
                <a:latin typeface="標楷體" panose="03000509000000000000" pitchFamily="65" charset="-120"/>
                <a:ea typeface="標楷體" panose="03000509000000000000" pitchFamily="65" charset="-120"/>
              </a:rPr>
              <a:t>鐵盤自由</a:t>
            </a:r>
            <a:r>
              <a:rPr lang="el-GR" altLang="zh-TW" sz="1400" b="0" i="0" baseline="0">
                <a:effectLst/>
                <a:ea typeface="標楷體" panose="03000509000000000000" pitchFamily="65" charset="-120"/>
              </a:rPr>
              <a:t>ω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ω</a:t>
                    </a:r>
                    <a:r>
                      <a:rPr lang="en-US" altLang="zh-TW" baseline="0"/>
                      <a:t> = 0.1431t + 0.3078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工作表4!$C$38:$C$67</c:f>
              <c:numCache>
                <c:formatCode>General</c:formatCode>
                <c:ptCount val="30"/>
                <c:pt idx="0">
                  <c:v>13.78</c:v>
                </c:pt>
                <c:pt idx="1">
                  <c:v>14.607000000000001</c:v>
                </c:pt>
                <c:pt idx="2">
                  <c:v>15.388</c:v>
                </c:pt>
                <c:pt idx="3">
                  <c:v>16.129000000000001</c:v>
                </c:pt>
                <c:pt idx="4">
                  <c:v>16.84</c:v>
                </c:pt>
                <c:pt idx="5">
                  <c:v>17.527999999999999</c:v>
                </c:pt>
                <c:pt idx="6">
                  <c:v>18.189</c:v>
                </c:pt>
                <c:pt idx="7">
                  <c:v>18.827000000000002</c:v>
                </c:pt>
                <c:pt idx="8">
                  <c:v>19.448</c:v>
                </c:pt>
                <c:pt idx="9">
                  <c:v>20.05</c:v>
                </c:pt>
                <c:pt idx="10">
                  <c:v>20.635000000000002</c:v>
                </c:pt>
                <c:pt idx="11">
                  <c:v>21.208000000000002</c:v>
                </c:pt>
                <c:pt idx="12">
                  <c:v>21.766999999999999</c:v>
                </c:pt>
                <c:pt idx="13">
                  <c:v>22.31</c:v>
                </c:pt>
                <c:pt idx="14">
                  <c:v>22.844999999999999</c:v>
                </c:pt>
                <c:pt idx="15">
                  <c:v>23.368000000000002</c:v>
                </c:pt>
                <c:pt idx="16">
                  <c:v>23.878</c:v>
                </c:pt>
                <c:pt idx="17">
                  <c:v>24.38</c:v>
                </c:pt>
                <c:pt idx="18">
                  <c:v>24.875</c:v>
                </c:pt>
                <c:pt idx="19">
                  <c:v>25.356999999999999</c:v>
                </c:pt>
                <c:pt idx="20">
                  <c:v>25.831</c:v>
                </c:pt>
                <c:pt idx="21">
                  <c:v>26.301000000000002</c:v>
                </c:pt>
                <c:pt idx="22">
                  <c:v>26.760999999999999</c:v>
                </c:pt>
                <c:pt idx="23">
                  <c:v>27.212</c:v>
                </c:pt>
                <c:pt idx="24">
                  <c:v>27.66</c:v>
                </c:pt>
                <c:pt idx="25">
                  <c:v>28.100999999999999</c:v>
                </c:pt>
                <c:pt idx="26">
                  <c:v>28.532</c:v>
                </c:pt>
                <c:pt idx="27">
                  <c:v>28.96</c:v>
                </c:pt>
                <c:pt idx="28">
                  <c:v>29.384</c:v>
                </c:pt>
                <c:pt idx="29">
                  <c:v>29.8</c:v>
                </c:pt>
              </c:numCache>
            </c:numRef>
          </c:xVal>
          <c:yVal>
            <c:numRef>
              <c:f>工作表4!$D$38:$D$67</c:f>
              <c:numCache>
                <c:formatCode>General</c:formatCode>
                <c:ptCount val="30"/>
                <c:pt idx="0">
                  <c:v>2.27451308119901</c:v>
                </c:pt>
                <c:pt idx="1">
                  <c:v>2.3687608608067041</c:v>
                </c:pt>
                <c:pt idx="2">
                  <c:v>2.5007077522574757</c:v>
                </c:pt>
                <c:pt idx="3">
                  <c:v>2.6263714584010671</c:v>
                </c:pt>
                <c:pt idx="4">
                  <c:v>2.6954864967800423</c:v>
                </c:pt>
                <c:pt idx="5">
                  <c:v>2.8023006470020957</c:v>
                </c:pt>
                <c:pt idx="6">
                  <c:v>2.9342475384528668</c:v>
                </c:pt>
                <c:pt idx="7">
                  <c:v>3.0033625768318419</c:v>
                </c:pt>
                <c:pt idx="8">
                  <c:v>3.0787608005179972</c:v>
                </c:pt>
                <c:pt idx="9">
                  <c:v>3.1918581360472298</c:v>
                </c:pt>
                <c:pt idx="10">
                  <c:v>3.2735395450405647</c:v>
                </c:pt>
                <c:pt idx="11">
                  <c:v>3.3426545834195402</c:v>
                </c:pt>
                <c:pt idx="12">
                  <c:v>3.4494687336415932</c:v>
                </c:pt>
                <c:pt idx="13">
                  <c:v>3.4934510307918503</c:v>
                </c:pt>
                <c:pt idx="14">
                  <c:v>3.5876988103995435</c:v>
                </c:pt>
                <c:pt idx="15">
                  <c:v>3.6756634047000576</c:v>
                </c:pt>
                <c:pt idx="16">
                  <c:v>3.7384952577718535</c:v>
                </c:pt>
                <c:pt idx="17">
                  <c:v>3.7824775549221106</c:v>
                </c:pt>
                <c:pt idx="18">
                  <c:v>3.9018580757585228</c:v>
                </c:pt>
                <c:pt idx="19">
                  <c:v>3.95212355821596</c:v>
                </c:pt>
                <c:pt idx="20">
                  <c:v>3.9772562994446781</c:v>
                </c:pt>
                <c:pt idx="21">
                  <c:v>4.0526545231308333</c:v>
                </c:pt>
                <c:pt idx="22">
                  <c:v>4.1908845998887845</c:v>
                </c:pt>
                <c:pt idx="23">
                  <c:v>4.1908845998887845</c:v>
                </c:pt>
                <c:pt idx="24">
                  <c:v>4.2474332676534008</c:v>
                </c:pt>
                <c:pt idx="25">
                  <c:v>4.335397861953914</c:v>
                </c:pt>
                <c:pt idx="26">
                  <c:v>4.3605306031826325</c:v>
                </c:pt>
                <c:pt idx="27">
                  <c:v>4.3919465297185303</c:v>
                </c:pt>
                <c:pt idx="28">
                  <c:v>4.5176102358621222</c:v>
                </c:pt>
                <c:pt idx="29">
                  <c:v>4.5867252742410978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7A-4F83-A94F-F1CBBE3C7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84592"/>
        <c:axId val="1889285840"/>
      </c:scatterChart>
      <c:valAx>
        <c:axId val="18892845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9285840"/>
        <c:crosses val="autoZero"/>
        <c:crossBetween val="midCat"/>
      </c:valAx>
      <c:valAx>
        <c:axId val="188928584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 sz="1000" b="0" i="0" baseline="0">
                    <a:effectLst/>
                  </a:rPr>
                  <a:t>ω</a:t>
                </a:r>
                <a:r>
                  <a:rPr lang="en-US" altLang="zh-TW" sz="1000" b="0" i="0" baseline="0">
                    <a:effectLst/>
                  </a:rPr>
                  <a:t>(rad/s)</a:t>
                </a:r>
                <a:endParaRPr lang="zh-TW" altLang="zh-TW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928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>
                <a:latin typeface="標楷體" panose="03000509000000000000" pitchFamily="65" charset="-120"/>
                <a:ea typeface="標楷體" panose="03000509000000000000" pitchFamily="65" charset="-120"/>
              </a:rPr>
              <a:t>只軌道</a:t>
            </a:r>
            <a:r>
              <a:rPr lang="el-GR" altLang="zh-TW" sz="1400" b="0" i="0" baseline="0">
                <a:effectLst/>
                <a:ea typeface="標楷體" panose="03000509000000000000" pitchFamily="65" charset="-120"/>
              </a:rPr>
              <a:t>ω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707012408789215"/>
          <c:y val="0.15671206225680934"/>
          <c:w val="0.8635964876118235"/>
          <c:h val="0.6549766695829688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baseline="0">
                        <a:latin typeface="新細明體" panose="02020500000000000000" pitchFamily="18" charset="-120"/>
                        <a:ea typeface="新細明體" panose="02020500000000000000" pitchFamily="18" charset="-120"/>
                      </a:rPr>
                      <a:t>ω</a:t>
                    </a:r>
                    <a:r>
                      <a:rPr lang="en-US" altLang="zh-TW" baseline="0"/>
                      <a:t> = 0.3375t + 1.8614</a:t>
                    </a:r>
                    <a:endParaRPr lang="en-US" altLang="zh-TW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工作表4!$E$38:$E$64</c:f>
              <c:numCache>
                <c:formatCode>General</c:formatCode>
                <c:ptCount val="27"/>
                <c:pt idx="0">
                  <c:v>6.2530000000000001</c:v>
                </c:pt>
                <c:pt idx="1">
                  <c:v>6.7690000000000001</c:v>
                </c:pt>
                <c:pt idx="2">
                  <c:v>7.2620000000000005</c:v>
                </c:pt>
                <c:pt idx="3">
                  <c:v>7.7330000000000005</c:v>
                </c:pt>
                <c:pt idx="4">
                  <c:v>8.1810000000000009</c:v>
                </c:pt>
                <c:pt idx="5">
                  <c:v>8.6129999999999995</c:v>
                </c:pt>
                <c:pt idx="6">
                  <c:v>9.032</c:v>
                </c:pt>
                <c:pt idx="7">
                  <c:v>9.4359999999999999</c:v>
                </c:pt>
                <c:pt idx="8">
                  <c:v>9.8250000000000011</c:v>
                </c:pt>
                <c:pt idx="9">
                  <c:v>10.205</c:v>
                </c:pt>
                <c:pt idx="10">
                  <c:v>10.575000000000001</c:v>
                </c:pt>
                <c:pt idx="11">
                  <c:v>10.934000000000001</c:v>
                </c:pt>
                <c:pt idx="12">
                  <c:v>11.285</c:v>
                </c:pt>
                <c:pt idx="13">
                  <c:v>11.63</c:v>
                </c:pt>
                <c:pt idx="14">
                  <c:v>11.965</c:v>
                </c:pt>
                <c:pt idx="15">
                  <c:v>12.294</c:v>
                </c:pt>
                <c:pt idx="16">
                  <c:v>12.617000000000001</c:v>
                </c:pt>
                <c:pt idx="17">
                  <c:v>12.934000000000001</c:v>
                </c:pt>
                <c:pt idx="18">
                  <c:v>13.244</c:v>
                </c:pt>
                <c:pt idx="19">
                  <c:v>13.548999999999999</c:v>
                </c:pt>
                <c:pt idx="20">
                  <c:v>13.85</c:v>
                </c:pt>
                <c:pt idx="21">
                  <c:v>14.145</c:v>
                </c:pt>
                <c:pt idx="22">
                  <c:v>14.436</c:v>
                </c:pt>
                <c:pt idx="23">
                  <c:v>14.723000000000001</c:v>
                </c:pt>
                <c:pt idx="24">
                  <c:v>15.004</c:v>
                </c:pt>
                <c:pt idx="25">
                  <c:v>15.282</c:v>
                </c:pt>
                <c:pt idx="26">
                  <c:v>15.557</c:v>
                </c:pt>
              </c:numCache>
            </c:numRef>
          </c:xVal>
          <c:yVal>
            <c:numRef>
              <c:f>工作表4!$F$38:$F$64</c:f>
              <c:numCache>
                <c:formatCode>General</c:formatCode>
                <c:ptCount val="27"/>
                <c:pt idx="0">
                  <c:v>3.95212355821596</c:v>
                </c:pt>
                <c:pt idx="1">
                  <c:v>4.1343359321241682</c:v>
                </c:pt>
                <c:pt idx="2">
                  <c:v>4.3039819354180171</c:v>
                </c:pt>
                <c:pt idx="3">
                  <c:v>4.4547783827903267</c:v>
                </c:pt>
                <c:pt idx="4">
                  <c:v>4.6181412007769955</c:v>
                </c:pt>
                <c:pt idx="5">
                  <c:v>4.7940703893780245</c:v>
                </c:pt>
                <c:pt idx="6">
                  <c:v>4.9071677249072572</c:v>
                </c:pt>
                <c:pt idx="7">
                  <c:v>5.026548245743669</c:v>
                </c:pt>
                <c:pt idx="8">
                  <c:v>5.1899110637303378</c:v>
                </c:pt>
                <c:pt idx="9">
                  <c:v>5.3218579551811098</c:v>
                </c:pt>
                <c:pt idx="10">
                  <c:v>5.4161057347888031</c:v>
                </c:pt>
                <c:pt idx="11">
                  <c:v>5.5606189968539335</c:v>
                </c:pt>
                <c:pt idx="12">
                  <c:v>5.6611499617688077</c:v>
                </c:pt>
                <c:pt idx="13">
                  <c:v>5.8182295944482973</c:v>
                </c:pt>
                <c:pt idx="14">
                  <c:v>5.8747782622129137</c:v>
                </c:pt>
                <c:pt idx="15">
                  <c:v>6.0444242655067617</c:v>
                </c:pt>
                <c:pt idx="16">
                  <c:v>6.1575216010359943</c:v>
                </c:pt>
                <c:pt idx="17">
                  <c:v>6.2203534541077907</c:v>
                </c:pt>
                <c:pt idx="18">
                  <c:v>6.3460171602513817</c:v>
                </c:pt>
                <c:pt idx="19">
                  <c:v>6.4779640517021528</c:v>
                </c:pt>
                <c:pt idx="20">
                  <c:v>6.5470790900811293</c:v>
                </c:pt>
                <c:pt idx="21">
                  <c:v>6.616194128460104</c:v>
                </c:pt>
                <c:pt idx="22">
                  <c:v>6.7544242052180552</c:v>
                </c:pt>
                <c:pt idx="23">
                  <c:v>6.82982242890421</c:v>
                </c:pt>
                <c:pt idx="24">
                  <c:v>6.9052206525903648</c:v>
                </c:pt>
                <c:pt idx="25">
                  <c:v>6.9806188762765204</c:v>
                </c:pt>
                <c:pt idx="26">
                  <c:v>7.0623002852698553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08-4E07-BB31-996662153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82096"/>
        <c:axId val="1889281680"/>
      </c:scatterChart>
      <c:valAx>
        <c:axId val="188928209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9281680"/>
        <c:crosses val="autoZero"/>
        <c:crossBetween val="midCat"/>
      </c:valAx>
      <c:valAx>
        <c:axId val="18892816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 sz="1000" b="0" i="0" baseline="0">
                    <a:effectLst/>
                  </a:rPr>
                  <a:t>ω</a:t>
                </a:r>
                <a:r>
                  <a:rPr lang="en-US" altLang="zh-TW" sz="1000" b="0" i="0" baseline="0">
                    <a:effectLst/>
                  </a:rPr>
                  <a:t>(rad/s)</a:t>
                </a:r>
                <a:endParaRPr lang="zh-TW" altLang="zh-TW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928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755649</xdr:colOff>
      <xdr:row>7</xdr:row>
      <xdr:rowOff>76200</xdr:rowOff>
    </xdr:from>
    <xdr:to>
      <xdr:col>17</xdr:col>
      <xdr:colOff>570864</xdr:colOff>
      <xdr:row>19</xdr:row>
      <xdr:rowOff>95250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7</xdr:row>
      <xdr:rowOff>171450</xdr:rowOff>
    </xdr:from>
    <xdr:to>
      <xdr:col>10</xdr:col>
      <xdr:colOff>615950</xdr:colOff>
      <xdr:row>20</xdr:row>
      <xdr:rowOff>69850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753110</xdr:colOff>
      <xdr:row>47</xdr:row>
      <xdr:rowOff>121920</xdr:rowOff>
    </xdr:from>
    <xdr:to>
      <xdr:col>13</xdr:col>
      <xdr:colOff>538480</xdr:colOff>
      <xdr:row>60</xdr:row>
      <xdr:rowOff>48260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292100</xdr:colOff>
      <xdr:row>39</xdr:row>
      <xdr:rowOff>15240</xdr:rowOff>
    </xdr:from>
    <xdr:to>
      <xdr:col>15</xdr:col>
      <xdr:colOff>25400</xdr:colOff>
      <xdr:row>51</xdr:row>
      <xdr:rowOff>167640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144780</xdr:colOff>
      <xdr:row>23</xdr:row>
      <xdr:rowOff>186690</xdr:rowOff>
    </xdr:from>
    <xdr:to>
      <xdr:col>14</xdr:col>
      <xdr:colOff>403860</xdr:colOff>
      <xdr:row>37</xdr:row>
      <xdr:rowOff>49530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181610</xdr:colOff>
      <xdr:row>36</xdr:row>
      <xdr:rowOff>8890</xdr:rowOff>
    </xdr:from>
    <xdr:to>
      <xdr:col>23</xdr:col>
      <xdr:colOff>556260</xdr:colOff>
      <xdr:row>48</xdr:row>
      <xdr:rowOff>151130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168910</xdr:colOff>
      <xdr:row>40</xdr:row>
      <xdr:rowOff>115570</xdr:rowOff>
    </xdr:from>
    <xdr:to>
      <xdr:col>8</xdr:col>
      <xdr:colOff>251460</xdr:colOff>
      <xdr:row>53</xdr:row>
      <xdr:rowOff>62230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215900</xdr:colOff>
      <xdr:row>34</xdr:row>
      <xdr:rowOff>43180</xdr:rowOff>
    </xdr:from>
    <xdr:to>
      <xdr:col>15</xdr:col>
      <xdr:colOff>342900</xdr:colOff>
      <xdr:row>46</xdr:row>
      <xdr:rowOff>195580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O2" sqref="O2"/>
    </sheetView>
  </sheetViews>
  <sheetFormatPr defaultRowHeight="17" x14ac:dyDescent="0.4"/>
  <cols>
    <col min="9" max="9" width="12.453125" customWidth="1"/>
    <col min="10" max="10" width="11.90625" customWidth="1"/>
    <col min="11" max="11" width="11.26953125" customWidth="1"/>
    <col min="12" max="12" width="11.36328125" customWidth="1"/>
    <col min="14" max="14" width="11.36328125" customWidth="1"/>
    <col min="15" max="15" width="10.453125" customWidth="1"/>
  </cols>
  <sheetData>
    <row r="1" spans="1:18" x14ac:dyDescent="0.4">
      <c r="C1" t="s">
        <v>0</v>
      </c>
      <c r="D1" t="s">
        <v>1</v>
      </c>
      <c r="I1" t="s">
        <v>81</v>
      </c>
      <c r="J1" s="5" t="s">
        <v>92</v>
      </c>
    </row>
    <row r="2" spans="1:18" x14ac:dyDescent="0.4">
      <c r="A2" t="s">
        <v>2</v>
      </c>
      <c r="B2" t="s">
        <v>3</v>
      </c>
      <c r="C2" t="s">
        <v>4</v>
      </c>
      <c r="E2" t="s">
        <v>5</v>
      </c>
      <c r="G2" t="s">
        <v>43</v>
      </c>
      <c r="J2" s="2" t="s">
        <v>80</v>
      </c>
      <c r="K2" s="2" t="s">
        <v>79</v>
      </c>
      <c r="L2" s="2" t="s">
        <v>78</v>
      </c>
      <c r="M2" s="2" t="s">
        <v>77</v>
      </c>
      <c r="N2" s="2" t="s">
        <v>93</v>
      </c>
      <c r="O2" s="2" t="s">
        <v>90</v>
      </c>
    </row>
    <row r="3" spans="1:18" x14ac:dyDescent="0.4">
      <c r="A3">
        <v>0.27209</v>
      </c>
      <c r="B3">
        <v>0.1</v>
      </c>
      <c r="C3">
        <f>A3*B3^2</f>
        <v>2.7209000000000005E-3</v>
      </c>
      <c r="E3">
        <f>E5-E4</f>
        <v>3.0423391712629394E-3</v>
      </c>
      <c r="G3">
        <f>(E3-C3)/C3</f>
        <v>0.11813707643167293</v>
      </c>
      <c r="I3" s="2" t="s">
        <v>83</v>
      </c>
      <c r="J3">
        <v>8.3000000000000001E-3</v>
      </c>
      <c r="K3">
        <v>0.15</v>
      </c>
      <c r="L3" s="4">
        <v>0.62350000000000005</v>
      </c>
      <c r="M3">
        <v>0.19600000000000001</v>
      </c>
      <c r="N3" s="7">
        <f>(B9*(9.8-B11*B10)-B8)*B11</f>
        <v>1.0567757062750002E-2</v>
      </c>
      <c r="O3" s="7">
        <v>1.6948999999999999E-2</v>
      </c>
    </row>
    <row r="4" spans="1:18" x14ac:dyDescent="0.4">
      <c r="A4">
        <v>0</v>
      </c>
      <c r="E4">
        <f>(B9*(9.8-B11*D10)-B8)*B11/D10</f>
        <v>1.3906749943011321E-2</v>
      </c>
      <c r="I4" s="2" t="s">
        <v>82</v>
      </c>
      <c r="J4">
        <v>8.3000000000000001E-3</v>
      </c>
      <c r="K4">
        <v>0.15</v>
      </c>
      <c r="L4" s="4">
        <v>0.75980000000000003</v>
      </c>
      <c r="M4">
        <v>0.19600000000000001</v>
      </c>
      <c r="N4" s="7">
        <f>(B9*(9.8-B11*D10)-B8)*B11</f>
        <v>1.0566348606700002E-2</v>
      </c>
      <c r="O4" s="7">
        <v>1.3906999999999999E-2</v>
      </c>
    </row>
    <row r="5" spans="1:18" x14ac:dyDescent="0.4">
      <c r="A5" t="s">
        <v>23</v>
      </c>
      <c r="E5">
        <f>(B9*(9.8-B11*B10)-B8)*B11/B10</f>
        <v>1.6949089114274261E-2</v>
      </c>
      <c r="J5" s="2" t="s">
        <v>84</v>
      </c>
      <c r="K5" s="2" t="s">
        <v>85</v>
      </c>
      <c r="L5" s="2"/>
      <c r="M5" s="2" t="s">
        <v>75</v>
      </c>
      <c r="N5" s="2" t="s">
        <v>74</v>
      </c>
      <c r="O5" s="2" t="s">
        <v>73</v>
      </c>
    </row>
    <row r="6" spans="1:18" x14ac:dyDescent="0.4">
      <c r="C6" t="s">
        <v>6</v>
      </c>
      <c r="J6">
        <v>0.27200000000000002</v>
      </c>
      <c r="K6">
        <v>0.1</v>
      </c>
      <c r="L6" s="2" t="s">
        <v>86</v>
      </c>
      <c r="M6" s="8">
        <v>2.7209999999999999E-3</v>
      </c>
      <c r="N6">
        <v>3.0400000000000002E-3</v>
      </c>
      <c r="O6" s="1">
        <v>0.1181</v>
      </c>
    </row>
    <row r="7" spans="1:18" x14ac:dyDescent="0.4">
      <c r="B7" t="s">
        <v>7</v>
      </c>
      <c r="D7" t="s">
        <v>8</v>
      </c>
    </row>
    <row r="8" spans="1:18" x14ac:dyDescent="0.4">
      <c r="A8" t="s">
        <v>9</v>
      </c>
      <c r="B8">
        <f>20*0.0098</f>
        <v>0.19600000000000001</v>
      </c>
      <c r="D8">
        <v>0.19600000000000001</v>
      </c>
    </row>
    <row r="9" spans="1:18" x14ac:dyDescent="0.4">
      <c r="A9" t="s">
        <v>10</v>
      </c>
      <c r="B9">
        <v>0.15</v>
      </c>
      <c r="D9">
        <v>0.15</v>
      </c>
    </row>
    <row r="10" spans="1:18" x14ac:dyDescent="0.4">
      <c r="A10" t="s">
        <v>11</v>
      </c>
      <c r="B10">
        <v>0.62350000000000005</v>
      </c>
      <c r="D10">
        <v>0.75980000000000003</v>
      </c>
      <c r="I10">
        <v>3072</v>
      </c>
      <c r="J10">
        <v>3497</v>
      </c>
      <c r="K10">
        <v>0.23499999999999999</v>
      </c>
      <c r="L10">
        <v>4.25</v>
      </c>
      <c r="O10">
        <v>2341</v>
      </c>
      <c r="P10">
        <v>2805</v>
      </c>
      <c r="Q10">
        <v>0.216</v>
      </c>
      <c r="R10">
        <v>4.6399999999999997</v>
      </c>
    </row>
    <row r="11" spans="1:18" x14ac:dyDescent="0.4">
      <c r="A11" t="s">
        <v>12</v>
      </c>
      <c r="B11">
        <v>8.3000000000000001E-3</v>
      </c>
      <c r="D11">
        <v>8.3000000000000001E-3</v>
      </c>
      <c r="I11">
        <v>4179</v>
      </c>
      <c r="J11">
        <v>4474</v>
      </c>
      <c r="K11">
        <v>0.33900000000000002</v>
      </c>
      <c r="L11">
        <v>2.95</v>
      </c>
      <c r="O11">
        <v>3456</v>
      </c>
      <c r="P11">
        <v>3720</v>
      </c>
      <c r="Q11">
        <v>0.379</v>
      </c>
      <c r="R11">
        <v>2.64</v>
      </c>
    </row>
    <row r="12" spans="1:18" x14ac:dyDescent="0.4">
      <c r="D12" t="s">
        <v>13</v>
      </c>
      <c r="I12">
        <v>4998</v>
      </c>
      <c r="J12">
        <v>5230</v>
      </c>
      <c r="K12">
        <v>0.43099999999999999</v>
      </c>
      <c r="L12">
        <v>2.3199999999999998</v>
      </c>
      <c r="O12">
        <v>4183</v>
      </c>
      <c r="P12">
        <v>4392</v>
      </c>
      <c r="Q12">
        <v>0.47799999999999998</v>
      </c>
      <c r="R12">
        <v>2.09</v>
      </c>
    </row>
    <row r="13" spans="1:18" x14ac:dyDescent="0.4">
      <c r="A13" t="s">
        <v>14</v>
      </c>
      <c r="I13">
        <v>5643</v>
      </c>
      <c r="J13">
        <v>5833</v>
      </c>
      <c r="K13">
        <v>0.52600000000000002</v>
      </c>
      <c r="L13">
        <v>1.9</v>
      </c>
      <c r="O13">
        <v>4783</v>
      </c>
      <c r="P13">
        <v>4965</v>
      </c>
      <c r="Q13">
        <v>0.54900000000000004</v>
      </c>
      <c r="R13">
        <v>1.82</v>
      </c>
    </row>
    <row r="14" spans="1:18" x14ac:dyDescent="0.4">
      <c r="A14" t="s">
        <v>15</v>
      </c>
      <c r="F14">
        <v>10</v>
      </c>
      <c r="I14">
        <v>6194</v>
      </c>
      <c r="J14">
        <v>6367</v>
      </c>
      <c r="K14">
        <v>0.57799999999999996</v>
      </c>
      <c r="L14">
        <v>1.73</v>
      </c>
      <c r="O14">
        <v>5304</v>
      </c>
      <c r="P14">
        <v>5464</v>
      </c>
      <c r="Q14">
        <v>0.625</v>
      </c>
      <c r="R14">
        <v>1.6</v>
      </c>
    </row>
    <row r="15" spans="1:18" x14ac:dyDescent="0.4">
      <c r="A15" t="s">
        <v>16</v>
      </c>
      <c r="I15">
        <v>6701</v>
      </c>
      <c r="J15">
        <v>6860</v>
      </c>
      <c r="K15">
        <v>0.629</v>
      </c>
      <c r="L15">
        <v>1.59</v>
      </c>
      <c r="O15">
        <v>5766</v>
      </c>
      <c r="P15">
        <v>5910</v>
      </c>
      <c r="Q15">
        <v>0.69399999999999995</v>
      </c>
      <c r="R15">
        <v>1.44</v>
      </c>
    </row>
    <row r="16" spans="1:18" x14ac:dyDescent="0.4">
      <c r="A16" t="s">
        <v>17</v>
      </c>
      <c r="I16">
        <v>7162</v>
      </c>
      <c r="J16">
        <v>7307</v>
      </c>
      <c r="K16">
        <v>0.69</v>
      </c>
      <c r="L16">
        <v>1.45</v>
      </c>
      <c r="O16">
        <v>6189</v>
      </c>
      <c r="P16">
        <v>6323</v>
      </c>
      <c r="Q16">
        <v>0.746</v>
      </c>
      <c r="R16">
        <v>1.34</v>
      </c>
    </row>
    <row r="17" spans="1:18" x14ac:dyDescent="0.4">
      <c r="A17" t="s">
        <v>18</v>
      </c>
      <c r="I17">
        <v>7587</v>
      </c>
      <c r="J17">
        <v>7724</v>
      </c>
      <c r="K17">
        <v>0.73</v>
      </c>
      <c r="L17">
        <v>1.37</v>
      </c>
      <c r="O17">
        <v>6583</v>
      </c>
      <c r="P17">
        <v>6708</v>
      </c>
      <c r="Q17">
        <v>0.8</v>
      </c>
      <c r="R17">
        <v>1.25</v>
      </c>
    </row>
    <row r="18" spans="1:18" x14ac:dyDescent="0.4">
      <c r="D18">
        <v>2</v>
      </c>
      <c r="F18">
        <f>PI()*2</f>
        <v>6.2831853071795862</v>
      </c>
      <c r="I18">
        <v>7992</v>
      </c>
      <c r="J18">
        <v>8122</v>
      </c>
      <c r="K18">
        <v>0.76900000000000002</v>
      </c>
      <c r="L18">
        <v>1.3</v>
      </c>
      <c r="O18">
        <v>6950</v>
      </c>
      <c r="P18">
        <v>7067</v>
      </c>
      <c r="Q18">
        <v>0.85499999999999998</v>
      </c>
      <c r="R18">
        <v>1.17</v>
      </c>
    </row>
    <row r="19" spans="1:18" x14ac:dyDescent="0.4">
      <c r="I19">
        <v>8376</v>
      </c>
      <c r="J19">
        <v>8498</v>
      </c>
      <c r="K19">
        <v>0.82</v>
      </c>
      <c r="L19">
        <v>1.22</v>
      </c>
      <c r="O19">
        <v>7296</v>
      </c>
      <c r="P19">
        <v>7407</v>
      </c>
      <c r="Q19">
        <v>0.90100000000000002</v>
      </c>
      <c r="R19">
        <v>1.1100000000000001</v>
      </c>
    </row>
    <row r="20" spans="1:18" x14ac:dyDescent="0.4">
      <c r="B20" t="s">
        <v>19</v>
      </c>
      <c r="E20">
        <v>1E-3</v>
      </c>
      <c r="I20">
        <v>8735</v>
      </c>
      <c r="J20">
        <v>8851</v>
      </c>
      <c r="K20">
        <v>0.86199999999999999</v>
      </c>
      <c r="L20">
        <v>1.1599999999999999</v>
      </c>
      <c r="O20">
        <v>7624</v>
      </c>
      <c r="P20">
        <v>7731</v>
      </c>
      <c r="Q20">
        <v>0.93500000000000005</v>
      </c>
      <c r="R20">
        <v>1.07</v>
      </c>
    </row>
    <row r="21" spans="1:18" x14ac:dyDescent="0.4">
      <c r="A21" t="s">
        <v>20</v>
      </c>
      <c r="B21" t="s">
        <v>21</v>
      </c>
      <c r="C21" t="s">
        <v>22</v>
      </c>
      <c r="D21" t="s">
        <v>21</v>
      </c>
      <c r="I21">
        <v>9080</v>
      </c>
      <c r="J21">
        <v>9193</v>
      </c>
      <c r="K21">
        <v>0.88500000000000001</v>
      </c>
      <c r="L21">
        <v>1.1299999999999999</v>
      </c>
      <c r="O21">
        <v>7938</v>
      </c>
      <c r="P21">
        <v>8039</v>
      </c>
      <c r="Q21">
        <v>0.99</v>
      </c>
      <c r="R21">
        <v>1.01</v>
      </c>
    </row>
    <row r="22" spans="1:18" x14ac:dyDescent="0.4">
      <c r="A22">
        <v>3.0720000000000001</v>
      </c>
      <c r="B22">
        <f>0.235*(PI()*2)</f>
        <v>1.4765485471872026</v>
      </c>
      <c r="C22">
        <v>2.3410000000000002</v>
      </c>
      <c r="D22">
        <f>0.216*(PI()*2)</f>
        <v>1.3571680263507906</v>
      </c>
      <c r="I22">
        <v>9414</v>
      </c>
      <c r="J22">
        <v>9523</v>
      </c>
      <c r="K22">
        <v>0.91700000000000004</v>
      </c>
      <c r="L22">
        <v>1.0900000000000001</v>
      </c>
      <c r="O22">
        <v>8237</v>
      </c>
      <c r="P22">
        <v>8334</v>
      </c>
      <c r="Q22">
        <v>1.0309999999999999</v>
      </c>
      <c r="R22">
        <v>0.97</v>
      </c>
    </row>
    <row r="23" spans="1:18" x14ac:dyDescent="0.4">
      <c r="A23">
        <v>4.1790000000000003</v>
      </c>
      <c r="B23">
        <f>0.339*(PI()*2)</f>
        <v>2.12999981913388</v>
      </c>
      <c r="C23">
        <v>3.4560000000000004</v>
      </c>
      <c r="D23">
        <f>0.379*(PI()*2)</f>
        <v>2.3813272314210634</v>
      </c>
      <c r="F23">
        <v>10</v>
      </c>
      <c r="I23">
        <v>9734</v>
      </c>
      <c r="J23">
        <v>9837</v>
      </c>
      <c r="K23">
        <v>0.97099999999999997</v>
      </c>
      <c r="L23">
        <v>1.03</v>
      </c>
      <c r="O23">
        <v>8525</v>
      </c>
      <c r="P23">
        <v>8620</v>
      </c>
      <c r="Q23">
        <v>1.0529999999999999</v>
      </c>
      <c r="R23">
        <v>0.95</v>
      </c>
    </row>
    <row r="24" spans="1:18" x14ac:dyDescent="0.4">
      <c r="A24">
        <v>4.9980000000000002</v>
      </c>
      <c r="B24">
        <f>0.431*(PI()*2)</f>
        <v>2.7080528673944015</v>
      </c>
      <c r="C24">
        <v>4.1829999999999998</v>
      </c>
      <c r="D24">
        <f>0.478*(PI()*2)</f>
        <v>3.0033625768318419</v>
      </c>
      <c r="I24">
        <v>10042</v>
      </c>
      <c r="J24">
        <v>10143</v>
      </c>
      <c r="K24">
        <v>0.99</v>
      </c>
      <c r="L24">
        <v>1.01</v>
      </c>
      <c r="O24">
        <v>8805</v>
      </c>
      <c r="P24">
        <v>8895</v>
      </c>
      <c r="Q24">
        <v>1.111</v>
      </c>
      <c r="R24">
        <v>0.9</v>
      </c>
    </row>
    <row r="25" spans="1:18" x14ac:dyDescent="0.4">
      <c r="A25">
        <v>5.6430000000000007</v>
      </c>
      <c r="B25">
        <f>0.526*(PI()*2)</f>
        <v>3.3049554715764624</v>
      </c>
      <c r="C25">
        <v>4.7830000000000004</v>
      </c>
      <c r="D25">
        <f>0.549*(PI()*2)</f>
        <v>3.4494687336415932</v>
      </c>
      <c r="I25">
        <v>10343</v>
      </c>
      <c r="J25">
        <v>10442</v>
      </c>
      <c r="K25">
        <v>1.01</v>
      </c>
      <c r="L25">
        <v>0.99</v>
      </c>
      <c r="O25">
        <v>9074</v>
      </c>
      <c r="P25">
        <v>9162</v>
      </c>
      <c r="Q25">
        <v>1.1359999999999999</v>
      </c>
      <c r="R25">
        <v>0.88</v>
      </c>
    </row>
    <row r="26" spans="1:18" x14ac:dyDescent="0.4">
      <c r="A26">
        <v>6.1940000000000008</v>
      </c>
      <c r="B26">
        <f>0.578*(PI()*2)</f>
        <v>3.6316811075498006</v>
      </c>
      <c r="C26">
        <v>5.3040000000000003</v>
      </c>
      <c r="D26">
        <f>0.625*(PI()*2)</f>
        <v>3.9269908169872414</v>
      </c>
      <c r="I26">
        <v>10635</v>
      </c>
      <c r="J26">
        <v>10729</v>
      </c>
      <c r="K26">
        <v>1.0640000000000001</v>
      </c>
      <c r="L26">
        <v>0.94</v>
      </c>
      <c r="O26">
        <v>9335</v>
      </c>
      <c r="P26">
        <v>9420</v>
      </c>
      <c r="Q26">
        <v>1.1759999999999999</v>
      </c>
      <c r="R26">
        <v>0.85</v>
      </c>
    </row>
    <row r="27" spans="1:18" x14ac:dyDescent="0.4">
      <c r="A27">
        <v>6.7010000000000005</v>
      </c>
      <c r="B27">
        <f>0.629*(PI()*2)</f>
        <v>3.95212355821596</v>
      </c>
      <c r="C27">
        <v>5.766</v>
      </c>
      <c r="D27">
        <f>0.694*(PI()*2)</f>
        <v>4.3605306031826325</v>
      </c>
      <c r="I27">
        <v>10915</v>
      </c>
      <c r="J27">
        <v>11009</v>
      </c>
      <c r="K27">
        <v>1.0640000000000001</v>
      </c>
      <c r="L27">
        <v>0.94</v>
      </c>
      <c r="O27">
        <v>9590</v>
      </c>
      <c r="P27">
        <v>9673</v>
      </c>
      <c r="Q27">
        <v>1.2050000000000001</v>
      </c>
      <c r="R27">
        <v>0.83</v>
      </c>
    </row>
    <row r="28" spans="1:18" x14ac:dyDescent="0.4">
      <c r="A28">
        <v>7.1620000000000008</v>
      </c>
      <c r="B28">
        <f>0.69*(PI()*2)</f>
        <v>4.335397861953914</v>
      </c>
      <c r="C28">
        <v>6.1890000000000001</v>
      </c>
      <c r="D28">
        <f>0.746*(PI()*2)</f>
        <v>4.6872562391559711</v>
      </c>
      <c r="I28">
        <v>11192</v>
      </c>
      <c r="J28">
        <v>11283</v>
      </c>
      <c r="K28">
        <v>1.099</v>
      </c>
      <c r="L28">
        <v>0.91</v>
      </c>
      <c r="O28">
        <v>9838</v>
      </c>
      <c r="P28">
        <v>9920</v>
      </c>
      <c r="Q28">
        <v>1.22</v>
      </c>
      <c r="R28">
        <v>0.82</v>
      </c>
    </row>
    <row r="29" spans="1:18" x14ac:dyDescent="0.4">
      <c r="A29">
        <v>7.5870000000000006</v>
      </c>
      <c r="B29">
        <f>0.73*(PI()*2)</f>
        <v>4.5867252742410978</v>
      </c>
      <c r="C29">
        <v>6.5830000000000002</v>
      </c>
      <c r="D29">
        <f>0.8*(PI()*2)</f>
        <v>5.026548245743669</v>
      </c>
      <c r="I29">
        <v>11461</v>
      </c>
      <c r="J29">
        <v>11549</v>
      </c>
      <c r="K29">
        <v>1.1359999999999999</v>
      </c>
      <c r="L29">
        <v>0.88</v>
      </c>
      <c r="O29">
        <v>10080</v>
      </c>
      <c r="P29">
        <v>10159</v>
      </c>
      <c r="Q29">
        <v>1.266</v>
      </c>
      <c r="R29">
        <v>0.79</v>
      </c>
    </row>
    <row r="30" spans="1:18" x14ac:dyDescent="0.4">
      <c r="A30">
        <v>7.992</v>
      </c>
      <c r="B30">
        <f>0.769*(PI()*2)</f>
        <v>4.8317695012211015</v>
      </c>
      <c r="C30">
        <v>6.9500000000000011</v>
      </c>
      <c r="D30">
        <f>0.855*(PI()*2)</f>
        <v>5.3721234376385461</v>
      </c>
      <c r="I30">
        <v>11722</v>
      </c>
      <c r="J30">
        <v>11808</v>
      </c>
      <c r="K30">
        <v>1.163</v>
      </c>
      <c r="L30">
        <v>0.86</v>
      </c>
      <c r="O30">
        <v>10316</v>
      </c>
      <c r="P30">
        <v>10394</v>
      </c>
      <c r="Q30">
        <v>1.282</v>
      </c>
      <c r="R30">
        <v>0.78</v>
      </c>
    </row>
    <row r="31" spans="1:18" x14ac:dyDescent="0.4">
      <c r="A31">
        <v>8.3759999999999994</v>
      </c>
      <c r="B31">
        <f>0.82*(PI()*2)</f>
        <v>5.15221195188726</v>
      </c>
      <c r="C31">
        <v>7.2960000000000003</v>
      </c>
      <c r="D31">
        <f>0.901*(PI()*2)</f>
        <v>5.6611499617688077</v>
      </c>
      <c r="I31">
        <v>11979</v>
      </c>
      <c r="J31">
        <v>12063</v>
      </c>
      <c r="K31">
        <v>1.19</v>
      </c>
      <c r="L31">
        <v>0.84</v>
      </c>
      <c r="O31">
        <v>10549</v>
      </c>
      <c r="P31">
        <v>10625</v>
      </c>
      <c r="Q31">
        <v>1.3160000000000001</v>
      </c>
      <c r="R31">
        <v>0.76</v>
      </c>
    </row>
    <row r="32" spans="1:18" x14ac:dyDescent="0.4">
      <c r="A32">
        <v>8.7350000000000012</v>
      </c>
      <c r="B32">
        <f>0.862*(PI()*2)</f>
        <v>5.4161057347888031</v>
      </c>
      <c r="C32">
        <v>7.6240000000000006</v>
      </c>
      <c r="D32">
        <f>0.935*(PI()*2)</f>
        <v>5.8747782622129137</v>
      </c>
      <c r="I32">
        <v>12232</v>
      </c>
      <c r="J32">
        <v>12315</v>
      </c>
      <c r="K32">
        <v>1.2050000000000001</v>
      </c>
      <c r="L32">
        <v>0.83</v>
      </c>
      <c r="O32">
        <v>10775</v>
      </c>
      <c r="P32">
        <v>10849</v>
      </c>
      <c r="Q32">
        <v>1.351</v>
      </c>
      <c r="R32">
        <v>0.74</v>
      </c>
    </row>
    <row r="33" spans="1:18" x14ac:dyDescent="0.4">
      <c r="A33">
        <v>9.08</v>
      </c>
      <c r="B33">
        <f>0.885*(PI()*2)</f>
        <v>5.5606189968539335</v>
      </c>
      <c r="C33">
        <v>7.9380000000000006</v>
      </c>
      <c r="D33">
        <f>0.99*(PI()*2)</f>
        <v>6.2203534541077907</v>
      </c>
      <c r="I33">
        <v>12478</v>
      </c>
      <c r="J33">
        <v>12558</v>
      </c>
      <c r="K33">
        <v>1.25</v>
      </c>
      <c r="L33">
        <v>0.8</v>
      </c>
      <c r="O33">
        <v>10997</v>
      </c>
      <c r="P33">
        <v>11071</v>
      </c>
      <c r="Q33">
        <v>1.351</v>
      </c>
      <c r="R33">
        <v>0.74</v>
      </c>
    </row>
    <row r="34" spans="1:18" x14ac:dyDescent="0.4">
      <c r="A34">
        <v>9.4139999999999997</v>
      </c>
      <c r="B34">
        <f>0.917*(PI()*2)</f>
        <v>5.761680926683681</v>
      </c>
      <c r="C34">
        <v>8.2370000000000001</v>
      </c>
      <c r="D34">
        <f>1.031*(PI()*2)</f>
        <v>6.4779640517021528</v>
      </c>
      <c r="I34">
        <v>12720</v>
      </c>
      <c r="J34">
        <v>12800</v>
      </c>
      <c r="K34">
        <v>1.25</v>
      </c>
      <c r="L34">
        <v>0.8</v>
      </c>
      <c r="O34">
        <v>11216</v>
      </c>
      <c r="P34">
        <v>11289</v>
      </c>
      <c r="Q34">
        <v>1.37</v>
      </c>
      <c r="R34">
        <v>0.73</v>
      </c>
    </row>
    <row r="35" spans="1:18" x14ac:dyDescent="0.4">
      <c r="A35">
        <v>9.734</v>
      </c>
      <c r="B35">
        <f>0.971*(PI()*2)</f>
        <v>6.100972933271378</v>
      </c>
      <c r="C35">
        <v>8.5250000000000004</v>
      </c>
      <c r="D35">
        <f>1.053*(PI()*2)</f>
        <v>6.616194128460104</v>
      </c>
      <c r="I35">
        <v>12958</v>
      </c>
      <c r="J35">
        <v>13037</v>
      </c>
      <c r="K35">
        <v>1.266</v>
      </c>
      <c r="L35">
        <v>0.79</v>
      </c>
      <c r="O35">
        <v>11431</v>
      </c>
      <c r="P35">
        <v>11502</v>
      </c>
      <c r="Q35">
        <v>1.4079999999999999</v>
      </c>
      <c r="R35">
        <v>0.71</v>
      </c>
    </row>
    <row r="36" spans="1:18" x14ac:dyDescent="0.4">
      <c r="A36">
        <v>10.042</v>
      </c>
      <c r="B36">
        <f>0.99*(PI()*2)</f>
        <v>6.2203534541077907</v>
      </c>
      <c r="C36">
        <v>8.8049999999999997</v>
      </c>
      <c r="D36">
        <f>1.111*(PI()*2)</f>
        <v>6.9806188762765204</v>
      </c>
      <c r="I36">
        <v>13193</v>
      </c>
      <c r="J36">
        <v>13270</v>
      </c>
      <c r="K36">
        <v>1.2989999999999999</v>
      </c>
      <c r="L36">
        <v>0.77</v>
      </c>
      <c r="O36">
        <v>11642</v>
      </c>
      <c r="P36">
        <v>11712</v>
      </c>
      <c r="Q36">
        <v>1.429</v>
      </c>
      <c r="R36">
        <v>0.7</v>
      </c>
    </row>
    <row r="37" spans="1:18" x14ac:dyDescent="0.4">
      <c r="A37">
        <v>10.343</v>
      </c>
      <c r="B37">
        <f>1.01*(PI()*2)</f>
        <v>6.3460171602513817</v>
      </c>
      <c r="C37">
        <v>9.0740000000000016</v>
      </c>
      <c r="D37">
        <f>1.136*(PI()*2)</f>
        <v>7.1376985089560092</v>
      </c>
      <c r="I37">
        <v>13421</v>
      </c>
      <c r="J37">
        <v>13497</v>
      </c>
      <c r="K37">
        <v>1.3160000000000001</v>
      </c>
      <c r="L37">
        <v>0.76</v>
      </c>
      <c r="O37">
        <v>11851</v>
      </c>
      <c r="P37">
        <v>11920</v>
      </c>
      <c r="Q37">
        <v>1.4490000000000001</v>
      </c>
      <c r="R37">
        <v>0.69</v>
      </c>
    </row>
    <row r="38" spans="1:18" x14ac:dyDescent="0.4">
      <c r="A38">
        <v>10.635000000000002</v>
      </c>
      <c r="B38">
        <f>1.064*(PI()*2)</f>
        <v>6.6853091668390805</v>
      </c>
      <c r="C38">
        <v>9.3350000000000009</v>
      </c>
      <c r="D38">
        <f>1.176*(PI()*2)</f>
        <v>7.389025921243193</v>
      </c>
      <c r="I38">
        <v>13648</v>
      </c>
      <c r="J38">
        <v>13723</v>
      </c>
      <c r="K38">
        <v>1.333</v>
      </c>
      <c r="L38">
        <v>0.75</v>
      </c>
      <c r="O38">
        <v>12056</v>
      </c>
      <c r="P38">
        <v>12124</v>
      </c>
      <c r="Q38">
        <v>1.4710000000000001</v>
      </c>
      <c r="R38">
        <v>0.68</v>
      </c>
    </row>
    <row r="39" spans="1:18" x14ac:dyDescent="0.4">
      <c r="A39">
        <v>10.915000000000001</v>
      </c>
      <c r="B39">
        <f>1.064*(PI()*2)</f>
        <v>6.6853091668390805</v>
      </c>
      <c r="C39">
        <v>9.59</v>
      </c>
      <c r="D39">
        <f>1.205*(PI()*2)</f>
        <v>7.5712382951514021</v>
      </c>
      <c r="I39">
        <v>13872</v>
      </c>
      <c r="J39">
        <v>13945</v>
      </c>
      <c r="K39">
        <v>1.37</v>
      </c>
      <c r="L39">
        <v>0.73</v>
      </c>
      <c r="O39">
        <v>12258</v>
      </c>
      <c r="P39">
        <v>12324</v>
      </c>
      <c r="Q39">
        <v>1.5149999999999999</v>
      </c>
      <c r="R39">
        <v>0.66</v>
      </c>
    </row>
    <row r="40" spans="1:18" x14ac:dyDescent="0.4">
      <c r="A40">
        <v>11.192</v>
      </c>
      <c r="B40">
        <f>1.099*(PI()*2)</f>
        <v>6.9052206525903648</v>
      </c>
      <c r="C40">
        <v>9.838000000000001</v>
      </c>
      <c r="D40">
        <f>1.22*(PI()*2)</f>
        <v>7.6654860747590954</v>
      </c>
      <c r="I40">
        <v>14091</v>
      </c>
      <c r="J40">
        <v>14162</v>
      </c>
      <c r="K40">
        <v>1.4079999999999999</v>
      </c>
      <c r="L40">
        <v>0.71</v>
      </c>
      <c r="O40">
        <v>12456</v>
      </c>
      <c r="P40">
        <v>12522</v>
      </c>
      <c r="Q40">
        <v>1.5149999999999999</v>
      </c>
      <c r="R40">
        <v>0.66</v>
      </c>
    </row>
    <row r="41" spans="1:18" x14ac:dyDescent="0.4">
      <c r="A41">
        <v>11.461000000000002</v>
      </c>
      <c r="B41">
        <f>1.136*(PI()*2)</f>
        <v>7.1376985089560092</v>
      </c>
      <c r="C41">
        <v>10.08</v>
      </c>
      <c r="D41">
        <f>1.266*(PI()*2)</f>
        <v>7.9545125988893561</v>
      </c>
      <c r="I41">
        <v>14308</v>
      </c>
      <c r="J41">
        <v>14380</v>
      </c>
      <c r="K41">
        <v>1.389</v>
      </c>
      <c r="L41">
        <v>0.72</v>
      </c>
      <c r="O41">
        <v>12653</v>
      </c>
      <c r="P41">
        <v>12718</v>
      </c>
      <c r="Q41">
        <v>1.538</v>
      </c>
      <c r="R41">
        <v>0.65</v>
      </c>
    </row>
    <row r="42" spans="1:18" x14ac:dyDescent="0.4">
      <c r="A42">
        <v>11.722000000000001</v>
      </c>
      <c r="B42">
        <f>1.163*(PI()*2)</f>
        <v>7.307344512249859</v>
      </c>
      <c r="C42">
        <v>10.316000000000001</v>
      </c>
      <c r="D42">
        <f>1.282*(PI()*2)</f>
        <v>8.0550435638042295</v>
      </c>
      <c r="I42">
        <v>14523</v>
      </c>
      <c r="J42">
        <v>14594</v>
      </c>
      <c r="K42">
        <v>1.4079999999999999</v>
      </c>
      <c r="L42">
        <v>0.71</v>
      </c>
      <c r="O42">
        <v>12847</v>
      </c>
      <c r="P42">
        <v>12910</v>
      </c>
      <c r="Q42">
        <v>1.587</v>
      </c>
      <c r="R42">
        <v>0.63</v>
      </c>
    </row>
    <row r="43" spans="1:18" x14ac:dyDescent="0.4">
      <c r="A43">
        <v>11.978999999999999</v>
      </c>
      <c r="B43">
        <f>1.19*(PI()*2)</f>
        <v>7.4769905155437071</v>
      </c>
      <c r="C43">
        <v>10.548999999999999</v>
      </c>
      <c r="D43">
        <f>1.316*(PI()*2)</f>
        <v>8.2686718642483363</v>
      </c>
      <c r="I43">
        <v>14733</v>
      </c>
      <c r="J43">
        <v>14802</v>
      </c>
      <c r="K43">
        <v>1.4490000000000001</v>
      </c>
      <c r="L43">
        <v>0.69</v>
      </c>
      <c r="O43">
        <v>13037</v>
      </c>
      <c r="P43">
        <v>13101</v>
      </c>
      <c r="Q43">
        <v>1.5620000000000001</v>
      </c>
      <c r="R43">
        <v>0.64</v>
      </c>
    </row>
    <row r="44" spans="1:18" x14ac:dyDescent="0.4">
      <c r="A44">
        <v>12.232000000000001</v>
      </c>
      <c r="B44">
        <f>1.205*(PI()*2)</f>
        <v>7.5712382951514021</v>
      </c>
      <c r="C44">
        <v>10.775000000000002</v>
      </c>
      <c r="D44">
        <f>1.351*(PI()*2)</f>
        <v>8.4885833499996206</v>
      </c>
      <c r="I44">
        <v>14942</v>
      </c>
      <c r="J44">
        <v>15010</v>
      </c>
      <c r="K44">
        <v>1.4710000000000001</v>
      </c>
      <c r="L44">
        <v>0.68</v>
      </c>
      <c r="O44">
        <v>13227</v>
      </c>
      <c r="P44">
        <v>13290</v>
      </c>
      <c r="Q44">
        <v>1.587</v>
      </c>
      <c r="R44">
        <v>0.63</v>
      </c>
    </row>
    <row r="45" spans="1:18" x14ac:dyDescent="0.4">
      <c r="A45">
        <v>12.478</v>
      </c>
      <c r="B45">
        <f>1.25*(PI()*2)</f>
        <v>7.8539816339744828</v>
      </c>
      <c r="C45">
        <v>10.997000000000002</v>
      </c>
      <c r="D45">
        <f>1.351*(PI()*2)</f>
        <v>8.4885833499996206</v>
      </c>
      <c r="I45">
        <v>15149</v>
      </c>
      <c r="J45">
        <v>15217</v>
      </c>
      <c r="K45">
        <v>1.4710000000000001</v>
      </c>
      <c r="L45">
        <v>0.68</v>
      </c>
      <c r="O45">
        <v>13414</v>
      </c>
      <c r="P45">
        <v>13475</v>
      </c>
      <c r="Q45">
        <v>1.639</v>
      </c>
      <c r="R45">
        <v>0.61</v>
      </c>
    </row>
    <row r="46" spans="1:18" x14ac:dyDescent="0.4">
      <c r="A46">
        <v>12.72</v>
      </c>
      <c r="B46">
        <f>1.25*(PI()*2)</f>
        <v>7.8539816339744828</v>
      </c>
      <c r="C46">
        <v>11.216000000000001</v>
      </c>
      <c r="D46">
        <f>1.37*(PI()*2)</f>
        <v>8.6079638708360342</v>
      </c>
      <c r="I46">
        <v>15352</v>
      </c>
      <c r="J46">
        <v>15419</v>
      </c>
      <c r="K46">
        <v>1.4930000000000001</v>
      </c>
      <c r="L46">
        <v>0.67</v>
      </c>
      <c r="O46">
        <v>13598</v>
      </c>
      <c r="P46">
        <v>13660</v>
      </c>
      <c r="Q46">
        <v>1.613</v>
      </c>
      <c r="R46">
        <v>0.62</v>
      </c>
    </row>
    <row r="47" spans="1:18" x14ac:dyDescent="0.4">
      <c r="A47">
        <v>12.958</v>
      </c>
      <c r="B47">
        <f>1.266*(PI()*2)</f>
        <v>7.9545125988893561</v>
      </c>
      <c r="C47">
        <v>11.431000000000001</v>
      </c>
      <c r="D47">
        <f>1.408*(PI()*2)</f>
        <v>8.8467249125088561</v>
      </c>
      <c r="I47">
        <v>15552</v>
      </c>
      <c r="J47">
        <v>15620</v>
      </c>
      <c r="K47">
        <v>1.4710000000000001</v>
      </c>
      <c r="L47">
        <v>0.68</v>
      </c>
      <c r="O47">
        <v>13782</v>
      </c>
      <c r="P47">
        <v>13842</v>
      </c>
      <c r="Q47">
        <v>1.667</v>
      </c>
      <c r="R47">
        <v>0.6</v>
      </c>
    </row>
    <row r="48" spans="1:18" x14ac:dyDescent="0.4">
      <c r="A48">
        <v>13.193000000000001</v>
      </c>
      <c r="B48">
        <f>1.299*(PI()*2)</f>
        <v>8.1618577140262829</v>
      </c>
      <c r="C48">
        <v>11.642000000000001</v>
      </c>
      <c r="D48">
        <f>1.429*(PI()*2)</f>
        <v>8.9786718039596298</v>
      </c>
      <c r="I48">
        <v>15753</v>
      </c>
      <c r="J48">
        <v>15818</v>
      </c>
      <c r="K48">
        <v>1.538</v>
      </c>
      <c r="L48">
        <v>0.65</v>
      </c>
      <c r="O48">
        <v>13963</v>
      </c>
      <c r="P48">
        <v>14023</v>
      </c>
      <c r="Q48">
        <v>1.667</v>
      </c>
      <c r="R48">
        <v>0.6</v>
      </c>
    </row>
    <row r="49" spans="1:18" x14ac:dyDescent="0.4">
      <c r="A49">
        <v>13.421000000000001</v>
      </c>
      <c r="B49">
        <f>1.316*(PI()*2)</f>
        <v>8.2686718642483363</v>
      </c>
      <c r="C49">
        <v>11.851000000000001</v>
      </c>
      <c r="D49">
        <f>1.449*(PI()*2)</f>
        <v>9.1043355101032208</v>
      </c>
      <c r="I49">
        <v>15950</v>
      </c>
      <c r="J49">
        <v>16015</v>
      </c>
      <c r="K49">
        <v>1.538</v>
      </c>
      <c r="L49">
        <v>0.65</v>
      </c>
      <c r="O49">
        <v>14141</v>
      </c>
      <c r="P49">
        <v>14200</v>
      </c>
      <c r="Q49">
        <v>1.6950000000000001</v>
      </c>
      <c r="R49">
        <v>0.59</v>
      </c>
    </row>
    <row r="50" spans="1:18" x14ac:dyDescent="0.4">
      <c r="A50">
        <v>13.648</v>
      </c>
      <c r="B50">
        <f>1.333*(PI()*2)</f>
        <v>8.375486014470388</v>
      </c>
      <c r="C50">
        <v>12.056000000000001</v>
      </c>
      <c r="D50">
        <f>1.471*(PI()*2)</f>
        <v>9.242565586861172</v>
      </c>
      <c r="I50">
        <v>16145</v>
      </c>
      <c r="J50">
        <v>16209</v>
      </c>
      <c r="K50">
        <v>1.5620000000000001</v>
      </c>
      <c r="L50">
        <v>0.64</v>
      </c>
      <c r="O50">
        <v>14319</v>
      </c>
      <c r="P50">
        <v>14377</v>
      </c>
      <c r="Q50">
        <v>1.724</v>
      </c>
      <c r="R50">
        <v>0.57999999999999996</v>
      </c>
    </row>
    <row r="51" spans="1:18" x14ac:dyDescent="0.4">
      <c r="A51">
        <v>13.872</v>
      </c>
      <c r="B51">
        <f>1.37*(PI()*2)</f>
        <v>8.6079638708360342</v>
      </c>
      <c r="C51">
        <v>12.257999999999999</v>
      </c>
      <c r="D51">
        <f>1.515*(PI()*2)</f>
        <v>9.5190257403770726</v>
      </c>
      <c r="I51">
        <v>16338</v>
      </c>
      <c r="J51">
        <v>16403</v>
      </c>
      <c r="K51">
        <v>1.538</v>
      </c>
      <c r="L51">
        <v>0.65</v>
      </c>
      <c r="O51">
        <v>14495</v>
      </c>
      <c r="P51">
        <v>14554</v>
      </c>
      <c r="Q51">
        <v>1.6950000000000001</v>
      </c>
      <c r="R51">
        <v>0.59</v>
      </c>
    </row>
    <row r="52" spans="1:18" x14ac:dyDescent="0.4">
      <c r="A52">
        <v>14.091000000000001</v>
      </c>
      <c r="B52">
        <f>1.408*(PI()*2)</f>
        <v>8.8467249125088561</v>
      </c>
      <c r="C52">
        <v>12.456</v>
      </c>
      <c r="D52">
        <f>1.515*(PI()*2)</f>
        <v>9.5190257403770726</v>
      </c>
      <c r="I52">
        <v>16531</v>
      </c>
      <c r="J52">
        <v>16595</v>
      </c>
      <c r="K52">
        <v>1.5620000000000001</v>
      </c>
      <c r="L52">
        <v>0.64</v>
      </c>
      <c r="O52">
        <v>14669</v>
      </c>
      <c r="P52">
        <v>14727</v>
      </c>
      <c r="Q52">
        <v>1.724</v>
      </c>
      <c r="R52">
        <v>0.57999999999999996</v>
      </c>
    </row>
    <row r="53" spans="1:18" x14ac:dyDescent="0.4">
      <c r="A53">
        <v>14.308</v>
      </c>
      <c r="B53">
        <f>1.389*(PI()*2)</f>
        <v>8.727344391672446</v>
      </c>
      <c r="C53">
        <v>12.653</v>
      </c>
      <c r="D53">
        <f>1.538*(PI()*2)</f>
        <v>9.663539002442203</v>
      </c>
      <c r="I53">
        <v>16720</v>
      </c>
      <c r="J53">
        <v>16783</v>
      </c>
      <c r="K53">
        <v>1.587</v>
      </c>
      <c r="L53">
        <v>0.63</v>
      </c>
      <c r="O53">
        <v>14841</v>
      </c>
      <c r="P53">
        <v>14899</v>
      </c>
      <c r="Q53">
        <v>1.724</v>
      </c>
      <c r="R53">
        <v>0.57999999999999996</v>
      </c>
    </row>
    <row r="54" spans="1:18" x14ac:dyDescent="0.4">
      <c r="A54">
        <v>14.523000000000001</v>
      </c>
      <c r="B54">
        <f>1.408*(PI()*2)</f>
        <v>8.8467249125088561</v>
      </c>
      <c r="C54">
        <v>12.847</v>
      </c>
      <c r="D54">
        <f>1.587*(PI()*2)</f>
        <v>9.9714150824940031</v>
      </c>
      <c r="I54">
        <v>16909</v>
      </c>
      <c r="J54">
        <v>16971</v>
      </c>
      <c r="K54">
        <v>1.613</v>
      </c>
      <c r="L54">
        <v>0.62</v>
      </c>
      <c r="O54">
        <v>15012</v>
      </c>
      <c r="P54">
        <v>15070</v>
      </c>
      <c r="Q54">
        <v>1.724</v>
      </c>
      <c r="R54">
        <v>0.57999999999999996</v>
      </c>
    </row>
    <row r="55" spans="1:18" x14ac:dyDescent="0.4">
      <c r="A55">
        <v>14.733000000000001</v>
      </c>
      <c r="B55">
        <f>1.449*(PI()*2)</f>
        <v>9.1043355101032208</v>
      </c>
      <c r="C55">
        <v>13.037000000000001</v>
      </c>
      <c r="D55">
        <f>1.562*(PI()*2)</f>
        <v>9.8143354498145143</v>
      </c>
      <c r="I55">
        <v>17096</v>
      </c>
      <c r="J55">
        <v>17158</v>
      </c>
      <c r="K55">
        <v>1.613</v>
      </c>
      <c r="L55">
        <v>0.62</v>
      </c>
      <c r="O55">
        <v>15182</v>
      </c>
      <c r="P55">
        <v>15239</v>
      </c>
      <c r="Q55">
        <v>1.754</v>
      </c>
      <c r="R55">
        <v>0.56999999999999995</v>
      </c>
    </row>
    <row r="56" spans="1:18" x14ac:dyDescent="0.4">
      <c r="A56">
        <v>14.942</v>
      </c>
      <c r="B56">
        <f>1.471*(PI()*2)</f>
        <v>9.242565586861172</v>
      </c>
      <c r="C56">
        <v>13.227</v>
      </c>
      <c r="D56">
        <f>1.587*(PI()*2)</f>
        <v>9.9714150824940031</v>
      </c>
      <c r="I56">
        <v>17281</v>
      </c>
      <c r="J56">
        <v>17341</v>
      </c>
      <c r="K56">
        <v>1.667</v>
      </c>
      <c r="L56">
        <v>0.6</v>
      </c>
      <c r="O56">
        <v>15350</v>
      </c>
      <c r="P56">
        <v>15407</v>
      </c>
      <c r="Q56">
        <v>1.754</v>
      </c>
      <c r="R56">
        <v>0.56999999999999995</v>
      </c>
    </row>
    <row r="57" spans="1:18" x14ac:dyDescent="0.4">
      <c r="A57">
        <v>15.149000000000001</v>
      </c>
      <c r="B57">
        <f>1.471*(PI()*2)</f>
        <v>9.242565586861172</v>
      </c>
      <c r="C57">
        <v>13.414000000000001</v>
      </c>
      <c r="D57">
        <f>1.639*(PI()*2)</f>
        <v>10.298140718467343</v>
      </c>
      <c r="I57">
        <v>17463</v>
      </c>
      <c r="J57">
        <v>17524</v>
      </c>
      <c r="K57">
        <v>1.639</v>
      </c>
      <c r="L57">
        <v>0.61</v>
      </c>
      <c r="O57">
        <v>15518</v>
      </c>
      <c r="P57">
        <v>15574</v>
      </c>
      <c r="Q57">
        <v>1.786</v>
      </c>
      <c r="R57">
        <v>0.56000000000000005</v>
      </c>
    </row>
    <row r="58" spans="1:18" x14ac:dyDescent="0.4">
      <c r="A58">
        <v>15.352</v>
      </c>
      <c r="B58">
        <f>1.493*(PI()*2)</f>
        <v>9.3807956636191232</v>
      </c>
      <c r="C58">
        <v>13.598000000000001</v>
      </c>
      <c r="D58">
        <f>1.613*(PI()*2)</f>
        <v>10.134777900480673</v>
      </c>
      <c r="I58">
        <v>17645</v>
      </c>
      <c r="J58">
        <v>17705</v>
      </c>
      <c r="K58">
        <v>1.667</v>
      </c>
      <c r="L58">
        <v>0.6</v>
      </c>
      <c r="O58">
        <v>15684</v>
      </c>
      <c r="P58">
        <v>15739</v>
      </c>
      <c r="Q58">
        <v>1.8180000000000001</v>
      </c>
      <c r="R58">
        <v>0.55000000000000004</v>
      </c>
    </row>
    <row r="59" spans="1:18" x14ac:dyDescent="0.4">
      <c r="A59">
        <v>15.552000000000001</v>
      </c>
      <c r="B59">
        <f>1.471*(PI()*2)</f>
        <v>9.242565586861172</v>
      </c>
      <c r="C59">
        <v>13.782</v>
      </c>
      <c r="D59">
        <f>1.667*(PI()*2)</f>
        <v>10.474069907068371</v>
      </c>
      <c r="I59">
        <v>17826</v>
      </c>
      <c r="J59">
        <v>17886</v>
      </c>
      <c r="K59">
        <v>1.667</v>
      </c>
      <c r="L59">
        <v>0.6</v>
      </c>
      <c r="O59">
        <v>15848</v>
      </c>
      <c r="P59">
        <v>15903</v>
      </c>
      <c r="Q59">
        <v>1.8180000000000001</v>
      </c>
      <c r="R59">
        <v>0.55000000000000004</v>
      </c>
    </row>
    <row r="60" spans="1:18" x14ac:dyDescent="0.4">
      <c r="A60">
        <v>15.753000000000002</v>
      </c>
      <c r="B60">
        <f>1.538*(PI()*2)</f>
        <v>9.663539002442203</v>
      </c>
      <c r="C60">
        <v>13.963000000000001</v>
      </c>
      <c r="D60">
        <f>1.667*(PI()*2)</f>
        <v>10.474069907068371</v>
      </c>
      <c r="I60">
        <v>18004</v>
      </c>
      <c r="J60">
        <v>18063</v>
      </c>
      <c r="K60">
        <v>1.6950000000000001</v>
      </c>
      <c r="L60">
        <v>0.59</v>
      </c>
      <c r="O60">
        <v>16012</v>
      </c>
      <c r="P60">
        <v>16067</v>
      </c>
      <c r="Q60">
        <v>1.8180000000000001</v>
      </c>
      <c r="R60">
        <v>0.55000000000000004</v>
      </c>
    </row>
    <row r="61" spans="1:18" x14ac:dyDescent="0.4">
      <c r="A61">
        <v>15.95</v>
      </c>
      <c r="B61">
        <f>1.538*(PI()*2)</f>
        <v>9.663539002442203</v>
      </c>
      <c r="C61">
        <v>14.141000000000002</v>
      </c>
      <c r="D61">
        <f>1.695*(PI()*2)</f>
        <v>10.649999095669399</v>
      </c>
      <c r="I61">
        <v>18182</v>
      </c>
      <c r="J61">
        <v>18241</v>
      </c>
      <c r="K61">
        <v>1.6950000000000001</v>
      </c>
      <c r="L61">
        <v>0.59</v>
      </c>
    </row>
    <row r="62" spans="1:18" x14ac:dyDescent="0.4">
      <c r="A62">
        <v>16.145</v>
      </c>
      <c r="B62">
        <f>1.562*(PI()*2)</f>
        <v>9.8143354498145143</v>
      </c>
      <c r="C62">
        <v>14.319000000000003</v>
      </c>
      <c r="D62">
        <f>1.724*(PI()*2)</f>
        <v>10.832211469577606</v>
      </c>
      <c r="I62">
        <v>18359</v>
      </c>
      <c r="J62">
        <v>18417</v>
      </c>
      <c r="K62">
        <v>1.724</v>
      </c>
      <c r="L62">
        <v>0.57999999999999996</v>
      </c>
    </row>
    <row r="63" spans="1:18" x14ac:dyDescent="0.4">
      <c r="A63">
        <v>16.338000000000001</v>
      </c>
      <c r="B63">
        <f>1.538*(PI()*2)</f>
        <v>9.663539002442203</v>
      </c>
      <c r="C63">
        <v>14.495000000000001</v>
      </c>
      <c r="D63">
        <f>1.695*(PI()*2)</f>
        <v>10.649999095669399</v>
      </c>
      <c r="I63">
        <v>18534</v>
      </c>
      <c r="J63">
        <v>18591</v>
      </c>
      <c r="K63">
        <v>1.754</v>
      </c>
      <c r="L63">
        <v>0.56999999999999995</v>
      </c>
    </row>
    <row r="64" spans="1:18" x14ac:dyDescent="0.4">
      <c r="A64">
        <v>16.530999999999999</v>
      </c>
      <c r="B64">
        <f>1.562*(PI()*2)</f>
        <v>9.8143354498145143</v>
      </c>
      <c r="C64">
        <v>14.669</v>
      </c>
      <c r="D64">
        <f>1.724*(PI()*2)</f>
        <v>10.832211469577606</v>
      </c>
      <c r="I64">
        <v>18707</v>
      </c>
      <c r="J64">
        <v>18765</v>
      </c>
      <c r="K64">
        <v>1.724</v>
      </c>
      <c r="L64">
        <v>0.57999999999999996</v>
      </c>
    </row>
    <row r="65" spans="1:12" x14ac:dyDescent="0.4">
      <c r="A65">
        <v>16.720000000000002</v>
      </c>
      <c r="B65">
        <f>1.587*(PI()*2)</f>
        <v>9.9714150824940031</v>
      </c>
      <c r="C65">
        <v>14.840999999999999</v>
      </c>
      <c r="D65">
        <f>1.724*(PI()*2)</f>
        <v>10.832211469577606</v>
      </c>
      <c r="I65">
        <v>18880</v>
      </c>
      <c r="J65">
        <v>18938</v>
      </c>
      <c r="K65">
        <v>1.724</v>
      </c>
      <c r="L65">
        <v>0.57999999999999996</v>
      </c>
    </row>
    <row r="66" spans="1:12" x14ac:dyDescent="0.4">
      <c r="A66">
        <v>16.908999999999999</v>
      </c>
      <c r="B66">
        <f>1.613*(PI()*2)</f>
        <v>10.134777900480673</v>
      </c>
      <c r="C66">
        <v>15.012</v>
      </c>
      <c r="D66">
        <f>1.724*(PI()*2)</f>
        <v>10.832211469577606</v>
      </c>
    </row>
    <row r="67" spans="1:12" x14ac:dyDescent="0.4">
      <c r="A67">
        <v>17.096</v>
      </c>
      <c r="B67">
        <f>1.613*(PI()*2)</f>
        <v>10.134777900480673</v>
      </c>
      <c r="C67">
        <v>15.182</v>
      </c>
      <c r="D67">
        <f>1.754*(PI()*2)</f>
        <v>11.020707028792994</v>
      </c>
    </row>
    <row r="68" spans="1:12" x14ac:dyDescent="0.4">
      <c r="A68">
        <v>17.281000000000002</v>
      </c>
      <c r="B68">
        <f>1.667*(PI()*2)</f>
        <v>10.474069907068371</v>
      </c>
      <c r="C68">
        <v>15.350000000000001</v>
      </c>
      <c r="D68">
        <f>1.754*(PI()*2)</f>
        <v>11.020707028792994</v>
      </c>
    </row>
    <row r="69" spans="1:12" x14ac:dyDescent="0.4">
      <c r="A69">
        <v>17.463000000000001</v>
      </c>
      <c r="B69">
        <f>1.639*(PI()*2)</f>
        <v>10.298140718467343</v>
      </c>
      <c r="C69">
        <v>15.518000000000001</v>
      </c>
      <c r="D69">
        <f>1.786*(PI()*2)</f>
        <v>11.221768958622741</v>
      </c>
    </row>
    <row r="70" spans="1:12" x14ac:dyDescent="0.4">
      <c r="A70">
        <v>17.645000000000003</v>
      </c>
      <c r="B70">
        <f>1.667*(PI()*2)</f>
        <v>10.474069907068371</v>
      </c>
      <c r="C70">
        <v>15.684000000000001</v>
      </c>
      <c r="D70">
        <f>1.818*(PI()*2)</f>
        <v>11.422830888452488</v>
      </c>
    </row>
    <row r="71" spans="1:12" x14ac:dyDescent="0.4">
      <c r="A71">
        <v>17.826000000000001</v>
      </c>
      <c r="B71">
        <f>1.667*(PI()*2)</f>
        <v>10.474069907068371</v>
      </c>
      <c r="C71">
        <v>15.847999999999999</v>
      </c>
      <c r="D71">
        <f>1.818*(PI()*2)</f>
        <v>11.422830888452488</v>
      </c>
    </row>
    <row r="72" spans="1:12" x14ac:dyDescent="0.4">
      <c r="A72">
        <v>18.004000000000001</v>
      </c>
      <c r="B72">
        <f>1.695*(PI()*2)</f>
        <v>10.649999095669399</v>
      </c>
      <c r="C72">
        <v>16.012</v>
      </c>
      <c r="D72">
        <f>1.818*(PI()*2)</f>
        <v>11.422830888452488</v>
      </c>
    </row>
    <row r="73" spans="1:12" x14ac:dyDescent="0.4">
      <c r="A73">
        <v>18.182000000000002</v>
      </c>
      <c r="B73">
        <f>1.695*(PI()*2)</f>
        <v>10.649999095669399</v>
      </c>
    </row>
    <row r="74" spans="1:12" x14ac:dyDescent="0.4">
      <c r="A74">
        <v>18.359000000000002</v>
      </c>
      <c r="B74">
        <f>1.724*(PI()*2)</f>
        <v>10.832211469577606</v>
      </c>
    </row>
    <row r="75" spans="1:12" x14ac:dyDescent="0.4">
      <c r="A75">
        <v>18.534000000000002</v>
      </c>
      <c r="B75">
        <f>1.754*(PI()*2)</f>
        <v>11.020707028792994</v>
      </c>
    </row>
    <row r="76" spans="1:12" x14ac:dyDescent="0.4">
      <c r="A76">
        <v>18.707000000000001</v>
      </c>
      <c r="B76">
        <f>1.724*(PI()*2)</f>
        <v>10.832211469577606</v>
      </c>
    </row>
    <row r="77" spans="1:12" x14ac:dyDescent="0.4">
      <c r="A77">
        <v>18.880000000000003</v>
      </c>
      <c r="B77">
        <f>1.724*(PI()*2)</f>
        <v>10.832211469577606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opLeftCell="H19" workbookViewId="0">
      <selection activeCell="L22" sqref="L22"/>
    </sheetView>
  </sheetViews>
  <sheetFormatPr defaultRowHeight="17" x14ac:dyDescent="0.4"/>
  <cols>
    <col min="7" max="7" width="10.90625" bestFit="1" customWidth="1"/>
    <col min="8" max="8" width="9.26953125" customWidth="1"/>
    <col min="9" max="9" width="9.08984375" customWidth="1"/>
    <col min="10" max="10" width="11.36328125" customWidth="1"/>
    <col min="12" max="12" width="10.36328125" customWidth="1"/>
    <col min="13" max="13" width="11.08984375" customWidth="1"/>
    <col min="14" max="14" width="10.36328125" customWidth="1"/>
  </cols>
  <sheetData>
    <row r="1" spans="1:24" x14ac:dyDescent="0.4">
      <c r="A1" t="s">
        <v>24</v>
      </c>
      <c r="D1" t="s">
        <v>25</v>
      </c>
      <c r="F1" t="s">
        <v>26</v>
      </c>
      <c r="P1">
        <v>636</v>
      </c>
      <c r="Q1">
        <v>948</v>
      </c>
      <c r="R1">
        <v>0.32100000000000001</v>
      </c>
      <c r="S1">
        <v>3.12</v>
      </c>
      <c r="U1">
        <v>1185</v>
      </c>
      <c r="V1">
        <v>1786</v>
      </c>
      <c r="W1">
        <v>0.16600000000000001</v>
      </c>
      <c r="X1">
        <v>6.01</v>
      </c>
    </row>
    <row r="2" spans="1:24" x14ac:dyDescent="0.4">
      <c r="A2" t="s">
        <v>27</v>
      </c>
      <c r="D2" t="s">
        <v>102</v>
      </c>
      <c r="H2" t="s">
        <v>42</v>
      </c>
      <c r="P2">
        <v>1445</v>
      </c>
      <c r="Q2">
        <v>1657</v>
      </c>
      <c r="R2">
        <v>0.47199999999999998</v>
      </c>
      <c r="S2">
        <v>2.12</v>
      </c>
      <c r="U2">
        <v>2587</v>
      </c>
      <c r="V2">
        <v>2905</v>
      </c>
      <c r="W2">
        <v>0.314</v>
      </c>
      <c r="X2">
        <v>3.18</v>
      </c>
    </row>
    <row r="3" spans="1:24" x14ac:dyDescent="0.4">
      <c r="A3" t="s">
        <v>29</v>
      </c>
      <c r="B3" s="3">
        <f>B4*0.5</f>
        <v>4.4662310000000002E-3</v>
      </c>
      <c r="C3" t="s">
        <v>98</v>
      </c>
      <c r="D3" t="s">
        <v>30</v>
      </c>
      <c r="E3">
        <v>0.11</v>
      </c>
      <c r="F3" t="s">
        <v>31</v>
      </c>
      <c r="G3" s="3">
        <f>(E9*(9.8-F10*E11)-E8)*E11/F10</f>
        <v>4.7412368786173076E-3</v>
      </c>
      <c r="H3" s="3">
        <f>(B3-G3)/B3</f>
        <v>-6.157448609740683E-2</v>
      </c>
      <c r="P3">
        <v>2035</v>
      </c>
      <c r="Q3">
        <v>2208</v>
      </c>
      <c r="R3">
        <v>0.57799999999999996</v>
      </c>
      <c r="S3">
        <v>1.73</v>
      </c>
      <c r="U3">
        <v>3452</v>
      </c>
      <c r="V3">
        <v>3694</v>
      </c>
      <c r="W3">
        <v>0.41299999999999998</v>
      </c>
      <c r="X3">
        <v>2.42</v>
      </c>
    </row>
    <row r="4" spans="1:24" x14ac:dyDescent="0.4">
      <c r="A4" t="s">
        <v>66</v>
      </c>
      <c r="B4" s="3">
        <f>0.5*C4*E3^2</f>
        <v>8.9324620000000004E-3</v>
      </c>
      <c r="C4">
        <v>1.47644</v>
      </c>
      <c r="F4" t="s">
        <v>67</v>
      </c>
      <c r="G4" s="3">
        <f>(F9*(9.8-E10*F11)-F8)*F11/E10</f>
        <v>7.5301947384615415E-3</v>
      </c>
      <c r="H4" s="3">
        <f>(G4-B4)/B4</f>
        <v>-0.15698552779048586</v>
      </c>
      <c r="P4">
        <v>2527</v>
      </c>
      <c r="Q4">
        <v>2674</v>
      </c>
      <c r="R4">
        <v>0.68</v>
      </c>
      <c r="S4">
        <v>1.47</v>
      </c>
      <c r="U4">
        <v>4134</v>
      </c>
      <c r="V4">
        <v>4336</v>
      </c>
      <c r="W4">
        <v>0.495</v>
      </c>
      <c r="X4">
        <v>2.02</v>
      </c>
    </row>
    <row r="5" spans="1:24" x14ac:dyDescent="0.4">
      <c r="A5" t="s">
        <v>34</v>
      </c>
      <c r="B5" s="7">
        <f>B4+(0.5*(C6)*(D6^2+E6^2))</f>
        <v>1.4094185125E-2</v>
      </c>
      <c r="D5" t="s">
        <v>32</v>
      </c>
      <c r="E5" t="s">
        <v>33</v>
      </c>
      <c r="F5" t="s">
        <v>34</v>
      </c>
      <c r="G5" s="9">
        <f>(D9*(9.8-D11*D10)-D8)*D11/D10</f>
        <v>1.1141836010143935E-2</v>
      </c>
      <c r="H5" s="3">
        <f>(G5-B5)/B5</f>
        <v>-0.20947284916949505</v>
      </c>
      <c r="P5">
        <v>2953</v>
      </c>
      <c r="Q5">
        <v>3085</v>
      </c>
      <c r="R5">
        <v>0.75800000000000001</v>
      </c>
      <c r="S5">
        <v>1.32</v>
      </c>
      <c r="U5">
        <v>4715</v>
      </c>
      <c r="V5">
        <v>4893</v>
      </c>
      <c r="W5">
        <v>0.56200000000000006</v>
      </c>
      <c r="X5">
        <v>1.78</v>
      </c>
    </row>
    <row r="6" spans="1:24" x14ac:dyDescent="0.4">
      <c r="A6" t="s">
        <v>70</v>
      </c>
      <c r="B6" s="3">
        <f>0.5*C6*(D6^2+E6^2)</f>
        <v>5.1617231249999999E-3</v>
      </c>
      <c r="C6">
        <v>1.5089999999999999</v>
      </c>
      <c r="D6">
        <v>5.2999999999999999E-2</v>
      </c>
      <c r="E6">
        <v>6.3500000000000001E-2</v>
      </c>
      <c r="F6" t="s">
        <v>70</v>
      </c>
      <c r="G6" s="3">
        <f>G5-G4</f>
        <v>3.6116412716823932E-3</v>
      </c>
      <c r="H6" s="3">
        <f>(B6-G6)/B6</f>
        <v>0.30030317701661047</v>
      </c>
      <c r="P6">
        <v>3336</v>
      </c>
      <c r="Q6">
        <v>3457</v>
      </c>
      <c r="R6">
        <v>0.82599999999999996</v>
      </c>
      <c r="S6">
        <v>1.21</v>
      </c>
      <c r="U6">
        <v>5232</v>
      </c>
      <c r="V6">
        <v>5394</v>
      </c>
      <c r="W6">
        <v>0.61699999999999999</v>
      </c>
      <c r="X6">
        <v>1.62</v>
      </c>
    </row>
    <row r="7" spans="1:24" x14ac:dyDescent="0.4">
      <c r="D7" t="s">
        <v>35</v>
      </c>
      <c r="E7" t="s">
        <v>69</v>
      </c>
      <c r="F7" t="s">
        <v>31</v>
      </c>
      <c r="I7" s="10" t="s">
        <v>107</v>
      </c>
      <c r="P7">
        <v>3689</v>
      </c>
      <c r="Q7">
        <v>3802</v>
      </c>
      <c r="R7">
        <v>0.88500000000000001</v>
      </c>
      <c r="S7">
        <v>1.1299999999999999</v>
      </c>
      <c r="U7">
        <v>5703</v>
      </c>
      <c r="V7">
        <v>5851</v>
      </c>
      <c r="W7">
        <v>0.67600000000000005</v>
      </c>
      <c r="X7">
        <v>1.48</v>
      </c>
    </row>
    <row r="8" spans="1:24" x14ac:dyDescent="0.4">
      <c r="B8" t="s">
        <v>37</v>
      </c>
      <c r="D8">
        <f>20*0.0098</f>
        <v>0.19600000000000001</v>
      </c>
      <c r="E8">
        <f t="shared" ref="E8:F8" si="0">20*0.0098</f>
        <v>0.19600000000000001</v>
      </c>
      <c r="F8">
        <f t="shared" si="0"/>
        <v>0.19600000000000001</v>
      </c>
      <c r="I8" s="2" t="s">
        <v>80</v>
      </c>
      <c r="J8" s="2" t="s">
        <v>79</v>
      </c>
      <c r="K8" s="2" t="s">
        <v>78</v>
      </c>
      <c r="L8" s="2" t="s">
        <v>77</v>
      </c>
      <c r="M8" s="2" t="s">
        <v>91</v>
      </c>
      <c r="N8" s="2" t="s">
        <v>76</v>
      </c>
      <c r="P8">
        <v>4017</v>
      </c>
      <c r="Q8">
        <v>4121</v>
      </c>
      <c r="R8">
        <v>0.96199999999999997</v>
      </c>
      <c r="S8">
        <v>1.04</v>
      </c>
      <c r="U8">
        <v>6134</v>
      </c>
      <c r="V8">
        <v>6272</v>
      </c>
      <c r="W8">
        <v>0.72499999999999998</v>
      </c>
      <c r="X8">
        <v>1.38</v>
      </c>
    </row>
    <row r="9" spans="1:24" x14ac:dyDescent="0.4">
      <c r="B9" t="s">
        <v>87</v>
      </c>
      <c r="D9">
        <v>0.12</v>
      </c>
      <c r="E9">
        <v>0.12</v>
      </c>
      <c r="F9">
        <v>0.12</v>
      </c>
      <c r="H9" s="2" t="s">
        <v>94</v>
      </c>
      <c r="I9">
        <v>8.3000000000000001E-3</v>
      </c>
      <c r="J9">
        <v>0.12</v>
      </c>
      <c r="K9" s="4">
        <v>1.7125999999999999</v>
      </c>
      <c r="L9">
        <v>0.19600000000000001</v>
      </c>
      <c r="M9" s="7">
        <f>(J9*(9.8-I9*K9)-L9)*I9</f>
        <v>8.1198422783200011E-3</v>
      </c>
      <c r="N9" s="3">
        <f>M9/K9</f>
        <v>4.7412368786173076E-3</v>
      </c>
      <c r="P9">
        <v>4323</v>
      </c>
      <c r="Q9">
        <v>4421</v>
      </c>
      <c r="R9">
        <v>1.02</v>
      </c>
      <c r="S9">
        <v>0.98</v>
      </c>
      <c r="U9">
        <v>6539</v>
      </c>
      <c r="V9">
        <v>6669</v>
      </c>
      <c r="W9">
        <v>0.76900000000000002</v>
      </c>
      <c r="X9">
        <v>1.3</v>
      </c>
    </row>
    <row r="10" spans="1:24" x14ac:dyDescent="0.4">
      <c r="B10" t="s">
        <v>88</v>
      </c>
      <c r="D10">
        <v>0.72950000000000004</v>
      </c>
      <c r="E10">
        <v>1.079</v>
      </c>
      <c r="F10">
        <v>1.7125999999999999</v>
      </c>
      <c r="H10" s="2" t="s">
        <v>95</v>
      </c>
      <c r="I10">
        <v>8.3000000000000001E-3</v>
      </c>
      <c r="J10">
        <v>0.12</v>
      </c>
      <c r="K10" s="4">
        <v>1.079</v>
      </c>
      <c r="L10">
        <v>0.19600000000000001</v>
      </c>
      <c r="M10" s="7">
        <f t="shared" ref="M10:M11" si="1">(J10*(9.8-I10*K10)-L10)*I10</f>
        <v>8.1250801228000026E-3</v>
      </c>
      <c r="N10" s="3">
        <f t="shared" ref="N10:N11" si="2">M10/K10</f>
        <v>7.5301947384615415E-3</v>
      </c>
      <c r="P10">
        <v>4613</v>
      </c>
      <c r="Q10">
        <v>4707</v>
      </c>
      <c r="R10">
        <v>1.0640000000000001</v>
      </c>
      <c r="S10">
        <v>0.94</v>
      </c>
      <c r="U10">
        <v>6921</v>
      </c>
      <c r="V10">
        <v>7044</v>
      </c>
      <c r="W10">
        <v>0.81299999999999994</v>
      </c>
      <c r="X10">
        <v>1.23</v>
      </c>
    </row>
    <row r="11" spans="1:24" x14ac:dyDescent="0.4">
      <c r="B11" t="s">
        <v>89</v>
      </c>
      <c r="D11">
        <v>8.3000000000000001E-3</v>
      </c>
      <c r="E11">
        <v>8.3000000000000001E-3</v>
      </c>
      <c r="F11">
        <v>8.3000000000000001E-3</v>
      </c>
      <c r="H11" s="2" t="s">
        <v>96</v>
      </c>
      <c r="I11">
        <v>8.3000000000000001E-3</v>
      </c>
      <c r="J11">
        <v>0.12</v>
      </c>
      <c r="K11" s="4">
        <v>0.72950000000000004</v>
      </c>
      <c r="L11">
        <v>0.19600000000000001</v>
      </c>
      <c r="M11" s="7">
        <f t="shared" si="1"/>
        <v>8.1279693694000007E-3</v>
      </c>
      <c r="N11" s="7">
        <f t="shared" si="2"/>
        <v>1.1141836010143935E-2</v>
      </c>
      <c r="P11">
        <v>4889</v>
      </c>
      <c r="Q11">
        <v>4978</v>
      </c>
      <c r="R11">
        <v>1.1240000000000001</v>
      </c>
      <c r="S11">
        <v>0.89</v>
      </c>
      <c r="U11">
        <v>7281</v>
      </c>
      <c r="V11">
        <v>7397</v>
      </c>
      <c r="W11">
        <v>0.86199999999999999</v>
      </c>
      <c r="X11">
        <v>1.1599999999999999</v>
      </c>
    </row>
    <row r="12" spans="1:24" x14ac:dyDescent="0.4">
      <c r="A12" t="s">
        <v>68</v>
      </c>
      <c r="B12" t="s">
        <v>39</v>
      </c>
      <c r="C12" t="s">
        <v>41</v>
      </c>
      <c r="D12" t="s">
        <v>39</v>
      </c>
      <c r="E12" t="s">
        <v>40</v>
      </c>
      <c r="F12" t="s">
        <v>38</v>
      </c>
      <c r="I12" s="10" t="s">
        <v>108</v>
      </c>
      <c r="M12" s="2" t="s">
        <v>105</v>
      </c>
      <c r="N12">
        <v>3.6099999999999999E-3</v>
      </c>
      <c r="P12">
        <v>5152</v>
      </c>
      <c r="Q12">
        <v>5237</v>
      </c>
      <c r="R12">
        <v>1.1759999999999999</v>
      </c>
      <c r="S12">
        <v>0.85</v>
      </c>
      <c r="U12">
        <v>7624</v>
      </c>
      <c r="V12">
        <v>7735</v>
      </c>
      <c r="W12">
        <v>0.90100000000000002</v>
      </c>
      <c r="X12">
        <v>1.1100000000000001</v>
      </c>
    </row>
    <row r="13" spans="1:24" x14ac:dyDescent="0.4">
      <c r="A13">
        <v>0.63600000000000001</v>
      </c>
      <c r="B13">
        <f>0.472*(2*PI())</f>
        <v>2.9656634649887645</v>
      </c>
      <c r="C13">
        <v>0.44</v>
      </c>
      <c r="D13">
        <f>0.465*(2*PI())</f>
        <v>2.921681167838508</v>
      </c>
      <c r="E13">
        <v>1.1850000000000001</v>
      </c>
      <c r="F13">
        <f>0.166*(2*PI())</f>
        <v>1.0430087609918113</v>
      </c>
      <c r="I13" s="2" t="s">
        <v>99</v>
      </c>
      <c r="J13" s="2" t="s">
        <v>100</v>
      </c>
      <c r="K13" s="2" t="s">
        <v>101</v>
      </c>
      <c r="L13" s="2" t="s">
        <v>76</v>
      </c>
      <c r="P13">
        <v>5405</v>
      </c>
      <c r="Q13">
        <v>5487</v>
      </c>
      <c r="R13">
        <v>1.22</v>
      </c>
      <c r="S13">
        <v>0.82</v>
      </c>
      <c r="U13">
        <v>7954</v>
      </c>
      <c r="V13">
        <v>8060</v>
      </c>
      <c r="W13">
        <v>0.94299999999999995</v>
      </c>
      <c r="X13">
        <v>1.06</v>
      </c>
    </row>
    <row r="14" spans="1:24" x14ac:dyDescent="0.4">
      <c r="A14">
        <v>1.4450000000000001</v>
      </c>
      <c r="B14">
        <f>0.578*(2*PI())</f>
        <v>3.6316811075498006</v>
      </c>
      <c r="C14">
        <v>1.0050000000000001</v>
      </c>
      <c r="D14">
        <f>0.654*(2*PI())</f>
        <v>4.1092031908954496</v>
      </c>
      <c r="E14">
        <v>2.5870000000000002</v>
      </c>
      <c r="F14">
        <f>0.314*(2*PI())</f>
        <v>1.9729201864543902</v>
      </c>
      <c r="H14" s="2" t="s">
        <v>94</v>
      </c>
      <c r="I14">
        <v>1.476</v>
      </c>
      <c r="J14">
        <v>0.11</v>
      </c>
      <c r="L14" s="3">
        <v>4.4662310000000002E-3</v>
      </c>
      <c r="P14">
        <v>5650</v>
      </c>
      <c r="Q14">
        <v>5729</v>
      </c>
      <c r="R14">
        <v>1.266</v>
      </c>
      <c r="S14">
        <v>0.79</v>
      </c>
      <c r="U14">
        <v>8269</v>
      </c>
      <c r="V14">
        <v>8372</v>
      </c>
      <c r="W14">
        <v>0.97099999999999997</v>
      </c>
      <c r="X14">
        <v>1.03</v>
      </c>
    </row>
    <row r="15" spans="1:24" x14ac:dyDescent="0.4">
      <c r="A15">
        <v>2.0350000000000001</v>
      </c>
      <c r="B15">
        <f>0.68*(2*PI())</f>
        <v>4.2725660088821193</v>
      </c>
      <c r="C15">
        <v>1.429</v>
      </c>
      <c r="D15">
        <f>0.8*(2*PI())</f>
        <v>5.026548245743669</v>
      </c>
      <c r="E15">
        <v>3.452</v>
      </c>
      <c r="F15">
        <f>0.413*(2*PI())</f>
        <v>2.5949555318651689</v>
      </c>
      <c r="H15" s="2" t="s">
        <v>95</v>
      </c>
      <c r="I15">
        <v>1.476</v>
      </c>
      <c r="J15">
        <v>0.11</v>
      </c>
      <c r="L15" s="3">
        <v>8.9324620000000004E-3</v>
      </c>
      <c r="P15">
        <v>5884</v>
      </c>
      <c r="Q15">
        <v>5961</v>
      </c>
      <c r="R15">
        <v>1.2989999999999999</v>
      </c>
      <c r="S15">
        <v>0.77</v>
      </c>
      <c r="U15">
        <v>8572</v>
      </c>
      <c r="V15">
        <v>8672</v>
      </c>
      <c r="W15">
        <v>1</v>
      </c>
      <c r="X15">
        <v>1</v>
      </c>
    </row>
    <row r="16" spans="1:24" x14ac:dyDescent="0.4">
      <c r="A16">
        <v>2.5270000000000001</v>
      </c>
      <c r="B16">
        <f>0.758*(2*PI())</f>
        <v>4.7626544628421268</v>
      </c>
      <c r="C16">
        <v>1.7830000000000001</v>
      </c>
      <c r="D16">
        <f>0.935*(2*PI())</f>
        <v>5.8747782622129137</v>
      </c>
      <c r="E16">
        <v>4.1340000000000003</v>
      </c>
      <c r="F16">
        <f>0.495*(2*PI())</f>
        <v>3.1101767270538954</v>
      </c>
      <c r="H16" s="2" t="s">
        <v>97</v>
      </c>
      <c r="I16">
        <v>1.5089999999999999</v>
      </c>
      <c r="J16">
        <v>6.3500000000000001E-2</v>
      </c>
      <c r="K16">
        <v>5.2999999999999999E-2</v>
      </c>
      <c r="L16">
        <v>5.1599999999999997E-3</v>
      </c>
      <c r="P16">
        <v>6112</v>
      </c>
      <c r="Q16">
        <v>6185</v>
      </c>
      <c r="R16">
        <v>1.37</v>
      </c>
      <c r="S16">
        <v>0.73</v>
      </c>
      <c r="U16">
        <v>8866</v>
      </c>
      <c r="V16">
        <v>8963</v>
      </c>
      <c r="W16">
        <v>1.0309999999999999</v>
      </c>
      <c r="X16">
        <v>0.97</v>
      </c>
    </row>
    <row r="17" spans="1:24" x14ac:dyDescent="0.4">
      <c r="A17">
        <v>2.9529999999999998</v>
      </c>
      <c r="B17">
        <f>0.826*(2*PI())</f>
        <v>5.1899110637303378</v>
      </c>
      <c r="C17">
        <v>2.0920000000000001</v>
      </c>
      <c r="D17">
        <f>1.042*(2*PI())</f>
        <v>6.5470790900811293</v>
      </c>
      <c r="E17">
        <v>4.7149999999999999</v>
      </c>
      <c r="F17">
        <f>0.562*(2*PI())</f>
        <v>3.5311501426349277</v>
      </c>
      <c r="H17" s="2" t="s">
        <v>96</v>
      </c>
      <c r="L17" s="7">
        <v>1.4094185125E-2</v>
      </c>
      <c r="P17">
        <v>6333</v>
      </c>
      <c r="Q17">
        <v>6405</v>
      </c>
      <c r="R17">
        <v>1.389</v>
      </c>
      <c r="S17">
        <v>0.72</v>
      </c>
      <c r="U17">
        <v>9151</v>
      </c>
      <c r="V17">
        <v>9243</v>
      </c>
      <c r="W17">
        <v>1.087</v>
      </c>
      <c r="X17">
        <v>0.92</v>
      </c>
    </row>
    <row r="18" spans="1:24" x14ac:dyDescent="0.4">
      <c r="A18">
        <v>3.3359999999999999</v>
      </c>
      <c r="B18">
        <f>0.885*(2*PI())</f>
        <v>5.5606189968539335</v>
      </c>
      <c r="C18">
        <v>2.3719999999999999</v>
      </c>
      <c r="D18">
        <f>1.136*(2*PI())</f>
        <v>7.1376985089560092</v>
      </c>
      <c r="E18">
        <v>5.2320000000000002</v>
      </c>
      <c r="F18">
        <f>0.617*(2*PI())</f>
        <v>3.8767253345298047</v>
      </c>
      <c r="I18" s="10" t="s">
        <v>109</v>
      </c>
      <c r="P18">
        <v>6547</v>
      </c>
      <c r="Q18">
        <v>6617</v>
      </c>
      <c r="R18">
        <v>1.429</v>
      </c>
      <c r="S18">
        <v>0.7</v>
      </c>
      <c r="U18">
        <v>9425</v>
      </c>
      <c r="V18">
        <v>9516</v>
      </c>
      <c r="W18">
        <v>1.099</v>
      </c>
      <c r="X18">
        <v>0.91</v>
      </c>
    </row>
    <row r="19" spans="1:24" x14ac:dyDescent="0.4">
      <c r="A19">
        <v>3.6890000000000001</v>
      </c>
      <c r="B19">
        <f>0.962*(2*PI())</f>
        <v>6.0444242655067617</v>
      </c>
      <c r="C19">
        <v>2.63</v>
      </c>
      <c r="D19">
        <f>1.22*(2*PI())</f>
        <v>7.6654860747590954</v>
      </c>
      <c r="E19">
        <v>5.7030000000000003</v>
      </c>
      <c r="F19">
        <f>0.676*(2*PI())</f>
        <v>4.2474332676534008</v>
      </c>
      <c r="I19" s="2" t="s">
        <v>103</v>
      </c>
      <c r="J19" s="2" t="s">
        <v>104</v>
      </c>
      <c r="K19" s="2" t="s">
        <v>106</v>
      </c>
      <c r="P19">
        <v>6755</v>
      </c>
      <c r="Q19">
        <v>6823</v>
      </c>
      <c r="R19">
        <v>1.4710000000000001</v>
      </c>
      <c r="S19">
        <v>0.68</v>
      </c>
      <c r="U19">
        <v>9693</v>
      </c>
      <c r="V19">
        <v>9781</v>
      </c>
      <c r="W19">
        <v>1.1359999999999999</v>
      </c>
      <c r="X19">
        <v>0.88</v>
      </c>
    </row>
    <row r="20" spans="1:24" x14ac:dyDescent="0.4">
      <c r="A20">
        <v>4.0170000000000003</v>
      </c>
      <c r="B20">
        <f>1.02*(2*PI())</f>
        <v>6.4088490133231781</v>
      </c>
      <c r="C20">
        <v>2.87</v>
      </c>
      <c r="D20">
        <f>1.299*(2*PI())</f>
        <v>8.1618577140262829</v>
      </c>
      <c r="E20">
        <v>6.1340000000000003</v>
      </c>
      <c r="F20">
        <f>0.725*(2*PI())</f>
        <v>4.5553093477052</v>
      </c>
      <c r="H20" s="2" t="s">
        <v>94</v>
      </c>
      <c r="I20" s="3">
        <v>4.4662310000000002E-3</v>
      </c>
      <c r="J20" s="3">
        <v>4.7412368786173076E-3</v>
      </c>
      <c r="K20" s="4">
        <v>6.1574486097406803E-2</v>
      </c>
      <c r="P20">
        <v>6959</v>
      </c>
      <c r="Q20">
        <v>7025</v>
      </c>
      <c r="R20">
        <v>1.5149999999999999</v>
      </c>
      <c r="S20">
        <v>0.66</v>
      </c>
      <c r="U20">
        <v>9954</v>
      </c>
      <c r="V20">
        <v>10040</v>
      </c>
      <c r="W20">
        <v>1.163</v>
      </c>
      <c r="X20">
        <v>0.86</v>
      </c>
    </row>
    <row r="21" spans="1:24" x14ac:dyDescent="0.4">
      <c r="A21">
        <v>4.3230000000000004</v>
      </c>
      <c r="B21">
        <f>1.064*(2*PI())</f>
        <v>6.6853091668390805</v>
      </c>
      <c r="C21">
        <v>3.0960000000000001</v>
      </c>
      <c r="D21">
        <f>1.37*(2*PI())</f>
        <v>8.6079638708360342</v>
      </c>
      <c r="E21">
        <v>6.5389999999999997</v>
      </c>
      <c r="F21">
        <f>0.769*(2*PI())</f>
        <v>4.8317695012211015</v>
      </c>
      <c r="H21" s="2" t="s">
        <v>95</v>
      </c>
      <c r="I21" s="3">
        <v>8.9324620000000004E-3</v>
      </c>
      <c r="J21" s="3">
        <v>7.5301947384615415E-3</v>
      </c>
      <c r="K21" s="4">
        <v>0.156985527790486</v>
      </c>
      <c r="P21">
        <v>7157</v>
      </c>
      <c r="Q21">
        <v>7223</v>
      </c>
      <c r="R21">
        <v>1.5149999999999999</v>
      </c>
      <c r="S21">
        <v>0.66</v>
      </c>
      <c r="U21">
        <v>10208</v>
      </c>
      <c r="V21">
        <v>10290</v>
      </c>
      <c r="W21">
        <v>1.22</v>
      </c>
      <c r="X21">
        <v>0.82</v>
      </c>
    </row>
    <row r="22" spans="1:24" x14ac:dyDescent="0.4">
      <c r="A22">
        <v>4.6130000000000004</v>
      </c>
      <c r="B22">
        <f>1.124*(2*PI())</f>
        <v>7.0623002852698553</v>
      </c>
      <c r="C22">
        <v>3.3109999999999999</v>
      </c>
      <c r="D22">
        <f>1.429*(2*PI())</f>
        <v>8.9786718039596298</v>
      </c>
      <c r="E22">
        <v>6.9210000000000003</v>
      </c>
      <c r="F22">
        <f>0.813*(2*PI())</f>
        <v>5.108229654737003</v>
      </c>
      <c r="H22" s="2" t="s">
        <v>97</v>
      </c>
      <c r="I22">
        <v>5.1599999999999997E-3</v>
      </c>
      <c r="J22">
        <v>3.6099999999999999E-3</v>
      </c>
      <c r="K22" s="4">
        <v>0.20947284916949499</v>
      </c>
      <c r="P22">
        <v>7351</v>
      </c>
      <c r="Q22">
        <v>7414</v>
      </c>
      <c r="R22">
        <v>1.587</v>
      </c>
      <c r="S22">
        <v>0.63</v>
      </c>
      <c r="U22">
        <v>10455</v>
      </c>
      <c r="V22">
        <v>10535</v>
      </c>
      <c r="W22">
        <v>1.25</v>
      </c>
      <c r="X22">
        <v>0.8</v>
      </c>
    </row>
    <row r="23" spans="1:24" x14ac:dyDescent="0.4">
      <c r="A23">
        <v>4.8890000000000002</v>
      </c>
      <c r="B23">
        <f>1.176*(2*PI())</f>
        <v>7.389025921243193</v>
      </c>
      <c r="C23">
        <v>3.516</v>
      </c>
      <c r="D23">
        <f>1.515*(2*PI())</f>
        <v>9.5190257403770726</v>
      </c>
      <c r="E23">
        <v>7.2810000000000006</v>
      </c>
      <c r="F23">
        <f>0.862*(2*PI())</f>
        <v>5.4161057347888031</v>
      </c>
      <c r="H23" s="2" t="s">
        <v>96</v>
      </c>
      <c r="I23" s="7">
        <v>1.4094185125E-2</v>
      </c>
      <c r="J23">
        <v>1.11E-2</v>
      </c>
      <c r="K23" s="4">
        <v>0.30030317701661047</v>
      </c>
      <c r="P23">
        <v>7540</v>
      </c>
      <c r="Q23">
        <v>7603</v>
      </c>
      <c r="R23">
        <v>1.587</v>
      </c>
      <c r="S23">
        <v>0.63</v>
      </c>
      <c r="U23">
        <v>10696</v>
      </c>
      <c r="V23">
        <v>10776</v>
      </c>
      <c r="W23">
        <v>1.25</v>
      </c>
      <c r="X23">
        <v>0.8</v>
      </c>
    </row>
    <row r="24" spans="1:24" x14ac:dyDescent="0.4">
      <c r="A24">
        <v>5.1520000000000001</v>
      </c>
      <c r="B24">
        <f>1.22*(2*PI())</f>
        <v>7.6654860747590954</v>
      </c>
      <c r="C24">
        <v>3.7130000000000001</v>
      </c>
      <c r="D24">
        <f>1.587*(2*PI())</f>
        <v>9.9714150824940031</v>
      </c>
      <c r="E24">
        <v>7.6240000000000006</v>
      </c>
      <c r="F24">
        <f>0.901*(2*PI())</f>
        <v>5.6611499617688077</v>
      </c>
      <c r="P24">
        <v>7727</v>
      </c>
      <c r="Q24">
        <v>7788</v>
      </c>
      <c r="R24">
        <v>1.639</v>
      </c>
      <c r="S24">
        <v>0.61</v>
      </c>
      <c r="U24">
        <v>10934</v>
      </c>
      <c r="V24">
        <v>11011</v>
      </c>
      <c r="W24">
        <v>1.2989999999999999</v>
      </c>
      <c r="X24">
        <v>0.77</v>
      </c>
    </row>
    <row r="25" spans="1:24" x14ac:dyDescent="0.4">
      <c r="A25">
        <v>5.4050000000000002</v>
      </c>
      <c r="B25">
        <f>1.266*(2*PI())</f>
        <v>7.9545125988893561</v>
      </c>
      <c r="C25">
        <v>3.9020000000000001</v>
      </c>
      <c r="D25">
        <f>1.613*(2*PI())</f>
        <v>10.134777900480673</v>
      </c>
      <c r="E25">
        <v>7.9539999999999997</v>
      </c>
      <c r="F25">
        <f>0.943*(2*PI())</f>
        <v>5.9250437446703499</v>
      </c>
      <c r="P25">
        <v>7908</v>
      </c>
      <c r="Q25">
        <v>7968</v>
      </c>
      <c r="R25">
        <v>1.667</v>
      </c>
      <c r="S25">
        <v>0.6</v>
      </c>
      <c r="U25">
        <v>11164</v>
      </c>
      <c r="V25">
        <v>11241</v>
      </c>
      <c r="W25">
        <v>1.2989999999999999</v>
      </c>
      <c r="X25">
        <v>0.77</v>
      </c>
    </row>
    <row r="26" spans="1:24" x14ac:dyDescent="0.4">
      <c r="A26">
        <v>5.65</v>
      </c>
      <c r="B26">
        <f>1.299*(2*PI())</f>
        <v>8.1618577140262829</v>
      </c>
      <c r="C26">
        <v>4.0860000000000003</v>
      </c>
      <c r="D26">
        <f>1.667*(2*PI())</f>
        <v>10.474069907068371</v>
      </c>
      <c r="E26">
        <v>8.2690000000000001</v>
      </c>
      <c r="F26">
        <f>0.971*(2*PI())</f>
        <v>6.100972933271378</v>
      </c>
      <c r="P26">
        <v>8086</v>
      </c>
      <c r="Q26">
        <v>8145</v>
      </c>
      <c r="R26">
        <v>1.6950000000000001</v>
      </c>
      <c r="S26">
        <v>0.59</v>
      </c>
      <c r="U26">
        <v>11392</v>
      </c>
      <c r="V26">
        <v>11466</v>
      </c>
      <c r="W26">
        <v>1.351</v>
      </c>
      <c r="X26">
        <v>0.74</v>
      </c>
    </row>
    <row r="27" spans="1:24" x14ac:dyDescent="0.4">
      <c r="A27">
        <v>5.8840000000000003</v>
      </c>
      <c r="B27">
        <f>1.37*(2*PI())</f>
        <v>8.6079638708360342</v>
      </c>
      <c r="C27">
        <v>4.2629999999999999</v>
      </c>
      <c r="D27">
        <f>1.724*(2*PI())</f>
        <v>10.832211469577606</v>
      </c>
      <c r="E27">
        <v>8.572000000000001</v>
      </c>
      <c r="F27">
        <f>1*(2*PI())</f>
        <v>6.2831853071795862</v>
      </c>
      <c r="P27">
        <v>8262</v>
      </c>
      <c r="Q27">
        <v>8320</v>
      </c>
      <c r="R27">
        <v>1.724</v>
      </c>
      <c r="S27">
        <v>0.57999999999999996</v>
      </c>
      <c r="U27">
        <v>11615</v>
      </c>
      <c r="V27">
        <v>11687</v>
      </c>
      <c r="W27">
        <v>1.389</v>
      </c>
      <c r="X27">
        <v>0.72</v>
      </c>
    </row>
    <row r="28" spans="1:24" x14ac:dyDescent="0.4">
      <c r="A28">
        <v>6.1120000000000001</v>
      </c>
      <c r="B28">
        <f>1.389*(2*PI())</f>
        <v>8.727344391672446</v>
      </c>
      <c r="C28">
        <v>4.4359999999999999</v>
      </c>
      <c r="D28">
        <f>1.754*(2*PI())</f>
        <v>11.020707028792994</v>
      </c>
      <c r="E28">
        <v>8.8659999999999997</v>
      </c>
      <c r="F28">
        <f>1.031*(2*PI())</f>
        <v>6.4779640517021528</v>
      </c>
      <c r="P28">
        <v>8434</v>
      </c>
      <c r="Q28">
        <v>8491</v>
      </c>
      <c r="R28">
        <v>1.754</v>
      </c>
      <c r="S28">
        <v>0.56999999999999995</v>
      </c>
      <c r="U28">
        <v>11833</v>
      </c>
      <c r="V28">
        <v>11905</v>
      </c>
      <c r="W28">
        <v>1.389</v>
      </c>
      <c r="X28">
        <v>0.72</v>
      </c>
    </row>
    <row r="29" spans="1:24" x14ac:dyDescent="0.4">
      <c r="A29">
        <v>6.3330000000000002</v>
      </c>
      <c r="B29">
        <f>1.429*(2*PI())</f>
        <v>8.9786718039596298</v>
      </c>
      <c r="C29">
        <v>4.6050000000000004</v>
      </c>
      <c r="D29">
        <f>1.786*(2*PI())</f>
        <v>11.221768958622741</v>
      </c>
      <c r="E29">
        <v>9.1509999999999998</v>
      </c>
      <c r="F29">
        <f>1.087*(2*PI())</f>
        <v>6.82982242890421</v>
      </c>
      <c r="P29">
        <v>8603</v>
      </c>
      <c r="Q29">
        <v>8658</v>
      </c>
      <c r="R29">
        <v>1.8180000000000001</v>
      </c>
      <c r="S29">
        <v>0.55000000000000004</v>
      </c>
      <c r="U29">
        <v>12047</v>
      </c>
      <c r="V29">
        <v>12118</v>
      </c>
      <c r="W29">
        <v>1.4079999999999999</v>
      </c>
      <c r="X29">
        <v>0.71</v>
      </c>
    </row>
    <row r="30" spans="1:24" x14ac:dyDescent="0.4">
      <c r="A30">
        <v>6.5469999999999997</v>
      </c>
      <c r="B30">
        <f>1.471*(2*PI())</f>
        <v>9.242565586861172</v>
      </c>
      <c r="C30">
        <v>4.7690000000000001</v>
      </c>
      <c r="D30">
        <f>1.818*(2*PI())</f>
        <v>11.422830888452488</v>
      </c>
      <c r="E30">
        <v>9.4250000000000007</v>
      </c>
      <c r="F30">
        <f>1.099*(2*PI())</f>
        <v>6.9052206525903648</v>
      </c>
      <c r="P30">
        <v>8770</v>
      </c>
      <c r="Q30">
        <v>8825</v>
      </c>
      <c r="R30">
        <v>1.8180000000000001</v>
      </c>
      <c r="S30">
        <v>0.55000000000000004</v>
      </c>
      <c r="U30">
        <v>12258</v>
      </c>
      <c r="V30">
        <v>12327</v>
      </c>
      <c r="W30">
        <v>1.4490000000000001</v>
      </c>
      <c r="X30">
        <v>0.69</v>
      </c>
    </row>
    <row r="31" spans="1:24" x14ac:dyDescent="0.4">
      <c r="A31">
        <v>6.7549999999999999</v>
      </c>
      <c r="B31">
        <f>1.515*(2*PI())</f>
        <v>9.5190257403770726</v>
      </c>
      <c r="C31">
        <v>4.93</v>
      </c>
      <c r="D31">
        <f>1.887*(2*PI())</f>
        <v>11.856370674647879</v>
      </c>
      <c r="E31">
        <v>9.6929999999999996</v>
      </c>
      <c r="F31">
        <f>1.136*(2*PI())</f>
        <v>7.1376985089560092</v>
      </c>
      <c r="P31">
        <v>8935</v>
      </c>
      <c r="Q31">
        <v>8989</v>
      </c>
      <c r="R31">
        <v>1.8520000000000001</v>
      </c>
      <c r="S31">
        <v>0.54</v>
      </c>
      <c r="U31">
        <v>12465</v>
      </c>
      <c r="V31">
        <v>12533</v>
      </c>
      <c r="W31">
        <v>1.4710000000000001</v>
      </c>
      <c r="X31">
        <v>0.68</v>
      </c>
    </row>
    <row r="32" spans="1:24" x14ac:dyDescent="0.4">
      <c r="A32">
        <v>6.9590000000000005</v>
      </c>
      <c r="B32">
        <f>1.515*(2*PI())</f>
        <v>9.5190257403770726</v>
      </c>
      <c r="C32">
        <v>5.0880000000000001</v>
      </c>
      <c r="D32">
        <f>1.923*(2*PI())</f>
        <v>12.082565345706344</v>
      </c>
      <c r="E32">
        <v>9.9540000000000006</v>
      </c>
      <c r="F32">
        <f>1.163*(2*PI())</f>
        <v>7.307344512249859</v>
      </c>
      <c r="P32">
        <v>9096</v>
      </c>
      <c r="Q32">
        <v>9149</v>
      </c>
      <c r="R32">
        <v>1.887</v>
      </c>
      <c r="S32">
        <v>0.53</v>
      </c>
      <c r="U32">
        <v>12668</v>
      </c>
      <c r="V32">
        <v>12736</v>
      </c>
      <c r="W32">
        <v>1.4710000000000001</v>
      </c>
      <c r="X32">
        <v>0.68</v>
      </c>
    </row>
    <row r="33" spans="1:24" x14ac:dyDescent="0.4">
      <c r="A33">
        <v>7.157</v>
      </c>
      <c r="B33">
        <f>1.587*(2*PI())</f>
        <v>9.9714150824940031</v>
      </c>
      <c r="C33">
        <v>5.2410000000000005</v>
      </c>
      <c r="D33">
        <f>1.923*(2*PI())</f>
        <v>12.082565345706344</v>
      </c>
      <c r="E33">
        <v>10.208</v>
      </c>
      <c r="F33">
        <f>1.22*(2*PI())</f>
        <v>7.6654860747590954</v>
      </c>
      <c r="P33">
        <v>9255</v>
      </c>
      <c r="Q33">
        <v>9308</v>
      </c>
      <c r="R33">
        <v>1.887</v>
      </c>
      <c r="S33">
        <v>0.53</v>
      </c>
      <c r="U33">
        <v>12870</v>
      </c>
      <c r="V33">
        <v>12936</v>
      </c>
      <c r="W33">
        <v>1.5149999999999999</v>
      </c>
      <c r="X33">
        <v>0.66</v>
      </c>
    </row>
    <row r="34" spans="1:24" x14ac:dyDescent="0.4">
      <c r="A34">
        <v>7.351</v>
      </c>
      <c r="B34">
        <f>1.587*(2*PI())</f>
        <v>9.9714150824940031</v>
      </c>
      <c r="C34">
        <v>5.3920000000000003</v>
      </c>
      <c r="D34">
        <f>2*(2*PI())</f>
        <v>12.566370614359172</v>
      </c>
      <c r="E34">
        <v>10.455</v>
      </c>
      <c r="F34">
        <f>1.25*(2*PI())</f>
        <v>7.8539816339744828</v>
      </c>
      <c r="P34">
        <v>9413</v>
      </c>
      <c r="Q34">
        <v>9465</v>
      </c>
      <c r="R34">
        <v>1.923</v>
      </c>
      <c r="S34">
        <v>0.52</v>
      </c>
      <c r="U34">
        <v>13068</v>
      </c>
      <c r="V34">
        <v>13132</v>
      </c>
      <c r="W34">
        <v>1.5620000000000001</v>
      </c>
      <c r="X34">
        <v>0.64</v>
      </c>
    </row>
    <row r="35" spans="1:24" x14ac:dyDescent="0.4">
      <c r="A35">
        <v>7.54</v>
      </c>
      <c r="B35">
        <f>1.639*(2*PI())</f>
        <v>10.298140718467343</v>
      </c>
      <c r="C35">
        <v>5.5410000000000004</v>
      </c>
      <c r="D35">
        <f>2*(2*PI())</f>
        <v>12.566370614359172</v>
      </c>
      <c r="E35">
        <v>10.696</v>
      </c>
      <c r="F35">
        <f>1.25*(2*PI())</f>
        <v>7.8539816339744828</v>
      </c>
      <c r="P35">
        <v>9568</v>
      </c>
      <c r="Q35">
        <v>9619</v>
      </c>
      <c r="R35">
        <v>1.9610000000000001</v>
      </c>
      <c r="S35">
        <v>0.51</v>
      </c>
      <c r="U35">
        <v>13262</v>
      </c>
      <c r="V35">
        <v>13326</v>
      </c>
      <c r="W35">
        <v>1.5620000000000001</v>
      </c>
      <c r="X35">
        <v>0.64</v>
      </c>
    </row>
    <row r="36" spans="1:24" x14ac:dyDescent="0.4">
      <c r="A36">
        <v>7.7270000000000003</v>
      </c>
      <c r="B36">
        <f>1.667*(2*PI())</f>
        <v>10.474069907068371</v>
      </c>
      <c r="C36">
        <v>5.6870000000000003</v>
      </c>
      <c r="D36">
        <f>2.083*(2*PI())</f>
        <v>13.087874994855079</v>
      </c>
      <c r="E36">
        <v>10.934000000000001</v>
      </c>
      <c r="F36">
        <f>1.299*(2*PI())</f>
        <v>8.1618577140262829</v>
      </c>
      <c r="P36">
        <v>9720</v>
      </c>
      <c r="Q36">
        <v>9772</v>
      </c>
      <c r="R36">
        <v>1.923</v>
      </c>
      <c r="S36">
        <v>0.52</v>
      </c>
      <c r="U36">
        <v>13455</v>
      </c>
      <c r="V36">
        <v>13518</v>
      </c>
      <c r="W36">
        <v>1.587</v>
      </c>
      <c r="X36">
        <v>0.63</v>
      </c>
    </row>
    <row r="37" spans="1:24" x14ac:dyDescent="0.4">
      <c r="A37">
        <v>7.9080000000000004</v>
      </c>
      <c r="B37">
        <f>1.695*(2*PI())</f>
        <v>10.649999095669399</v>
      </c>
      <c r="C37">
        <v>5.83</v>
      </c>
      <c r="D37">
        <f>2.128*(2*PI())</f>
        <v>13.370618333678161</v>
      </c>
      <c r="E37">
        <v>11.164</v>
      </c>
      <c r="F37">
        <f>1.299*(2*PI())</f>
        <v>8.1618577140262829</v>
      </c>
      <c r="P37">
        <v>9873</v>
      </c>
      <c r="Q37">
        <v>9923</v>
      </c>
      <c r="R37">
        <v>2</v>
      </c>
      <c r="S37">
        <v>0.5</v>
      </c>
      <c r="U37">
        <v>13644</v>
      </c>
      <c r="V37">
        <v>13708</v>
      </c>
      <c r="W37">
        <v>1.5620000000000001</v>
      </c>
      <c r="X37">
        <v>0.64</v>
      </c>
    </row>
    <row r="38" spans="1:24" x14ac:dyDescent="0.4">
      <c r="A38">
        <v>8.0860000000000003</v>
      </c>
      <c r="B38">
        <f>1.724*(2*PI())</f>
        <v>10.832211469577606</v>
      </c>
      <c r="C38">
        <v>5.9710000000000001</v>
      </c>
      <c r="D38">
        <f>2.128*(2*PI())</f>
        <v>13.370618333678161</v>
      </c>
      <c r="E38">
        <v>11.391999999999999</v>
      </c>
      <c r="F38">
        <f>1.351*(2*PI())</f>
        <v>8.4885833499996206</v>
      </c>
      <c r="P38">
        <v>10022</v>
      </c>
      <c r="Q38">
        <v>10072</v>
      </c>
      <c r="R38">
        <v>2</v>
      </c>
      <c r="S38">
        <v>0.5</v>
      </c>
      <c r="U38">
        <v>13832</v>
      </c>
      <c r="V38">
        <v>13893</v>
      </c>
      <c r="W38">
        <v>1.639</v>
      </c>
      <c r="X38">
        <v>0.61</v>
      </c>
    </row>
    <row r="39" spans="1:24" x14ac:dyDescent="0.4">
      <c r="A39">
        <v>8.2620000000000005</v>
      </c>
      <c r="B39">
        <f>1.754*(2*PI())</f>
        <v>11.020707028792994</v>
      </c>
      <c r="C39">
        <v>6.1109999999999998</v>
      </c>
      <c r="D39">
        <f>2.222*(2*PI())</f>
        <v>13.961237752553041</v>
      </c>
      <c r="E39">
        <v>11.615</v>
      </c>
      <c r="F39">
        <f>1.389*(2*PI())</f>
        <v>8.727344391672446</v>
      </c>
      <c r="P39">
        <v>10170</v>
      </c>
      <c r="Q39">
        <v>10218</v>
      </c>
      <c r="R39">
        <v>2.0830000000000002</v>
      </c>
      <c r="S39">
        <v>0.48</v>
      </c>
      <c r="U39">
        <v>14016</v>
      </c>
      <c r="V39">
        <v>14077</v>
      </c>
      <c r="W39">
        <v>1.639</v>
      </c>
      <c r="X39">
        <v>0.61</v>
      </c>
    </row>
    <row r="40" spans="1:24" x14ac:dyDescent="0.4">
      <c r="A40">
        <v>8.4340000000000011</v>
      </c>
      <c r="B40">
        <f>1.818*(2*PI())</f>
        <v>11.422830888452488</v>
      </c>
      <c r="C40">
        <v>6.2469999999999999</v>
      </c>
      <c r="D40">
        <f>2.222*(2*PI())</f>
        <v>13.961237752553041</v>
      </c>
      <c r="E40">
        <v>11.833</v>
      </c>
      <c r="F40">
        <f>1.389*(2*PI())</f>
        <v>8.727344391672446</v>
      </c>
      <c r="P40">
        <v>10315</v>
      </c>
      <c r="Q40">
        <v>10364</v>
      </c>
      <c r="R40">
        <v>2.0409999999999999</v>
      </c>
      <c r="S40">
        <v>0.49</v>
      </c>
      <c r="U40">
        <v>14199</v>
      </c>
      <c r="V40">
        <v>14261</v>
      </c>
      <c r="W40">
        <v>1.613</v>
      </c>
      <c r="X40">
        <v>0.62</v>
      </c>
    </row>
    <row r="41" spans="1:24" x14ac:dyDescent="0.4">
      <c r="A41">
        <v>8.6029999999999998</v>
      </c>
      <c r="B41">
        <f>1.818*(2*PI())</f>
        <v>11.422830888452488</v>
      </c>
      <c r="C41">
        <v>6.3820000000000006</v>
      </c>
      <c r="D41">
        <f>2.273*(2*PI())</f>
        <v>14.281680203219201</v>
      </c>
      <c r="E41">
        <v>12.047000000000001</v>
      </c>
      <c r="F41">
        <f>1.408*(2*PI())</f>
        <v>8.8467249125088561</v>
      </c>
      <c r="P41">
        <v>10461</v>
      </c>
      <c r="Q41">
        <v>10508</v>
      </c>
      <c r="R41">
        <v>2.1280000000000001</v>
      </c>
      <c r="S41">
        <v>0.47</v>
      </c>
      <c r="U41">
        <v>14381</v>
      </c>
      <c r="V41">
        <v>14440</v>
      </c>
      <c r="W41">
        <v>1.6950000000000001</v>
      </c>
      <c r="X41">
        <v>0.59</v>
      </c>
    </row>
    <row r="42" spans="1:24" x14ac:dyDescent="0.4">
      <c r="A42">
        <v>8.77</v>
      </c>
      <c r="B42">
        <f>1.852*(2*PI())</f>
        <v>11.636459188896595</v>
      </c>
      <c r="C42">
        <v>6.5150000000000006</v>
      </c>
      <c r="D42">
        <f>2.273*(2*PI())</f>
        <v>14.281680203219201</v>
      </c>
      <c r="E42">
        <v>12.258000000000001</v>
      </c>
      <c r="F42">
        <f>1.449*(2*PI())</f>
        <v>9.1043355101032208</v>
      </c>
      <c r="P42">
        <v>10603</v>
      </c>
      <c r="Q42">
        <v>10650</v>
      </c>
      <c r="R42">
        <v>2.1280000000000001</v>
      </c>
      <c r="S42">
        <v>0.47</v>
      </c>
      <c r="U42">
        <v>14559</v>
      </c>
      <c r="V42">
        <v>14617</v>
      </c>
      <c r="W42">
        <v>1.724</v>
      </c>
      <c r="X42">
        <v>0.57999999999999996</v>
      </c>
    </row>
    <row r="43" spans="1:24" x14ac:dyDescent="0.4">
      <c r="A43">
        <v>8.9350000000000005</v>
      </c>
      <c r="B43">
        <f>1.887*(2*PI())</f>
        <v>11.856370674647879</v>
      </c>
      <c r="C43">
        <v>6.6459999999999999</v>
      </c>
      <c r="D43">
        <f>2.273*(2*PI())</f>
        <v>14.281680203219201</v>
      </c>
      <c r="E43">
        <v>12.465</v>
      </c>
      <c r="F43">
        <f>1.471*(2*PI())</f>
        <v>9.242565586861172</v>
      </c>
      <c r="P43">
        <v>10744</v>
      </c>
      <c r="Q43">
        <v>10791</v>
      </c>
      <c r="R43">
        <v>2.1280000000000001</v>
      </c>
      <c r="S43">
        <v>0.47</v>
      </c>
      <c r="U43">
        <v>14736</v>
      </c>
      <c r="V43">
        <v>14794</v>
      </c>
      <c r="W43">
        <v>1.724</v>
      </c>
      <c r="X43">
        <v>0.57999999999999996</v>
      </c>
    </row>
    <row r="44" spans="1:24" x14ac:dyDescent="0.4">
      <c r="A44">
        <v>9.0960000000000001</v>
      </c>
      <c r="B44">
        <f>1.887*(2*PI())</f>
        <v>11.856370674647879</v>
      </c>
      <c r="C44">
        <v>6.7759999999999998</v>
      </c>
      <c r="D44">
        <f>2.326*(2*PI())</f>
        <v>14.614689024499718</v>
      </c>
      <c r="E44">
        <v>12.668000000000001</v>
      </c>
      <c r="F44">
        <f>1.471*(2*PI())</f>
        <v>9.242565586861172</v>
      </c>
      <c r="P44">
        <v>10885</v>
      </c>
      <c r="Q44">
        <v>10931</v>
      </c>
      <c r="R44">
        <v>2.1739999999999999</v>
      </c>
      <c r="S44">
        <v>0.46</v>
      </c>
      <c r="U44">
        <v>14911</v>
      </c>
      <c r="V44">
        <v>14968</v>
      </c>
      <c r="W44">
        <v>1.754</v>
      </c>
      <c r="X44">
        <v>0.56999999999999995</v>
      </c>
    </row>
    <row r="45" spans="1:24" x14ac:dyDescent="0.4">
      <c r="A45">
        <v>9.2550000000000008</v>
      </c>
      <c r="B45">
        <f>1.923*(2*PI())</f>
        <v>12.082565345706344</v>
      </c>
      <c r="C45">
        <v>6.9039999999999999</v>
      </c>
      <c r="D45">
        <f>2.326*(2*PI())</f>
        <v>14.614689024499718</v>
      </c>
      <c r="E45">
        <v>12.870000000000001</v>
      </c>
      <c r="F45">
        <f>1.515*(2*PI())</f>
        <v>9.5190257403770726</v>
      </c>
      <c r="P45">
        <v>11023</v>
      </c>
      <c r="Q45">
        <v>11068</v>
      </c>
      <c r="R45">
        <v>2.222</v>
      </c>
      <c r="S45">
        <v>0.45</v>
      </c>
      <c r="U45">
        <v>15083</v>
      </c>
      <c r="V45">
        <v>15140</v>
      </c>
      <c r="W45">
        <v>1.754</v>
      </c>
      <c r="X45">
        <v>0.56999999999999995</v>
      </c>
    </row>
    <row r="46" spans="1:24" x14ac:dyDescent="0.4">
      <c r="A46">
        <v>9.4130000000000003</v>
      </c>
      <c r="B46">
        <f>1.961*(2*PI())</f>
        <v>12.32132638737917</v>
      </c>
      <c r="C46">
        <v>7.0310000000000006</v>
      </c>
      <c r="D46">
        <f>2.381*(2*PI())</f>
        <v>14.960264216394593</v>
      </c>
      <c r="E46">
        <v>13.068</v>
      </c>
      <c r="F46">
        <f>1.562*(2*PI())</f>
        <v>9.8143354498145143</v>
      </c>
      <c r="P46">
        <v>11159</v>
      </c>
      <c r="Q46">
        <v>11205</v>
      </c>
      <c r="R46">
        <v>2.1739999999999999</v>
      </c>
      <c r="S46">
        <v>0.46</v>
      </c>
      <c r="U46">
        <v>15254</v>
      </c>
      <c r="V46">
        <v>15311</v>
      </c>
      <c r="W46">
        <v>1.754</v>
      </c>
      <c r="X46">
        <v>0.56999999999999995</v>
      </c>
    </row>
    <row r="47" spans="1:24" x14ac:dyDescent="0.4">
      <c r="A47">
        <v>9.5679999999999996</v>
      </c>
      <c r="B47">
        <f>1.923*(2*PI())</f>
        <v>12.082565345706344</v>
      </c>
      <c r="C47">
        <v>7.1560000000000006</v>
      </c>
      <c r="D47">
        <f>2.381*(2*PI())</f>
        <v>14.960264216394593</v>
      </c>
      <c r="E47">
        <v>13.262</v>
      </c>
      <c r="F47">
        <f>1.562*(2*PI())</f>
        <v>9.8143354498145143</v>
      </c>
      <c r="P47">
        <v>11295</v>
      </c>
      <c r="Q47">
        <v>11340</v>
      </c>
      <c r="R47">
        <v>2.222</v>
      </c>
      <c r="S47">
        <v>0.45</v>
      </c>
      <c r="U47">
        <v>15424</v>
      </c>
      <c r="V47">
        <v>15480</v>
      </c>
      <c r="W47">
        <v>1.786</v>
      </c>
      <c r="X47">
        <v>0.56000000000000005</v>
      </c>
    </row>
    <row r="48" spans="1:24" x14ac:dyDescent="0.4">
      <c r="A48">
        <v>9.7200000000000006</v>
      </c>
      <c r="B48">
        <f>2*(2*PI())</f>
        <v>12.566370614359172</v>
      </c>
      <c r="C48">
        <v>7.28</v>
      </c>
      <c r="D48">
        <f>2.381*(2*PI())</f>
        <v>14.960264216394593</v>
      </c>
      <c r="E48">
        <v>13.455</v>
      </c>
      <c r="F48">
        <f>1.587*(2*PI())</f>
        <v>9.9714150824940031</v>
      </c>
      <c r="P48">
        <v>11429</v>
      </c>
      <c r="Q48">
        <v>11474</v>
      </c>
      <c r="R48">
        <v>2.222</v>
      </c>
      <c r="S48">
        <v>0.45</v>
      </c>
      <c r="U48">
        <v>15592</v>
      </c>
      <c r="V48">
        <v>15647</v>
      </c>
      <c r="W48">
        <v>1.8180000000000001</v>
      </c>
      <c r="X48">
        <v>0.55000000000000004</v>
      </c>
    </row>
    <row r="49" spans="1:24" x14ac:dyDescent="0.4">
      <c r="A49">
        <v>9.8729999999999993</v>
      </c>
      <c r="B49">
        <f>2*(2*PI())</f>
        <v>12.566370614359172</v>
      </c>
      <c r="C49">
        <v>7.4039999999999999</v>
      </c>
      <c r="D49">
        <f>2.5*(2*PI())</f>
        <v>15.707963267948966</v>
      </c>
      <c r="E49">
        <v>13.644</v>
      </c>
      <c r="F49">
        <f>1.562*(2*PI())</f>
        <v>9.8143354498145143</v>
      </c>
      <c r="P49">
        <v>11563</v>
      </c>
      <c r="Q49">
        <v>11607</v>
      </c>
      <c r="R49">
        <v>2.2730000000000001</v>
      </c>
      <c r="S49">
        <v>0.44</v>
      </c>
      <c r="U49">
        <v>15758</v>
      </c>
      <c r="V49">
        <v>15814</v>
      </c>
      <c r="W49">
        <v>1.786</v>
      </c>
      <c r="X49">
        <v>0.56000000000000005</v>
      </c>
    </row>
    <row r="50" spans="1:24" x14ac:dyDescent="0.4">
      <c r="A50">
        <v>10.022</v>
      </c>
      <c r="B50">
        <f>2.083*(2*PI())</f>
        <v>13.087874994855079</v>
      </c>
      <c r="C50">
        <v>7.5250000000000004</v>
      </c>
      <c r="D50">
        <f>2.5*(2*PI())</f>
        <v>15.707963267948966</v>
      </c>
      <c r="E50">
        <v>13.832000000000001</v>
      </c>
      <c r="F50">
        <f>1.639*(2*PI())</f>
        <v>10.298140718467343</v>
      </c>
      <c r="P50">
        <v>11695</v>
      </c>
      <c r="Q50">
        <v>11739</v>
      </c>
      <c r="R50">
        <v>2.2730000000000001</v>
      </c>
      <c r="S50">
        <v>0.44</v>
      </c>
      <c r="U50">
        <v>15924</v>
      </c>
      <c r="V50">
        <v>15978</v>
      </c>
      <c r="W50">
        <v>1.8520000000000001</v>
      </c>
      <c r="X50">
        <v>0.54</v>
      </c>
    </row>
    <row r="51" spans="1:24" x14ac:dyDescent="0.4">
      <c r="A51">
        <v>10.17</v>
      </c>
      <c r="B51">
        <f>2.041*(2*PI())</f>
        <v>12.823981211953535</v>
      </c>
      <c r="C51">
        <v>7.6450000000000005</v>
      </c>
      <c r="D51">
        <f>2.5*(2*PI())</f>
        <v>15.707963267948966</v>
      </c>
      <c r="E51">
        <v>14.016</v>
      </c>
      <c r="F51">
        <f>1.639*(2*PI())</f>
        <v>10.298140718467343</v>
      </c>
      <c r="P51">
        <v>11826</v>
      </c>
      <c r="Q51">
        <v>11869</v>
      </c>
      <c r="R51">
        <v>2.3260000000000001</v>
      </c>
      <c r="S51">
        <v>0.43</v>
      </c>
      <c r="U51">
        <v>16088</v>
      </c>
      <c r="V51">
        <v>16141</v>
      </c>
      <c r="W51">
        <v>1.887</v>
      </c>
      <c r="X51">
        <v>0.53</v>
      </c>
    </row>
    <row r="52" spans="1:24" x14ac:dyDescent="0.4">
      <c r="A52">
        <v>10.315</v>
      </c>
      <c r="B52">
        <f>2.128*(2*PI())</f>
        <v>13.370618333678161</v>
      </c>
      <c r="C52">
        <v>7.7640000000000002</v>
      </c>
      <c r="D52">
        <f>2.564*(2*PI())</f>
        <v>16.110087127608459</v>
      </c>
      <c r="E52">
        <v>14.199</v>
      </c>
      <c r="F52">
        <f>1.613*(2*PI())</f>
        <v>10.134777900480673</v>
      </c>
      <c r="P52">
        <v>11955</v>
      </c>
      <c r="Q52">
        <v>11997</v>
      </c>
      <c r="R52">
        <v>2.3809999999999998</v>
      </c>
      <c r="S52">
        <v>0.42</v>
      </c>
      <c r="U52">
        <v>16248</v>
      </c>
      <c r="V52">
        <v>16303</v>
      </c>
      <c r="W52">
        <v>1.8180000000000001</v>
      </c>
      <c r="X52">
        <v>0.55000000000000004</v>
      </c>
    </row>
    <row r="53" spans="1:24" x14ac:dyDescent="0.4">
      <c r="A53">
        <v>10.461</v>
      </c>
      <c r="B53">
        <f>2.128*(2*PI())</f>
        <v>13.370618333678161</v>
      </c>
      <c r="C53">
        <v>7.8820000000000006</v>
      </c>
      <c r="D53">
        <f>2.564*(2*PI())</f>
        <v>16.110087127608459</v>
      </c>
      <c r="E53">
        <v>14.381</v>
      </c>
      <c r="F53">
        <f>1.695*(2*PI())</f>
        <v>10.649999095669399</v>
      </c>
      <c r="P53">
        <v>12083</v>
      </c>
      <c r="Q53">
        <v>12126</v>
      </c>
      <c r="R53">
        <v>2.3260000000000001</v>
      </c>
      <c r="S53">
        <v>0.43</v>
      </c>
      <c r="U53">
        <v>16410</v>
      </c>
      <c r="V53">
        <v>16463</v>
      </c>
      <c r="W53">
        <v>1.887</v>
      </c>
      <c r="X53">
        <v>0.53</v>
      </c>
    </row>
    <row r="54" spans="1:24" x14ac:dyDescent="0.4">
      <c r="P54">
        <v>12211</v>
      </c>
      <c r="Q54">
        <v>12253</v>
      </c>
      <c r="R54">
        <v>2.3809999999999998</v>
      </c>
      <c r="S54">
        <v>0.42</v>
      </c>
    </row>
    <row r="55" spans="1:24" x14ac:dyDescent="0.4">
      <c r="A55">
        <v>10.603</v>
      </c>
      <c r="B55">
        <f>2.128*(2*PI())</f>
        <v>13.370618333678161</v>
      </c>
      <c r="C55">
        <v>7.9990000000000006</v>
      </c>
      <c r="D55">
        <f>2.564*(2*PI())</f>
        <v>16.110087127608459</v>
      </c>
      <c r="E55">
        <v>14.559000000000001</v>
      </c>
      <c r="F55">
        <f>1.724*(2*PI())</f>
        <v>10.832211469577606</v>
      </c>
      <c r="P55">
        <v>12337</v>
      </c>
      <c r="Q55">
        <v>12378</v>
      </c>
      <c r="R55">
        <v>2.4390000000000001</v>
      </c>
      <c r="S55">
        <v>0.41</v>
      </c>
    </row>
    <row r="56" spans="1:24" x14ac:dyDescent="0.4">
      <c r="A56">
        <v>10.744</v>
      </c>
      <c r="B56">
        <f>2.174*(2*PI())</f>
        <v>13.65964485780842</v>
      </c>
      <c r="C56">
        <v>8.1159999999999997</v>
      </c>
      <c r="D56">
        <f>2.632*(2*PI())</f>
        <v>16.537343728496673</v>
      </c>
      <c r="E56">
        <v>14.736000000000001</v>
      </c>
      <c r="F56">
        <f>1.724*(2*PI())</f>
        <v>10.832211469577606</v>
      </c>
      <c r="P56">
        <v>12462</v>
      </c>
      <c r="Q56">
        <v>12503</v>
      </c>
      <c r="R56">
        <v>2.4390000000000001</v>
      </c>
      <c r="S56">
        <v>0.41</v>
      </c>
    </row>
    <row r="57" spans="1:24" x14ac:dyDescent="0.4">
      <c r="A57">
        <v>10.885</v>
      </c>
      <c r="B57">
        <f>2.222*(2*PI())</f>
        <v>13.961237752553041</v>
      </c>
      <c r="C57">
        <v>8.23</v>
      </c>
      <c r="D57">
        <f>2.632*(2*PI())</f>
        <v>16.537343728496673</v>
      </c>
      <c r="E57">
        <v>14.911</v>
      </c>
      <c r="F57">
        <f>1.754*(2*PI())</f>
        <v>11.020707028792994</v>
      </c>
    </row>
    <row r="58" spans="1:24" x14ac:dyDescent="0.4">
      <c r="A58">
        <v>11.023</v>
      </c>
      <c r="B58">
        <f>2.174*(2*PI())</f>
        <v>13.65964485780842</v>
      </c>
      <c r="C58">
        <v>8.3819999999999997</v>
      </c>
      <c r="D58">
        <f>2.632*(2*PI())</f>
        <v>16.537343728496673</v>
      </c>
      <c r="E58">
        <v>15.083</v>
      </c>
      <c r="F58">
        <f>1.754*(2*PI())</f>
        <v>11.020707028792994</v>
      </c>
    </row>
    <row r="59" spans="1:24" x14ac:dyDescent="0.4">
      <c r="A59">
        <v>11.159000000000001</v>
      </c>
      <c r="B59">
        <f>2.222*(2*PI())</f>
        <v>13.961237752553041</v>
      </c>
      <c r="C59">
        <v>8.5340000000000007</v>
      </c>
      <c r="D59">
        <f>2.778*(2*PI())</f>
        <v>17.454688783344892</v>
      </c>
      <c r="E59">
        <v>15.254</v>
      </c>
      <c r="F59">
        <f>1.754*(2*PI())</f>
        <v>11.020707028792994</v>
      </c>
    </row>
    <row r="60" spans="1:24" x14ac:dyDescent="0.4">
      <c r="A60">
        <v>11.295</v>
      </c>
      <c r="B60">
        <f>2.222*(2*PI())</f>
        <v>13.961237752553041</v>
      </c>
      <c r="C60">
        <v>8.6820000000000004</v>
      </c>
      <c r="D60">
        <f>2.703*(2*PI())</f>
        <v>16.98344988530642</v>
      </c>
      <c r="E60">
        <v>15.423999999999999</v>
      </c>
      <c r="F60">
        <f>1.786*(2*PI())</f>
        <v>11.221768958622741</v>
      </c>
    </row>
    <row r="61" spans="1:24" x14ac:dyDescent="0.4">
      <c r="A61">
        <v>11.429</v>
      </c>
      <c r="B61">
        <f>2.273*(2*PI())</f>
        <v>14.281680203219201</v>
      </c>
      <c r="C61">
        <v>8.83</v>
      </c>
      <c r="D61">
        <f>2.703*(2*PI())</f>
        <v>16.98344988530642</v>
      </c>
      <c r="E61">
        <v>15.592000000000001</v>
      </c>
      <c r="F61">
        <f>1.818*(2*PI())</f>
        <v>11.422830888452488</v>
      </c>
    </row>
    <row r="62" spans="1:24" x14ac:dyDescent="0.4">
      <c r="A62">
        <v>11.563000000000001</v>
      </c>
      <c r="B62">
        <f>2.273*(2*PI())</f>
        <v>14.281680203219201</v>
      </c>
      <c r="E62">
        <v>15.758000000000001</v>
      </c>
      <c r="F62">
        <f>1.786*(2*PI())</f>
        <v>11.221768958622741</v>
      </c>
    </row>
    <row r="63" spans="1:24" x14ac:dyDescent="0.4">
      <c r="A63">
        <v>11.695</v>
      </c>
      <c r="B63">
        <f>2.326*(2*PI())</f>
        <v>14.614689024499718</v>
      </c>
      <c r="E63">
        <v>15.923999999999999</v>
      </c>
      <c r="F63">
        <f>1.852*(2*PI())</f>
        <v>11.636459188896595</v>
      </c>
    </row>
    <row r="64" spans="1:24" x14ac:dyDescent="0.4">
      <c r="A64">
        <v>11.826000000000001</v>
      </c>
      <c r="B64">
        <f>2.381*(2*PI())</f>
        <v>14.960264216394593</v>
      </c>
      <c r="E64">
        <v>16.088000000000001</v>
      </c>
      <c r="F64">
        <f>1.887*(2*PI())</f>
        <v>11.856370674647879</v>
      </c>
    </row>
    <row r="65" spans="1:6" x14ac:dyDescent="0.4">
      <c r="A65">
        <v>11.955</v>
      </c>
      <c r="B65">
        <f>2.326*(2*PI())</f>
        <v>14.614689024499718</v>
      </c>
      <c r="E65">
        <v>16.248000000000001</v>
      </c>
      <c r="F65">
        <f>1.818*(2*PI())</f>
        <v>11.422830888452488</v>
      </c>
    </row>
    <row r="66" spans="1:6" x14ac:dyDescent="0.4">
      <c r="A66">
        <v>12.083</v>
      </c>
      <c r="B66">
        <f>2.381*(2*PI())</f>
        <v>14.960264216394593</v>
      </c>
      <c r="E66">
        <v>16.41</v>
      </c>
      <c r="F66">
        <f>1.887*(2*PI())</f>
        <v>11.856370674647879</v>
      </c>
    </row>
    <row r="67" spans="1:6" x14ac:dyDescent="0.4">
      <c r="A67">
        <v>12.211</v>
      </c>
      <c r="B67">
        <f>2.439*(2*PI())</f>
        <v>15.324688964211012</v>
      </c>
    </row>
    <row r="68" spans="1:6" x14ac:dyDescent="0.4">
      <c r="A68">
        <v>12.337</v>
      </c>
      <c r="B68">
        <f>2.439*(2*PI())</f>
        <v>15.324688964211012</v>
      </c>
    </row>
    <row r="69" spans="1:6" x14ac:dyDescent="0.4">
      <c r="A69">
        <v>12.462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A34" workbookViewId="0">
      <selection activeCell="E5" sqref="E5:K16"/>
    </sheetView>
  </sheetViews>
  <sheetFormatPr defaultRowHeight="17" x14ac:dyDescent="0.4"/>
  <cols>
    <col min="4" max="4" width="7.08984375" customWidth="1"/>
    <col min="5" max="6" width="9.81640625" customWidth="1"/>
    <col min="7" max="7" width="9.453125" customWidth="1"/>
    <col min="8" max="8" width="12.26953125" customWidth="1"/>
    <col min="9" max="9" width="10.81640625" customWidth="1"/>
    <col min="10" max="10" width="11.54296875" customWidth="1"/>
    <col min="11" max="11" width="10.36328125" customWidth="1"/>
  </cols>
  <sheetData>
    <row r="1" spans="1:19" x14ac:dyDescent="0.4">
      <c r="B1" t="s">
        <v>44</v>
      </c>
      <c r="E1" t="s">
        <v>121</v>
      </c>
      <c r="F1" t="s">
        <v>60</v>
      </c>
      <c r="G1" s="6">
        <v>8.9320000000000007E-3</v>
      </c>
      <c r="M1" t="s">
        <v>63</v>
      </c>
      <c r="P1" t="s">
        <v>71</v>
      </c>
    </row>
    <row r="2" spans="1:19" x14ac:dyDescent="0.4">
      <c r="A2" t="s">
        <v>45</v>
      </c>
      <c r="C2">
        <v>1.47644</v>
      </c>
      <c r="F2" t="s">
        <v>61</v>
      </c>
      <c r="G2">
        <f>C2*C4^2</f>
        <v>3.3219899999999997E-2</v>
      </c>
      <c r="M2">
        <f>(B9*(9.8-B11*C13-B8))*B11/C13-M4</f>
        <v>4.7033842145593877E-2</v>
      </c>
      <c r="P2">
        <f>(B9*(9.8-B11*C14)-B8)*B11/C14</f>
        <v>7.3935121045454549E-2</v>
      </c>
    </row>
    <row r="3" spans="1:19" x14ac:dyDescent="0.4">
      <c r="A3" t="s">
        <v>46</v>
      </c>
      <c r="C3">
        <v>0.11</v>
      </c>
      <c r="F3" t="s">
        <v>64</v>
      </c>
      <c r="G3" s="3">
        <f>G1+G2</f>
        <v>4.2151899999999999E-2</v>
      </c>
      <c r="M3">
        <f>(B9*(9.8-B11*C14)-B8)*B11/C14-M4</f>
        <v>3.8517365656565661E-2</v>
      </c>
      <c r="P3" t="s">
        <v>72</v>
      </c>
    </row>
    <row r="4" spans="1:19" x14ac:dyDescent="0.4">
      <c r="A4" t="s">
        <v>122</v>
      </c>
      <c r="C4">
        <v>0.15</v>
      </c>
      <c r="M4">
        <f>(B9*(9.8-B11*C15-B8))*B11/C15</f>
        <v>3.5417755388888889E-2</v>
      </c>
      <c r="P4">
        <f>(B9*(9.8-B11*C13-B8))*B11/C13</f>
        <v>8.2451597534482765E-2</v>
      </c>
    </row>
    <row r="5" spans="1:19" x14ac:dyDescent="0.4">
      <c r="F5" s="2" t="s">
        <v>80</v>
      </c>
      <c r="G5" s="2" t="s">
        <v>79</v>
      </c>
      <c r="H5" s="2" t="s">
        <v>78</v>
      </c>
      <c r="I5" s="2" t="s">
        <v>77</v>
      </c>
      <c r="J5" s="2" t="s">
        <v>91</v>
      </c>
      <c r="K5" s="2" t="s">
        <v>76</v>
      </c>
    </row>
    <row r="6" spans="1:19" x14ac:dyDescent="0.4">
      <c r="E6" s="2" t="s">
        <v>118</v>
      </c>
      <c r="F6">
        <v>8.3000000000000001E-3</v>
      </c>
      <c r="G6">
        <v>0.15</v>
      </c>
      <c r="H6" s="4">
        <v>0.14499999999999999</v>
      </c>
      <c r="I6">
        <v>0.19600000000000001</v>
      </c>
      <c r="J6" s="7">
        <f>(G6*(9.8-F6*H6)-I6)*F6</f>
        <v>1.05727016425E-2</v>
      </c>
      <c r="K6" s="7">
        <f>J6/H6</f>
        <v>7.2915183741379314E-2</v>
      </c>
    </row>
    <row r="7" spans="1:19" x14ac:dyDescent="0.4">
      <c r="E7" s="2" t="s">
        <v>119</v>
      </c>
      <c r="F7">
        <v>8.3000000000000001E-3</v>
      </c>
      <c r="G7">
        <v>0.15</v>
      </c>
      <c r="H7" s="4">
        <v>0.14299999999999999</v>
      </c>
      <c r="I7">
        <v>0.19600000000000001</v>
      </c>
      <c r="J7" s="7">
        <f t="shared" ref="J7:J8" si="0">(G7*(9.8-F7*H7)-I7)*F7</f>
        <v>1.05727223095E-2</v>
      </c>
      <c r="K7" s="7">
        <f t="shared" ref="K7:K8" si="1">J7/H7</f>
        <v>7.3935121045454549E-2</v>
      </c>
    </row>
    <row r="8" spans="1:19" x14ac:dyDescent="0.4">
      <c r="A8" t="s">
        <v>36</v>
      </c>
      <c r="B8">
        <v>0.19600000000000001</v>
      </c>
      <c r="E8" s="2" t="s">
        <v>120</v>
      </c>
      <c r="F8">
        <v>8.3000000000000001E-3</v>
      </c>
      <c r="G8">
        <v>0.15</v>
      </c>
      <c r="H8" s="4">
        <v>0.33750000000000002</v>
      </c>
      <c r="I8">
        <v>0.19600000000000001</v>
      </c>
      <c r="J8" s="7">
        <f t="shared" si="0"/>
        <v>1.0570712443750001E-2</v>
      </c>
      <c r="K8" s="7">
        <f t="shared" si="1"/>
        <v>3.1320629462962962E-2</v>
      </c>
    </row>
    <row r="9" spans="1:19" x14ac:dyDescent="0.4">
      <c r="A9" t="s">
        <v>47</v>
      </c>
      <c r="B9">
        <v>0.15</v>
      </c>
      <c r="F9" s="12" t="s">
        <v>108</v>
      </c>
      <c r="P9">
        <v>6253</v>
      </c>
      <c r="Q9">
        <v>6428</v>
      </c>
      <c r="R9">
        <v>0.57099999999999995</v>
      </c>
      <c r="S9">
        <v>1.75</v>
      </c>
    </row>
    <row r="10" spans="1:19" x14ac:dyDescent="0.4">
      <c r="A10" t="s">
        <v>48</v>
      </c>
      <c r="F10" s="2" t="s">
        <v>124</v>
      </c>
      <c r="G10" s="2" t="s">
        <v>132</v>
      </c>
      <c r="H10" s="2" t="s">
        <v>125</v>
      </c>
      <c r="I10" s="2" t="s">
        <v>123</v>
      </c>
      <c r="P10">
        <v>6769</v>
      </c>
      <c r="Q10">
        <v>6935</v>
      </c>
      <c r="R10">
        <v>0.60199999999999998</v>
      </c>
      <c r="S10">
        <v>1.66</v>
      </c>
    </row>
    <row r="11" spans="1:19" x14ac:dyDescent="0.4">
      <c r="A11" t="s">
        <v>49</v>
      </c>
      <c r="B11">
        <v>8.3000000000000001E-3</v>
      </c>
      <c r="E11" s="2" t="s">
        <v>118</v>
      </c>
      <c r="F11">
        <v>1.476</v>
      </c>
      <c r="G11">
        <v>0.11</v>
      </c>
      <c r="H11" s="11">
        <v>0.15</v>
      </c>
      <c r="I11">
        <v>4.2200000000000001E-2</v>
      </c>
      <c r="P11">
        <v>7262</v>
      </c>
      <c r="Q11">
        <v>7421</v>
      </c>
      <c r="R11">
        <v>0.629</v>
      </c>
      <c r="S11">
        <v>1.59</v>
      </c>
    </row>
    <row r="12" spans="1:19" x14ac:dyDescent="0.4">
      <c r="E12" s="2" t="s">
        <v>119</v>
      </c>
      <c r="F12">
        <v>1.476</v>
      </c>
      <c r="G12">
        <v>0.11</v>
      </c>
      <c r="H12" s="11">
        <v>0.15</v>
      </c>
      <c r="I12">
        <v>3.32E-2</v>
      </c>
      <c r="P12">
        <v>7733</v>
      </c>
      <c r="Q12">
        <v>7885</v>
      </c>
      <c r="R12">
        <v>0.65800000000000003</v>
      </c>
      <c r="S12">
        <v>1.52</v>
      </c>
    </row>
    <row r="13" spans="1:19" x14ac:dyDescent="0.4">
      <c r="A13" t="s">
        <v>50</v>
      </c>
      <c r="C13">
        <v>0.14499999999999999</v>
      </c>
      <c r="E13" s="2"/>
      <c r="F13" s="12" t="s">
        <v>126</v>
      </c>
      <c r="P13">
        <v>8181</v>
      </c>
      <c r="Q13">
        <v>8327</v>
      </c>
      <c r="R13">
        <v>0.68500000000000005</v>
      </c>
      <c r="S13">
        <v>1.46</v>
      </c>
    </row>
    <row r="14" spans="1:19" x14ac:dyDescent="0.4">
      <c r="A14" t="s">
        <v>51</v>
      </c>
      <c r="C14">
        <v>0.14299999999999999</v>
      </c>
      <c r="F14" s="2" t="s">
        <v>129</v>
      </c>
      <c r="G14" s="2" t="s">
        <v>130</v>
      </c>
      <c r="H14" s="2" t="s">
        <v>131</v>
      </c>
      <c r="P14">
        <v>8613</v>
      </c>
      <c r="Q14">
        <v>8754</v>
      </c>
      <c r="R14">
        <v>0.70899999999999996</v>
      </c>
      <c r="S14">
        <v>1.41</v>
      </c>
    </row>
    <row r="15" spans="1:19" x14ac:dyDescent="0.4">
      <c r="A15" t="s">
        <v>52</v>
      </c>
      <c r="C15">
        <v>0.33750000000000002</v>
      </c>
      <c r="E15" s="2" t="s">
        <v>127</v>
      </c>
      <c r="F15">
        <v>4.2200000000000001E-2</v>
      </c>
      <c r="G15" s="7">
        <v>4.7033842145593877E-2</v>
      </c>
      <c r="H15" s="4">
        <f>((M2-G3)/G3)*100</f>
        <v>11.581784321925886</v>
      </c>
      <c r="P15">
        <v>9032</v>
      </c>
      <c r="Q15">
        <v>9168</v>
      </c>
      <c r="R15">
        <v>0.73499999999999999</v>
      </c>
      <c r="S15">
        <v>1.36</v>
      </c>
    </row>
    <row r="16" spans="1:19" x14ac:dyDescent="0.4">
      <c r="E16" s="2" t="s">
        <v>128</v>
      </c>
      <c r="F16">
        <v>3.32E-2</v>
      </c>
      <c r="G16" s="7">
        <v>3.8517365656565661E-2</v>
      </c>
      <c r="H16" s="4">
        <f>((M3-G2)/G2)*100</f>
        <v>15.946663465469987</v>
      </c>
      <c r="P16">
        <v>9436</v>
      </c>
      <c r="Q16">
        <v>9567</v>
      </c>
      <c r="R16">
        <v>0.76300000000000001</v>
      </c>
      <c r="S16">
        <v>1.31</v>
      </c>
    </row>
    <row r="17" spans="9:19" x14ac:dyDescent="0.4">
      <c r="P17">
        <v>9825</v>
      </c>
      <c r="Q17">
        <v>9953</v>
      </c>
      <c r="R17">
        <v>0.78100000000000003</v>
      </c>
      <c r="S17">
        <v>1.28</v>
      </c>
    </row>
    <row r="18" spans="9:19" x14ac:dyDescent="0.4">
      <c r="P18">
        <v>10205</v>
      </c>
      <c r="Q18">
        <v>10330</v>
      </c>
      <c r="R18">
        <v>0.8</v>
      </c>
      <c r="S18">
        <v>1.25</v>
      </c>
    </row>
    <row r="19" spans="9:19" x14ac:dyDescent="0.4">
      <c r="I19">
        <v>10</v>
      </c>
      <c r="P19">
        <v>10575</v>
      </c>
      <c r="Q19">
        <v>10696</v>
      </c>
      <c r="R19">
        <v>0.82599999999999996</v>
      </c>
      <c r="S19">
        <v>1.21</v>
      </c>
    </row>
    <row r="20" spans="9:19" x14ac:dyDescent="0.4">
      <c r="P20">
        <v>10934</v>
      </c>
      <c r="Q20">
        <v>11052</v>
      </c>
      <c r="R20">
        <v>0.84699999999999998</v>
      </c>
      <c r="S20">
        <v>1.18</v>
      </c>
    </row>
    <row r="21" spans="9:19" x14ac:dyDescent="0.4">
      <c r="P21">
        <v>11285</v>
      </c>
      <c r="Q21">
        <v>11401</v>
      </c>
      <c r="R21">
        <v>0.86199999999999999</v>
      </c>
      <c r="S21">
        <v>1.1599999999999999</v>
      </c>
    </row>
    <row r="22" spans="9:19" x14ac:dyDescent="0.4">
      <c r="P22">
        <v>11630</v>
      </c>
      <c r="Q22">
        <v>11743</v>
      </c>
      <c r="R22">
        <v>0.88500000000000001</v>
      </c>
      <c r="S22">
        <v>1.1299999999999999</v>
      </c>
    </row>
    <row r="23" spans="9:19" x14ac:dyDescent="0.4">
      <c r="P23">
        <v>11965</v>
      </c>
      <c r="Q23">
        <v>12076</v>
      </c>
      <c r="R23">
        <v>0.90100000000000002</v>
      </c>
      <c r="S23">
        <v>1.1100000000000001</v>
      </c>
    </row>
    <row r="24" spans="9:19" x14ac:dyDescent="0.4">
      <c r="P24">
        <v>12294</v>
      </c>
      <c r="Q24">
        <v>12402</v>
      </c>
      <c r="R24">
        <v>0.92600000000000005</v>
      </c>
      <c r="S24">
        <v>1.08</v>
      </c>
    </row>
    <row r="25" spans="9:19" x14ac:dyDescent="0.4">
      <c r="P25">
        <v>12617</v>
      </c>
      <c r="Q25">
        <v>12724</v>
      </c>
      <c r="R25">
        <v>0.93500000000000005</v>
      </c>
      <c r="S25">
        <v>1.07</v>
      </c>
    </row>
    <row r="26" spans="9:19" x14ac:dyDescent="0.4">
      <c r="P26">
        <v>12934</v>
      </c>
      <c r="Q26">
        <v>13038</v>
      </c>
      <c r="R26">
        <v>0.96199999999999997</v>
      </c>
      <c r="S26">
        <v>1.04</v>
      </c>
    </row>
    <row r="27" spans="9:19" x14ac:dyDescent="0.4">
      <c r="P27">
        <v>13244</v>
      </c>
      <c r="Q27">
        <v>13346</v>
      </c>
      <c r="R27">
        <v>0.98</v>
      </c>
      <c r="S27">
        <v>1.02</v>
      </c>
    </row>
    <row r="28" spans="9:19" x14ac:dyDescent="0.4">
      <c r="P28">
        <v>13549</v>
      </c>
      <c r="Q28">
        <v>13650</v>
      </c>
      <c r="R28">
        <v>0.99</v>
      </c>
      <c r="S28">
        <v>1.01</v>
      </c>
    </row>
    <row r="29" spans="9:19" x14ac:dyDescent="0.4">
      <c r="P29">
        <v>13850</v>
      </c>
      <c r="Q29">
        <v>13949</v>
      </c>
      <c r="R29">
        <v>1.01</v>
      </c>
      <c r="S29">
        <v>0.99</v>
      </c>
    </row>
    <row r="30" spans="9:19" x14ac:dyDescent="0.4">
      <c r="P30">
        <v>14145</v>
      </c>
      <c r="Q30">
        <v>14242</v>
      </c>
      <c r="R30">
        <v>1.0309999999999999</v>
      </c>
      <c r="S30">
        <v>0.97</v>
      </c>
    </row>
    <row r="31" spans="9:19" x14ac:dyDescent="0.4">
      <c r="P31">
        <v>14436</v>
      </c>
      <c r="Q31">
        <v>14532</v>
      </c>
      <c r="R31">
        <v>1.042</v>
      </c>
      <c r="S31">
        <v>0.96</v>
      </c>
    </row>
    <row r="32" spans="9:19" x14ac:dyDescent="0.4">
      <c r="P32">
        <v>14723</v>
      </c>
      <c r="Q32">
        <v>14818</v>
      </c>
      <c r="R32">
        <v>1.0529999999999999</v>
      </c>
      <c r="S32">
        <v>0.95</v>
      </c>
    </row>
    <row r="33" spans="1:19" x14ac:dyDescent="0.4">
      <c r="P33">
        <v>15004</v>
      </c>
      <c r="Q33">
        <v>15097</v>
      </c>
      <c r="R33">
        <v>1.075</v>
      </c>
      <c r="S33">
        <v>0.93</v>
      </c>
    </row>
    <row r="34" spans="1:19" x14ac:dyDescent="0.4">
      <c r="P34">
        <v>15282</v>
      </c>
      <c r="Q34">
        <v>15374</v>
      </c>
      <c r="R34">
        <v>1.087</v>
      </c>
      <c r="S34">
        <v>0.92</v>
      </c>
    </row>
    <row r="35" spans="1:19" x14ac:dyDescent="0.4">
      <c r="K35">
        <v>13789</v>
      </c>
      <c r="L35">
        <v>14065</v>
      </c>
      <c r="M35">
        <v>0.36199999999999999</v>
      </c>
      <c r="N35">
        <v>2.76</v>
      </c>
      <c r="P35">
        <v>15557</v>
      </c>
      <c r="Q35">
        <v>15648</v>
      </c>
      <c r="R35">
        <v>1.099</v>
      </c>
      <c r="S35">
        <v>0.91</v>
      </c>
    </row>
    <row r="36" spans="1:19" x14ac:dyDescent="0.4">
      <c r="K36">
        <v>14607</v>
      </c>
      <c r="L36">
        <v>14872</v>
      </c>
      <c r="M36">
        <v>0.377</v>
      </c>
      <c r="N36">
        <v>2.65</v>
      </c>
      <c r="P36">
        <v>15828</v>
      </c>
      <c r="Q36">
        <v>15918</v>
      </c>
      <c r="R36">
        <v>1.111</v>
      </c>
      <c r="S36">
        <v>0.9</v>
      </c>
    </row>
    <row r="37" spans="1:19" x14ac:dyDescent="0.4">
      <c r="A37" t="s">
        <v>53</v>
      </c>
      <c r="B37" t="s">
        <v>38</v>
      </c>
      <c r="C37" t="s">
        <v>54</v>
      </c>
      <c r="D37" t="s">
        <v>38</v>
      </c>
      <c r="E37" t="s">
        <v>55</v>
      </c>
      <c r="F37" t="s">
        <v>56</v>
      </c>
      <c r="K37">
        <v>15388</v>
      </c>
      <c r="L37">
        <v>15639</v>
      </c>
      <c r="M37">
        <v>0.39800000000000002</v>
      </c>
      <c r="N37">
        <v>2.5099999999999998</v>
      </c>
      <c r="P37">
        <v>16095</v>
      </c>
      <c r="Q37">
        <v>16184</v>
      </c>
      <c r="R37">
        <v>1.1240000000000001</v>
      </c>
      <c r="S37">
        <v>0.89</v>
      </c>
    </row>
    <row r="38" spans="1:19" x14ac:dyDescent="0.4">
      <c r="A38">
        <v>14.118</v>
      </c>
      <c r="B38">
        <f>0.287*(2*PI())</f>
        <v>1.803274183160541</v>
      </c>
      <c r="C38">
        <v>13.78</v>
      </c>
      <c r="D38">
        <f>0.362*(2*PI())</f>
        <v>2.27451308119901</v>
      </c>
      <c r="E38">
        <v>6.2530000000000001</v>
      </c>
      <c r="F38">
        <f>0.629*(2*PI())</f>
        <v>3.95212355821596</v>
      </c>
      <c r="K38">
        <v>16129</v>
      </c>
      <c r="L38">
        <v>16368</v>
      </c>
      <c r="M38">
        <v>0.41799999999999998</v>
      </c>
      <c r="N38">
        <v>2.39</v>
      </c>
    </row>
    <row r="39" spans="1:19" x14ac:dyDescent="0.4">
      <c r="A39">
        <v>15.125</v>
      </c>
      <c r="B39">
        <f>0.317*(2*PI())</f>
        <v>1.9917697423759289</v>
      </c>
      <c r="C39">
        <v>14.607000000000001</v>
      </c>
      <c r="D39">
        <f>0.377*(2*PI())</f>
        <v>2.3687608608067041</v>
      </c>
      <c r="E39">
        <v>6.7690000000000001</v>
      </c>
      <c r="F39">
        <f>0.658*(2*PI())</f>
        <v>4.1343359321241682</v>
      </c>
      <c r="K39">
        <v>16840</v>
      </c>
      <c r="L39">
        <v>17073</v>
      </c>
      <c r="M39">
        <v>0.42899999999999999</v>
      </c>
      <c r="N39">
        <v>2.33</v>
      </c>
    </row>
    <row r="40" spans="1:19" x14ac:dyDescent="0.4">
      <c r="A40">
        <v>16.054000000000002</v>
      </c>
      <c r="B40">
        <f>0.334*(2*PI())</f>
        <v>2.0985838925979818</v>
      </c>
      <c r="C40">
        <v>15.388</v>
      </c>
      <c r="D40">
        <f>0.398*(2*PI())</f>
        <v>2.5007077522574757</v>
      </c>
      <c r="E40">
        <v>7.2620000000000005</v>
      </c>
      <c r="F40">
        <f>0.685*(2*PI())</f>
        <v>4.3039819354180171</v>
      </c>
      <c r="K40">
        <v>17528</v>
      </c>
      <c r="L40">
        <v>17752</v>
      </c>
      <c r="M40">
        <v>0.44600000000000001</v>
      </c>
      <c r="N40">
        <v>2.2400000000000002</v>
      </c>
    </row>
    <row r="41" spans="1:19" x14ac:dyDescent="0.4">
      <c r="A41">
        <v>16.936</v>
      </c>
      <c r="B41">
        <f>0.353*(2*PI())</f>
        <v>2.2179644134343937</v>
      </c>
      <c r="C41">
        <v>16.129000000000001</v>
      </c>
      <c r="D41">
        <f>0.418*(2*PI())</f>
        <v>2.6263714584010671</v>
      </c>
      <c r="E41">
        <v>7.7330000000000005</v>
      </c>
      <c r="F41">
        <f>0.709*(2*PI())</f>
        <v>4.4547783827903267</v>
      </c>
      <c r="K41">
        <v>18189</v>
      </c>
      <c r="L41">
        <v>18403</v>
      </c>
      <c r="M41">
        <v>0.46700000000000003</v>
      </c>
      <c r="N41">
        <v>2.14</v>
      </c>
    </row>
    <row r="42" spans="1:19" x14ac:dyDescent="0.4">
      <c r="A42">
        <v>17.763999999999999</v>
      </c>
      <c r="B42">
        <f>0.38*(2*PI())</f>
        <v>2.3876104167282426</v>
      </c>
      <c r="C42">
        <v>16.84</v>
      </c>
      <c r="D42">
        <f>0.429*(2*PI())</f>
        <v>2.6954864967800423</v>
      </c>
      <c r="E42">
        <v>8.1810000000000009</v>
      </c>
      <c r="F42">
        <f>0.735*(2*PI())</f>
        <v>4.6181412007769955</v>
      </c>
      <c r="K42">
        <v>18827</v>
      </c>
      <c r="L42">
        <v>19036</v>
      </c>
      <c r="M42">
        <v>0.47799999999999998</v>
      </c>
      <c r="N42">
        <v>2.09</v>
      </c>
    </row>
    <row r="43" spans="1:19" x14ac:dyDescent="0.4">
      <c r="A43">
        <v>18.542000000000002</v>
      </c>
      <c r="B43">
        <f>0.395*(2*PI())</f>
        <v>2.4818581963359367</v>
      </c>
      <c r="C43">
        <v>17.527999999999999</v>
      </c>
      <c r="D43">
        <f>0.446*(2*PI())</f>
        <v>2.8023006470020957</v>
      </c>
      <c r="E43">
        <v>8.6129999999999995</v>
      </c>
      <c r="F43">
        <f>0.763*(2*PI())</f>
        <v>4.7940703893780245</v>
      </c>
      <c r="K43">
        <v>19448</v>
      </c>
      <c r="L43">
        <v>19652</v>
      </c>
      <c r="M43">
        <v>0.49</v>
      </c>
      <c r="N43">
        <v>2.04</v>
      </c>
    </row>
    <row r="44" spans="1:19" x14ac:dyDescent="0.4">
      <c r="A44">
        <v>19.291</v>
      </c>
      <c r="B44">
        <f>0.413*(2*PI())</f>
        <v>2.5949555318651689</v>
      </c>
      <c r="C44">
        <v>18.189</v>
      </c>
      <c r="D44">
        <f>0.467*(2*PI())</f>
        <v>2.9342475384528668</v>
      </c>
      <c r="E44">
        <v>9.032</v>
      </c>
      <c r="F44">
        <f>0.781*(2*PI())</f>
        <v>4.9071677249072572</v>
      </c>
      <c r="K44">
        <v>20050</v>
      </c>
      <c r="L44">
        <v>20247</v>
      </c>
      <c r="M44">
        <v>0.50800000000000001</v>
      </c>
      <c r="N44">
        <v>1.97</v>
      </c>
    </row>
    <row r="45" spans="1:19" x14ac:dyDescent="0.4">
      <c r="A45">
        <v>20.004999999999999</v>
      </c>
      <c r="B45">
        <f>0.431*(2*PI())</f>
        <v>2.7080528673944015</v>
      </c>
      <c r="C45">
        <v>18.827000000000002</v>
      </c>
      <c r="D45">
        <f>0.478*(2*PI())</f>
        <v>3.0033625768318419</v>
      </c>
      <c r="E45">
        <v>9.4359999999999999</v>
      </c>
      <c r="F45">
        <f>0.8*(2*PI())</f>
        <v>5.026548245743669</v>
      </c>
      <c r="K45">
        <v>20635</v>
      </c>
      <c r="L45">
        <v>20827</v>
      </c>
      <c r="M45">
        <v>0.52100000000000002</v>
      </c>
      <c r="N45">
        <v>1.92</v>
      </c>
    </row>
    <row r="46" spans="1:19" x14ac:dyDescent="0.4">
      <c r="A46">
        <v>20.689</v>
      </c>
      <c r="B46">
        <f>0.446*(2*PI())</f>
        <v>2.8023006470020957</v>
      </c>
      <c r="C46">
        <v>19.448</v>
      </c>
      <c r="D46">
        <f>0.49*(2*PI())</f>
        <v>3.0787608005179972</v>
      </c>
      <c r="E46">
        <v>9.8250000000000011</v>
      </c>
      <c r="F46">
        <f>0.826*(2*PI())</f>
        <v>5.1899110637303378</v>
      </c>
      <c r="K46">
        <v>21208</v>
      </c>
      <c r="L46">
        <v>21396</v>
      </c>
      <c r="M46">
        <v>0.53200000000000003</v>
      </c>
      <c r="N46">
        <v>1.88</v>
      </c>
    </row>
    <row r="47" spans="1:19" x14ac:dyDescent="0.4">
      <c r="A47">
        <v>21.353000000000002</v>
      </c>
      <c r="B47">
        <f>0.461*(2*PI())</f>
        <v>2.8965484266097894</v>
      </c>
      <c r="C47">
        <v>20.05</v>
      </c>
      <c r="D47">
        <f>0.508*(2*PI())</f>
        <v>3.1918581360472298</v>
      </c>
      <c r="E47">
        <v>10.205</v>
      </c>
      <c r="F47">
        <f>0.847*(2*PI())</f>
        <v>5.3218579551811098</v>
      </c>
      <c r="K47">
        <v>21767</v>
      </c>
      <c r="L47">
        <v>21949</v>
      </c>
      <c r="M47">
        <v>0.54900000000000004</v>
      </c>
      <c r="N47">
        <v>1.82</v>
      </c>
    </row>
    <row r="48" spans="1:19" x14ac:dyDescent="0.4">
      <c r="A48">
        <v>21.997</v>
      </c>
      <c r="B48">
        <f>0.478*(2*PI())</f>
        <v>3.0033625768318419</v>
      </c>
      <c r="C48">
        <v>20.635000000000002</v>
      </c>
      <c r="D48">
        <f>0.521*(2*PI())</f>
        <v>3.2735395450405647</v>
      </c>
      <c r="E48">
        <v>10.575000000000001</v>
      </c>
      <c r="F48">
        <f>0.862*(2*PI())</f>
        <v>5.4161057347888031</v>
      </c>
      <c r="K48">
        <v>22310</v>
      </c>
      <c r="L48">
        <v>22490</v>
      </c>
      <c r="M48">
        <v>0.55600000000000005</v>
      </c>
      <c r="N48">
        <v>1.8</v>
      </c>
    </row>
    <row r="49" spans="1:14" x14ac:dyDescent="0.4">
      <c r="A49">
        <v>22.617000000000001</v>
      </c>
      <c r="B49">
        <f>0.493*(2*PI())</f>
        <v>3.0976103564395361</v>
      </c>
      <c r="C49">
        <v>21.208000000000002</v>
      </c>
      <c r="D49">
        <f>0.532*(2*PI())</f>
        <v>3.3426545834195402</v>
      </c>
      <c r="E49">
        <v>10.934000000000001</v>
      </c>
      <c r="F49">
        <f>0.885*(2*PI())</f>
        <v>5.5606189968539335</v>
      </c>
      <c r="K49">
        <v>22845</v>
      </c>
      <c r="L49">
        <v>23020</v>
      </c>
      <c r="M49">
        <v>0.57099999999999995</v>
      </c>
      <c r="N49">
        <v>1.75</v>
      </c>
    </row>
    <row r="50" spans="1:14" x14ac:dyDescent="0.4">
      <c r="A50">
        <v>23.221</v>
      </c>
      <c r="B50">
        <f>0.505*(2*PI())</f>
        <v>3.1730085801256909</v>
      </c>
      <c r="C50">
        <v>21.766999999999999</v>
      </c>
      <c r="D50">
        <f>0.549*(2*PI())</f>
        <v>3.4494687336415932</v>
      </c>
      <c r="E50">
        <v>11.285</v>
      </c>
      <c r="F50">
        <f>0.901*(2*PI())</f>
        <v>5.6611499617688077</v>
      </c>
      <c r="K50">
        <v>23368</v>
      </c>
      <c r="L50">
        <v>23539</v>
      </c>
      <c r="M50">
        <v>0.58499999999999996</v>
      </c>
      <c r="N50">
        <v>1.71</v>
      </c>
    </row>
    <row r="51" spans="1:14" x14ac:dyDescent="0.4">
      <c r="A51">
        <v>23.811</v>
      </c>
      <c r="B51">
        <f>0.524*(2*PI())</f>
        <v>3.2923891009621031</v>
      </c>
      <c r="C51">
        <v>22.31</v>
      </c>
      <c r="D51">
        <f>0.556*(2*PI())</f>
        <v>3.4934510307918503</v>
      </c>
      <c r="E51">
        <v>11.63</v>
      </c>
      <c r="F51">
        <f>0.926*(2*PI())</f>
        <v>5.8182295944482973</v>
      </c>
      <c r="K51">
        <v>23878</v>
      </c>
      <c r="L51">
        <v>24046</v>
      </c>
      <c r="M51">
        <v>0.59499999999999997</v>
      </c>
      <c r="N51">
        <v>1.68</v>
      </c>
    </row>
    <row r="52" spans="1:14" x14ac:dyDescent="0.4">
      <c r="A52">
        <v>24.38</v>
      </c>
      <c r="B52">
        <f>0.535*(2*PI())</f>
        <v>3.3615041393410787</v>
      </c>
      <c r="C52">
        <v>22.844999999999999</v>
      </c>
      <c r="D52">
        <f>0.571*(2*PI())</f>
        <v>3.5876988103995435</v>
      </c>
      <c r="E52">
        <v>11.965</v>
      </c>
      <c r="F52">
        <f>0.935*(2*PI())</f>
        <v>5.8747782622129137</v>
      </c>
      <c r="K52">
        <v>24380</v>
      </c>
      <c r="L52">
        <v>24546</v>
      </c>
      <c r="M52">
        <v>0.60199999999999998</v>
      </c>
      <c r="N52">
        <v>1.66</v>
      </c>
    </row>
    <row r="53" spans="1:14" x14ac:dyDescent="0.4">
      <c r="A53">
        <v>24.937000000000001</v>
      </c>
      <c r="B53">
        <f>0.546*(2*PI())</f>
        <v>3.4306191777200543</v>
      </c>
      <c r="C53">
        <v>23.368000000000002</v>
      </c>
      <c r="D53">
        <f>0.585*(2*PI())</f>
        <v>3.6756634047000576</v>
      </c>
      <c r="E53">
        <v>12.294</v>
      </c>
      <c r="F53">
        <f>0.962*(2*PI())</f>
        <v>6.0444242655067617</v>
      </c>
      <c r="K53">
        <v>24875</v>
      </c>
      <c r="L53">
        <v>25036</v>
      </c>
      <c r="M53">
        <v>0.621</v>
      </c>
      <c r="N53">
        <v>1.61</v>
      </c>
    </row>
    <row r="54" spans="1:14" x14ac:dyDescent="0.4">
      <c r="A54">
        <v>25.483000000000001</v>
      </c>
      <c r="B54">
        <f>0.562*(2*PI())</f>
        <v>3.5311501426349277</v>
      </c>
      <c r="C54">
        <v>23.878</v>
      </c>
      <c r="D54">
        <f>0.595*(2*PI())</f>
        <v>3.7384952577718535</v>
      </c>
      <c r="E54">
        <v>12.617000000000001</v>
      </c>
      <c r="F54">
        <f>0.98*(2*PI())</f>
        <v>6.1575216010359943</v>
      </c>
      <c r="K54">
        <v>25357</v>
      </c>
      <c r="L54">
        <v>25516</v>
      </c>
      <c r="M54">
        <v>0.629</v>
      </c>
      <c r="N54">
        <v>1.59</v>
      </c>
    </row>
    <row r="55" spans="1:14" x14ac:dyDescent="0.4">
      <c r="A55">
        <v>26.013000000000002</v>
      </c>
      <c r="B55">
        <f>0.575*(2*PI())</f>
        <v>3.6128315516282616</v>
      </c>
      <c r="C55">
        <v>24.38</v>
      </c>
      <c r="D55">
        <f>0.602*(2*PI())</f>
        <v>3.7824775549221106</v>
      </c>
      <c r="E55">
        <v>12.934000000000001</v>
      </c>
      <c r="F55">
        <f>0.99*(2*PI())</f>
        <v>6.2203534541077907</v>
      </c>
      <c r="K55">
        <v>25831</v>
      </c>
      <c r="L55">
        <v>25989</v>
      </c>
      <c r="M55">
        <v>0.63300000000000001</v>
      </c>
      <c r="N55">
        <v>1.58</v>
      </c>
    </row>
    <row r="56" spans="1:14" x14ac:dyDescent="0.4">
      <c r="A56">
        <v>26.532</v>
      </c>
      <c r="B56">
        <f>0.585*(2*PI())</f>
        <v>3.6756634047000576</v>
      </c>
      <c r="C56">
        <v>24.875</v>
      </c>
      <c r="D56">
        <f>0.621*(2*PI())</f>
        <v>3.9018580757585228</v>
      </c>
      <c r="E56">
        <v>13.244</v>
      </c>
      <c r="F56">
        <f>1.01*(2*PI())</f>
        <v>6.3460171602513817</v>
      </c>
      <c r="K56">
        <v>26301</v>
      </c>
      <c r="L56">
        <v>26456</v>
      </c>
      <c r="M56">
        <v>0.64500000000000002</v>
      </c>
      <c r="N56">
        <v>1.55</v>
      </c>
    </row>
    <row r="57" spans="1:14" x14ac:dyDescent="0.4">
      <c r="A57">
        <v>27.042999999999999</v>
      </c>
      <c r="B57">
        <f>0.592*(2*PI())</f>
        <v>3.7196457018503151</v>
      </c>
      <c r="C57">
        <v>25.356999999999999</v>
      </c>
      <c r="D57">
        <f>0.629*(2*PI())</f>
        <v>3.95212355821596</v>
      </c>
      <c r="E57">
        <v>13.548999999999999</v>
      </c>
      <c r="F57">
        <f>1.031*(2*PI())</f>
        <v>6.4779640517021528</v>
      </c>
      <c r="K57">
        <v>26761</v>
      </c>
      <c r="L57">
        <v>26911</v>
      </c>
      <c r="M57">
        <v>0.66700000000000004</v>
      </c>
      <c r="N57">
        <v>1.5</v>
      </c>
    </row>
    <row r="58" spans="1:14" x14ac:dyDescent="0.4">
      <c r="A58">
        <v>27.542999999999999</v>
      </c>
      <c r="B58">
        <f>0.61*(2*PI())</f>
        <v>3.8327430373795477</v>
      </c>
      <c r="C58">
        <v>25.831</v>
      </c>
      <c r="D58">
        <f>0.633*(2*PI())</f>
        <v>3.9772562994446781</v>
      </c>
      <c r="E58">
        <v>13.85</v>
      </c>
      <c r="F58">
        <f>1.042*(2*PI())</f>
        <v>6.5470790900811293</v>
      </c>
      <c r="K58">
        <v>27212</v>
      </c>
      <c r="L58">
        <v>27362</v>
      </c>
      <c r="M58">
        <v>0.66700000000000004</v>
      </c>
      <c r="N58">
        <v>1.5</v>
      </c>
    </row>
    <row r="59" spans="1:14" x14ac:dyDescent="0.4">
      <c r="A59">
        <v>28.033000000000001</v>
      </c>
      <c r="B59">
        <f>0.625*(2*PI())</f>
        <v>3.9269908169872414</v>
      </c>
      <c r="C59">
        <v>26.301000000000002</v>
      </c>
      <c r="D59">
        <f>0.645*(2*PI())</f>
        <v>4.0526545231308333</v>
      </c>
      <c r="E59">
        <v>14.145</v>
      </c>
      <c r="F59">
        <f>1.053*(2*PI())</f>
        <v>6.616194128460104</v>
      </c>
      <c r="K59">
        <v>27660</v>
      </c>
      <c r="L59">
        <v>27808</v>
      </c>
      <c r="M59">
        <v>0.67600000000000005</v>
      </c>
      <c r="N59">
        <v>1.48</v>
      </c>
    </row>
    <row r="60" spans="1:14" x14ac:dyDescent="0.4">
      <c r="A60">
        <v>28.515000000000001</v>
      </c>
      <c r="B60">
        <f>0.625*(2*PI())</f>
        <v>3.9269908169872414</v>
      </c>
      <c r="C60">
        <v>26.760999999999999</v>
      </c>
      <c r="D60">
        <f>0.667*(2*PI())</f>
        <v>4.1908845998887845</v>
      </c>
      <c r="E60">
        <v>14.436</v>
      </c>
      <c r="F60">
        <f>1.075*(2*PI())</f>
        <v>6.7544242052180552</v>
      </c>
      <c r="K60">
        <v>28101</v>
      </c>
      <c r="L60">
        <v>28246</v>
      </c>
      <c r="M60">
        <v>0.69</v>
      </c>
      <c r="N60">
        <v>1.45</v>
      </c>
    </row>
    <row r="61" spans="1:14" x14ac:dyDescent="0.4">
      <c r="A61">
        <v>28.990000000000002</v>
      </c>
      <c r="B61">
        <f>0.637*(2*PI())</f>
        <v>4.0023890406733962</v>
      </c>
      <c r="C61">
        <v>27.212</v>
      </c>
      <c r="D61">
        <f>0.667*(2*PI())</f>
        <v>4.1908845998887845</v>
      </c>
      <c r="E61">
        <v>14.723000000000001</v>
      </c>
      <c r="F61">
        <f>1.087*(2*PI())</f>
        <v>6.82982242890421</v>
      </c>
      <c r="K61">
        <v>28532</v>
      </c>
      <c r="L61">
        <v>28676</v>
      </c>
      <c r="M61">
        <v>0.69399999999999995</v>
      </c>
      <c r="N61">
        <v>1.44</v>
      </c>
    </row>
    <row r="62" spans="1:14" x14ac:dyDescent="0.4">
      <c r="A62">
        <v>29.455000000000002</v>
      </c>
      <c r="B62">
        <f>0.654*(2*PI())</f>
        <v>4.1092031908954496</v>
      </c>
      <c r="C62">
        <v>27.66</v>
      </c>
      <c r="D62">
        <f>0.676*(2*PI())</f>
        <v>4.2474332676534008</v>
      </c>
      <c r="E62">
        <v>15.004</v>
      </c>
      <c r="F62">
        <f>1.099*(2*PI())</f>
        <v>6.9052206525903648</v>
      </c>
      <c r="K62">
        <v>28960</v>
      </c>
      <c r="L62">
        <v>29103</v>
      </c>
      <c r="M62">
        <v>0.69899999999999995</v>
      </c>
      <c r="N62">
        <v>1.43</v>
      </c>
    </row>
    <row r="63" spans="1:14" x14ac:dyDescent="0.4">
      <c r="A63">
        <v>29.914999999999999</v>
      </c>
      <c r="B63">
        <f>0.658*(2*PI())</f>
        <v>4.1343359321241682</v>
      </c>
      <c r="C63">
        <v>28.100999999999999</v>
      </c>
      <c r="D63">
        <f>0.69*(2*PI())</f>
        <v>4.335397861953914</v>
      </c>
      <c r="E63">
        <v>15.282</v>
      </c>
      <c r="F63">
        <f>1.111*(2*PI())</f>
        <v>6.9806188762765204</v>
      </c>
      <c r="K63">
        <v>29384</v>
      </c>
      <c r="L63">
        <v>29523</v>
      </c>
      <c r="M63">
        <v>0.71899999999999997</v>
      </c>
      <c r="N63">
        <v>1.39</v>
      </c>
    </row>
    <row r="64" spans="1:14" x14ac:dyDescent="0.4">
      <c r="A64">
        <v>30.369</v>
      </c>
      <c r="B64">
        <f>0.667*(2*PI())</f>
        <v>4.1908845998887845</v>
      </c>
      <c r="C64">
        <v>28.532</v>
      </c>
      <c r="D64">
        <f>0.694*(2*PI())</f>
        <v>4.3605306031826325</v>
      </c>
      <c r="E64">
        <v>15.557</v>
      </c>
      <c r="F64">
        <f>1.124*(2*PI())</f>
        <v>7.0623002852698553</v>
      </c>
      <c r="K64">
        <v>29800</v>
      </c>
      <c r="L64">
        <v>29937</v>
      </c>
      <c r="M64">
        <v>0.73</v>
      </c>
      <c r="N64">
        <v>1.37</v>
      </c>
    </row>
    <row r="65" spans="1:4" x14ac:dyDescent="0.4">
      <c r="A65">
        <v>30.815999999999999</v>
      </c>
      <c r="B65">
        <f>0.685*(2*PI())</f>
        <v>4.3039819354180171</v>
      </c>
      <c r="C65">
        <v>28.96</v>
      </c>
      <c r="D65">
        <f>0.699*(2*PI())</f>
        <v>4.3919465297185303</v>
      </c>
    </row>
    <row r="66" spans="1:4" x14ac:dyDescent="0.4">
      <c r="A66">
        <v>31.254999999999999</v>
      </c>
      <c r="B66">
        <f>0.685*(2*PI())</f>
        <v>4.3039819354180171</v>
      </c>
      <c r="C66">
        <v>29.384</v>
      </c>
      <c r="D66">
        <f>0.719*(2*PI())</f>
        <v>4.5176102358621222</v>
      </c>
    </row>
    <row r="67" spans="1:4" x14ac:dyDescent="0.4">
      <c r="A67">
        <v>31.692</v>
      </c>
      <c r="B67">
        <f>0.694*(2*PI())</f>
        <v>4.3605306031826325</v>
      </c>
      <c r="C67">
        <v>29.8</v>
      </c>
      <c r="D67">
        <f>0.73*(2*PI())</f>
        <v>4.5867252742410978</v>
      </c>
    </row>
    <row r="68" spans="1:4" x14ac:dyDescent="0.4">
      <c r="A68">
        <v>32.121000000000002</v>
      </c>
      <c r="B68">
        <f>0.704*(2*PI())</f>
        <v>4.423362456254428</v>
      </c>
    </row>
    <row r="69" spans="1:4" x14ac:dyDescent="0.4">
      <c r="A69">
        <v>32.544000000000004</v>
      </c>
      <c r="B69">
        <f>0.709*(2*PI())</f>
        <v>4.4547783827903267</v>
      </c>
    </row>
    <row r="70" spans="1:4" x14ac:dyDescent="0.4">
      <c r="A70">
        <v>32.963999999999999</v>
      </c>
      <c r="B70">
        <f>0.719*(2*PI())</f>
        <v>4.5176102358621222</v>
      </c>
    </row>
    <row r="71" spans="1:4" x14ac:dyDescent="0.4">
      <c r="A71">
        <v>33.378999999999998</v>
      </c>
      <c r="B71">
        <f>0.735*(2*PI())</f>
        <v>4.6181412007769955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8" sqref="E8:I11"/>
    </sheetView>
  </sheetViews>
  <sheetFormatPr defaultRowHeight="17" x14ac:dyDescent="0.4"/>
  <sheetData>
    <row r="1" spans="1:9" x14ac:dyDescent="0.4">
      <c r="B1" t="s">
        <v>57</v>
      </c>
      <c r="E1" t="s">
        <v>62</v>
      </c>
      <c r="F1">
        <v>8.9300000000000004E-3</v>
      </c>
      <c r="H1">
        <v>1.41E-2</v>
      </c>
    </row>
    <row r="2" spans="1:9" x14ac:dyDescent="0.4">
      <c r="A2" t="s">
        <v>58</v>
      </c>
      <c r="B2">
        <f>3.571*2*PI()</f>
        <v>22.437254731938303</v>
      </c>
    </row>
    <row r="5" spans="1:9" x14ac:dyDescent="0.4">
      <c r="A5" t="s">
        <v>59</v>
      </c>
      <c r="B5">
        <f>2.273*2*PI()</f>
        <v>14.281680203219201</v>
      </c>
      <c r="F5" t="s">
        <v>65</v>
      </c>
      <c r="G5" t="s">
        <v>28</v>
      </c>
    </row>
    <row r="6" spans="1:9" x14ac:dyDescent="0.4">
      <c r="F6">
        <f>F1*B2/H1</f>
        <v>14.210261330227594</v>
      </c>
      <c r="G6">
        <f>(B5-F6)/F6</f>
        <v>5.0258662618461198E-3</v>
      </c>
    </row>
    <row r="8" spans="1:9" x14ac:dyDescent="0.4">
      <c r="F8" s="10" t="s">
        <v>110</v>
      </c>
      <c r="G8" s="10" t="s">
        <v>113</v>
      </c>
      <c r="I8" s="2" t="s">
        <v>109</v>
      </c>
    </row>
    <row r="9" spans="1:9" x14ac:dyDescent="0.4">
      <c r="F9" s="2" t="s">
        <v>117</v>
      </c>
      <c r="G9" s="2" t="s">
        <v>114</v>
      </c>
      <c r="H9" s="2" t="s">
        <v>116</v>
      </c>
      <c r="I9" s="2" t="s">
        <v>115</v>
      </c>
    </row>
    <row r="10" spans="1:9" x14ac:dyDescent="0.4">
      <c r="E10" s="2" t="s">
        <v>111</v>
      </c>
      <c r="F10">
        <v>22.437000000000001</v>
      </c>
      <c r="G10">
        <v>8.9300000000000004E-3</v>
      </c>
    </row>
    <row r="11" spans="1:9" x14ac:dyDescent="0.4">
      <c r="E11" s="2" t="s">
        <v>112</v>
      </c>
      <c r="F11">
        <v>14.281000000000001</v>
      </c>
      <c r="G11">
        <v>1.41E-2</v>
      </c>
      <c r="H11" s="4">
        <v>14.210261330227594</v>
      </c>
      <c r="I11" s="1">
        <v>5.0200000000000002E-3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</dc:creator>
  <cp:lastModifiedBy>bowen</cp:lastModifiedBy>
  <dcterms:created xsi:type="dcterms:W3CDTF">2018-11-12T09:47:49Z</dcterms:created>
  <dcterms:modified xsi:type="dcterms:W3CDTF">2018-11-18T15:44:51Z</dcterms:modified>
</cp:coreProperties>
</file>