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普物實驗\Excel\"/>
    </mc:Choice>
  </mc:AlternateContent>
  <xr:revisionPtr revIDLastSave="0" documentId="13_ncr:1_{B4A9678E-DCE1-4665-B372-54DC96C5BC24}" xr6:coauthVersionLast="47" xr6:coauthVersionMax="47" xr10:uidLastSave="{00000000-0000-0000-0000-000000000000}"/>
  <bookViews>
    <workbookView xWindow="-120" yWindow="-120" windowWidth="29040" windowHeight="17520" xr2:uid="{D95C5D8F-95B7-42E1-B46C-B2FD9196AD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B11" i="1"/>
  <c r="B12" i="1"/>
  <c r="B13" i="1"/>
  <c r="B14" i="1"/>
  <c r="B15" i="1"/>
  <c r="B10" i="1"/>
  <c r="H10" i="1"/>
  <c r="AB10" i="1"/>
  <c r="AB11" i="1"/>
  <c r="AB12" i="1"/>
  <c r="AB13" i="1"/>
  <c r="AB9" i="1"/>
  <c r="AA10" i="1"/>
  <c r="AA11" i="1"/>
  <c r="AA12" i="1"/>
  <c r="AA13" i="1"/>
  <c r="AA9" i="1"/>
  <c r="O13" i="1"/>
  <c r="P13" i="1" s="1"/>
  <c r="O12" i="1"/>
  <c r="P12" i="1" s="1"/>
  <c r="O11" i="1"/>
  <c r="P11" i="1" s="1"/>
  <c r="O10" i="1"/>
  <c r="P10" i="1" s="1"/>
  <c r="O9" i="1"/>
  <c r="P9" i="1" s="1"/>
  <c r="U10" i="1"/>
  <c r="R10" i="1" s="1"/>
  <c r="R3" i="1" s="1"/>
  <c r="U11" i="1"/>
  <c r="R11" i="1" s="1"/>
  <c r="R4" i="1" s="1"/>
  <c r="U12" i="1"/>
  <c r="R12" i="1" s="1"/>
  <c r="R5" i="1" s="1"/>
  <c r="U13" i="1"/>
  <c r="R13" i="1" s="1"/>
  <c r="R6" i="1" s="1"/>
  <c r="U9" i="1"/>
  <c r="R9" i="1" s="1"/>
  <c r="R2" i="1" s="1"/>
  <c r="L14" i="1"/>
  <c r="H14" i="1"/>
  <c r="H13" i="1"/>
  <c r="H12" i="1"/>
  <c r="K6" i="1"/>
  <c r="K3" i="1"/>
  <c r="K4" i="1"/>
  <c r="K5" i="1"/>
  <c r="K2" i="1"/>
  <c r="K14" i="1"/>
  <c r="K13" i="1"/>
  <c r="L13" i="1" s="1"/>
  <c r="K12" i="1"/>
  <c r="L12" i="1" s="1"/>
  <c r="I14" i="1"/>
  <c r="I16" i="1" s="1"/>
  <c r="I13" i="1"/>
  <c r="I12" i="1"/>
  <c r="I11" i="1"/>
  <c r="K11" i="1"/>
  <c r="L11" i="1" s="1"/>
  <c r="K10" i="1"/>
  <c r="L10" i="1" s="1"/>
  <c r="I10" i="1"/>
  <c r="D15" i="1"/>
  <c r="C15" i="1" s="1"/>
  <c r="C16" i="1" s="1"/>
  <c r="D11" i="1"/>
  <c r="D12" i="1"/>
  <c r="D13" i="1"/>
  <c r="D14" i="1"/>
  <c r="E3" i="1"/>
  <c r="E4" i="1"/>
  <c r="E5" i="1"/>
  <c r="E6" i="1"/>
  <c r="E2" i="1"/>
  <c r="D10" i="1"/>
  <c r="Q10" i="1" l="1"/>
  <c r="Q12" i="1"/>
  <c r="Q9" i="1"/>
  <c r="Q13" i="1"/>
  <c r="Q11" i="1"/>
</calcChain>
</file>

<file path=xl/sharedStrings.xml><?xml version="1.0" encoding="utf-8"?>
<sst xmlns="http://schemas.openxmlformats.org/spreadsheetml/2006/main" count="48" uniqueCount="38">
  <si>
    <t>繩線</t>
    <phoneticPr fontId="1" type="noConversion"/>
  </si>
  <si>
    <t>長度</t>
    <phoneticPr fontId="1" type="noConversion"/>
  </si>
  <si>
    <t>質量</t>
    <phoneticPr fontId="1" type="noConversion"/>
  </si>
  <si>
    <t>密度</t>
    <phoneticPr fontId="1" type="noConversion"/>
  </si>
  <si>
    <t>A</t>
    <phoneticPr fontId="1" type="noConversion"/>
  </si>
  <si>
    <t>μ</t>
    <phoneticPr fontId="1" type="noConversion"/>
  </si>
  <si>
    <t>v</t>
    <phoneticPr fontId="1" type="noConversion"/>
  </si>
  <si>
    <t>v^2</t>
    <phoneticPr fontId="1" type="noConversion"/>
  </si>
  <si>
    <t>固定</t>
    <phoneticPr fontId="1" type="noConversion"/>
  </si>
  <si>
    <t>C</t>
    <phoneticPr fontId="1" type="noConversion"/>
  </si>
  <si>
    <t>D</t>
    <phoneticPr fontId="1" type="noConversion"/>
  </si>
  <si>
    <t>節點數</t>
    <phoneticPr fontId="1" type="noConversion"/>
  </si>
  <si>
    <t>f</t>
    <phoneticPr fontId="1" type="noConversion"/>
  </si>
  <si>
    <t>波長</t>
    <phoneticPr fontId="1" type="noConversion"/>
  </si>
  <si>
    <t>結果</t>
    <phoneticPr fontId="1" type="noConversion"/>
  </si>
  <si>
    <t>彈簧k</t>
    <phoneticPr fontId="1" type="noConversion"/>
  </si>
  <si>
    <t>伸長量</t>
    <phoneticPr fontId="1" type="noConversion"/>
  </si>
  <si>
    <t>彈簧質量</t>
    <phoneticPr fontId="1" type="noConversion"/>
  </si>
  <si>
    <t>f(hz)</t>
    <phoneticPr fontId="1" type="noConversion"/>
  </si>
  <si>
    <t>波長(m)</t>
    <phoneticPr fontId="1" type="noConversion"/>
  </si>
  <si>
    <t>v^2(m^2/s^2)</t>
    <phoneticPr fontId="1" type="noConversion"/>
  </si>
  <si>
    <t>週期</t>
    <phoneticPr fontId="1" type="noConversion"/>
  </si>
  <si>
    <t>變動</t>
    <phoneticPr fontId="1" type="noConversion"/>
  </si>
  <si>
    <t>掛勾</t>
    <phoneticPr fontId="1" type="noConversion"/>
  </si>
  <si>
    <t>砝碼A</t>
    <phoneticPr fontId="1" type="noConversion"/>
  </si>
  <si>
    <t>實驗v</t>
    <phoneticPr fontId="1" type="noConversion"/>
  </si>
  <si>
    <t>砝碼B</t>
    <phoneticPr fontId="1" type="noConversion"/>
  </si>
  <si>
    <t>砝碼C</t>
    <phoneticPr fontId="1" type="noConversion"/>
  </si>
  <si>
    <t>砝碼D</t>
    <phoneticPr fontId="1" type="noConversion"/>
  </si>
  <si>
    <t>F(N)</t>
    <phoneticPr fontId="1" type="noConversion"/>
  </si>
  <si>
    <t>實驗v^2(m^2/s^2)</t>
    <phoneticPr fontId="1" type="noConversion"/>
  </si>
  <si>
    <r>
      <t>實驗</t>
    </r>
    <r>
      <rPr>
        <sz val="12"/>
        <color theme="1"/>
        <rFont val="Calibri"/>
        <family val="2"/>
        <charset val="161"/>
      </rPr>
      <t>μ</t>
    </r>
    <phoneticPr fontId="1" type="noConversion"/>
  </si>
  <si>
    <t>誤差</t>
    <phoneticPr fontId="1" type="noConversion"/>
  </si>
  <si>
    <t>彈簧長</t>
    <phoneticPr fontId="1" type="noConversion"/>
  </si>
  <si>
    <t>總長</t>
    <phoneticPr fontId="1" type="noConversion"/>
  </si>
  <si>
    <t>理論v</t>
    <phoneticPr fontId="1" type="noConversion"/>
  </si>
  <si>
    <t>flog</t>
    <phoneticPr fontId="1" type="noConversion"/>
  </si>
  <si>
    <t>節點log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</si>
</sst>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altLang="zh-TW" sz="1400" b="0" i="0" u="none" strike="noStrike" baseline="0">
                <a:effectLst/>
              </a:rPr>
              <a:t>λ</a:t>
            </a:r>
            <a:r>
              <a:rPr lang="zh-TW" altLang="en-US"/>
              <a:t> </a:t>
            </a:r>
            <a:r>
              <a:rPr lang="en-US" altLang="zh-TW"/>
              <a:t>-</a:t>
            </a:r>
            <a:r>
              <a:rPr lang="zh-TW" altLang="en-US"/>
              <a:t> </a:t>
            </a:r>
            <a:r>
              <a:rPr lang="en-US" altLang="zh-TW"/>
              <a:t>T</a:t>
            </a:r>
            <a:r>
              <a:rPr lang="zh-TW" altLang="en-US"/>
              <a:t> 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809601924759405"/>
                  <c:y val="-0.209736803732866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工作表1!$E$2:$E$6</c:f>
              <c:numCache>
                <c:formatCode>General</c:formatCode>
                <c:ptCount val="5"/>
                <c:pt idx="0">
                  <c:v>9.2592592592592587E-3</c:v>
                </c:pt>
                <c:pt idx="1">
                  <c:v>4.608294930875576E-3</c:v>
                </c:pt>
                <c:pt idx="2">
                  <c:v>1.020408163265306E-2</c:v>
                </c:pt>
                <c:pt idx="3">
                  <c:v>9.7087378640776691E-3</c:v>
                </c:pt>
                <c:pt idx="4">
                  <c:v>8.1967213114754103E-3</c:v>
                </c:pt>
              </c:numCache>
            </c:numRef>
          </c:xVal>
          <c:yVal>
            <c:numRef>
              <c:f>工作表1!$F$10:$F$14</c:f>
              <c:numCache>
                <c:formatCode>General</c:formatCode>
                <c:ptCount val="5"/>
                <c:pt idx="0">
                  <c:v>1.77</c:v>
                </c:pt>
                <c:pt idx="1">
                  <c:v>0.88500000000000001</c:v>
                </c:pt>
                <c:pt idx="2">
                  <c:v>1.994</c:v>
                </c:pt>
                <c:pt idx="3">
                  <c:v>1.8720000000000001</c:v>
                </c:pt>
                <c:pt idx="4">
                  <c:v>1.546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5D-4515-85F6-C938F715B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14960"/>
        <c:axId val="142206224"/>
      </c:scatterChart>
      <c:valAx>
        <c:axId val="14221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週期</a:t>
                </a: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206224"/>
        <c:crosses val="autoZero"/>
        <c:crossBetween val="midCat"/>
      </c:valAx>
      <c:valAx>
        <c:axId val="1422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波長</a:t>
                </a:r>
                <a:r>
                  <a:rPr lang="el-GR" altLang="zh-TW">
                    <a:ea typeface="標楷體" panose="03000509000000000000" pitchFamily="65" charset="-120"/>
                  </a:rPr>
                  <a:t>λ</a:t>
                </a:r>
                <a:r>
                  <a:rPr lang="en-US" altLang="zh-TW"/>
                  <a:t>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221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</a:t>
            </a:r>
            <a:r>
              <a:rPr lang="zh-TW" altLang="en-US"/>
              <a:t> </a:t>
            </a:r>
            <a:r>
              <a:rPr lang="en-US" altLang="zh-TW"/>
              <a:t>-</a:t>
            </a:r>
            <a:r>
              <a:rPr lang="zh-TW" altLang="en-US"/>
              <a:t> </a:t>
            </a:r>
            <a:r>
              <a:rPr lang="en-US" altLang="zh-TW"/>
              <a:t>v^2</a:t>
            </a:r>
            <a:r>
              <a:rPr lang="zh-TW" altLang="en-US"/>
              <a:t> 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1125789028437563E-2"/>
                  <c:y val="-0.16465988626421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工作表1!$L$10:$L$14</c:f>
              <c:numCache>
                <c:formatCode>General</c:formatCode>
                <c:ptCount val="5"/>
                <c:pt idx="0">
                  <c:v>17585.942544000001</c:v>
                </c:pt>
                <c:pt idx="1">
                  <c:v>30418.848099999996</c:v>
                </c:pt>
                <c:pt idx="2">
                  <c:v>50473.912895999994</c:v>
                </c:pt>
                <c:pt idx="3">
                  <c:v>70547.609663999989</c:v>
                </c:pt>
                <c:pt idx="4">
                  <c:v>75310.727184000003</c:v>
                </c:pt>
              </c:numCache>
            </c:numRef>
          </c:xVal>
          <c:yVal>
            <c:numRef>
              <c:f>工作表1!$H$10:$H$14</c:f>
              <c:numCache>
                <c:formatCode>General</c:formatCode>
                <c:ptCount val="5"/>
                <c:pt idx="0">
                  <c:v>0.49490000000000006</c:v>
                </c:pt>
                <c:pt idx="1">
                  <c:v>0.98607600000000006</c:v>
                </c:pt>
                <c:pt idx="2">
                  <c:v>1.4692160000000001</c:v>
                </c:pt>
                <c:pt idx="3">
                  <c:v>1.9615680000000002</c:v>
                </c:pt>
                <c:pt idx="4">
                  <c:v>2.1552160000000002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483-4DDC-8D8B-CCD0F3295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67008"/>
        <c:axId val="138262848"/>
      </c:scatterChart>
      <c:valAx>
        <c:axId val="1382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v^2(m^2/s^2)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8262848"/>
        <c:crosses val="autoZero"/>
        <c:crossBetween val="midCat"/>
      </c:valAx>
      <c:valAx>
        <c:axId val="1382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82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log n - log f</a:t>
            </a:r>
            <a:r>
              <a:rPr lang="zh-TW" altLang="en-US"/>
              <a:t> 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967629046369211E-2"/>
                  <c:y val="-0.135277777777777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工作表1!$AA$9:$AA$13</c:f>
              <c:numCache>
                <c:formatCode>General</c:formatCode>
                <c:ptCount val="5"/>
                <c:pt idx="0">
                  <c:v>1.7993405494535817</c:v>
                </c:pt>
                <c:pt idx="1">
                  <c:v>1.5550944485783191</c:v>
                </c:pt>
                <c:pt idx="2">
                  <c:v>2.1303337684950061</c:v>
                </c:pt>
                <c:pt idx="3">
                  <c:v>1.2787536009528289</c:v>
                </c:pt>
                <c:pt idx="4">
                  <c:v>2.0086001717619175</c:v>
                </c:pt>
              </c:numCache>
            </c:numRef>
          </c:xVal>
          <c:yVal>
            <c:numRef>
              <c:f>工作表1!$AB$9:$AB$13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0.6020599913279624</c:v>
                </c:pt>
                <c:pt idx="2">
                  <c:v>0.84509804001425681</c:v>
                </c:pt>
                <c:pt idx="3">
                  <c:v>0.47712125471966244</c:v>
                </c:pt>
                <c:pt idx="4">
                  <c:v>0.77815125038364363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EF-45D7-BE5E-674BCEA50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704352"/>
        <c:axId val="401709760"/>
      </c:scatterChart>
      <c:valAx>
        <c:axId val="4017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f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1709760"/>
        <c:crosses val="autoZero"/>
        <c:crossBetween val="midCat"/>
      </c:valAx>
      <c:valAx>
        <c:axId val="4017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log 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170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</a:t>
            </a:r>
            <a:r>
              <a:rPr lang="zh-TW" altLang="en-US"/>
              <a:t> </a:t>
            </a:r>
            <a:r>
              <a:rPr lang="en-US" altLang="zh-TW"/>
              <a:t>-</a:t>
            </a:r>
            <a:r>
              <a:rPr lang="zh-TW" altLang="en-US"/>
              <a:t> </a:t>
            </a:r>
            <a:r>
              <a:rPr lang="en-US" altLang="zh-TW"/>
              <a:t>L</a:t>
            </a:r>
            <a:r>
              <a:rPr lang="zh-TW" altLang="en-US"/>
              <a:t> 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001091155740364E-2"/>
                  <c:y val="-0.391270554187886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工作表1!$O$9:$O$13</c:f>
              <c:numCache>
                <c:formatCode>General</c:formatCode>
                <c:ptCount val="5"/>
                <c:pt idx="0">
                  <c:v>0.36</c:v>
                </c:pt>
                <c:pt idx="1">
                  <c:v>0.42499999999999999</c:v>
                </c:pt>
                <c:pt idx="2">
                  <c:v>0.28999999999999998</c:v>
                </c:pt>
                <c:pt idx="3">
                  <c:v>0.54</c:v>
                </c:pt>
                <c:pt idx="4">
                  <c:v>0.60500000000000009</c:v>
                </c:pt>
              </c:numCache>
            </c:numRef>
          </c:xVal>
          <c:yVal>
            <c:numRef>
              <c:f>工作表1!$S$9:$S$13</c:f>
              <c:numCache>
                <c:formatCode>General</c:formatCode>
                <c:ptCount val="5"/>
                <c:pt idx="0">
                  <c:v>80.3</c:v>
                </c:pt>
                <c:pt idx="1">
                  <c:v>79.900000000000006</c:v>
                </c:pt>
                <c:pt idx="2">
                  <c:v>80.3</c:v>
                </c:pt>
                <c:pt idx="3">
                  <c:v>80.099999999999994</c:v>
                </c:pt>
                <c:pt idx="4">
                  <c:v>80.2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8-4D58-989E-E2988F4B3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378752"/>
        <c:axId val="513370848"/>
      </c:scatterChart>
      <c:valAx>
        <c:axId val="51337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伸長量 </a:t>
                </a:r>
                <a:r>
                  <a:rPr lang="en-US" altLang="zh-TW"/>
                  <a:t>L(m)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370848"/>
        <c:crosses val="autoZero"/>
        <c:crossBetween val="midCat"/>
      </c:valAx>
      <c:valAx>
        <c:axId val="513370848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頻率 </a:t>
                </a:r>
                <a:r>
                  <a:rPr lang="en-US" altLang="zh-TW"/>
                  <a:t>f(Hz)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37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34925</xdr:rowOff>
    </xdr:from>
    <xdr:to>
      <xdr:col>7</xdr:col>
      <xdr:colOff>304800</xdr:colOff>
      <xdr:row>30</xdr:row>
      <xdr:rowOff>187325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63D781F-F1DA-4D08-ACFF-80C03CAF8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18</xdr:row>
      <xdr:rowOff>41275</xdr:rowOff>
    </xdr:from>
    <xdr:to>
      <xdr:col>14</xdr:col>
      <xdr:colOff>381000</xdr:colOff>
      <xdr:row>30</xdr:row>
      <xdr:rowOff>193675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AE6D4E0-7517-4015-99E3-57033F223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127000</xdr:colOff>
      <xdr:row>13</xdr:row>
      <xdr:rowOff>187325</xdr:rowOff>
    </xdr:from>
    <xdr:to>
      <xdr:col>29</xdr:col>
      <xdr:colOff>431800</xdr:colOff>
      <xdr:row>26</xdr:row>
      <xdr:rowOff>123825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06C4D3A-A162-419A-B365-673FA36DD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336550</xdr:colOff>
      <xdr:row>16</xdr:row>
      <xdr:rowOff>76200</xdr:rowOff>
    </xdr:from>
    <xdr:to>
      <xdr:col>21</xdr:col>
      <xdr:colOff>603250</xdr:colOff>
      <xdr:row>29</xdr:row>
      <xdr:rowOff>12700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D3B6B8F-B8D4-4412-951E-30C9D5427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401F-C2CA-468C-95A5-7A8D947D3CF1}">
  <dimension ref="A1:AB17"/>
  <sheetViews>
    <sheetView tabSelected="1" topLeftCell="H1" workbookViewId="0">
      <selection activeCell="AD9" sqref="AD9"/>
    </sheetView>
  </sheetViews>
  <sheetFormatPr defaultRowHeight="16.5" x14ac:dyDescent="0.25"/>
  <cols>
    <col min="3" max="3" width="13" bestFit="1" customWidth="1"/>
    <col min="10" max="10" width="9.25" bestFit="1" customWidth="1"/>
    <col min="17" max="17" width="9.25" bestFit="1" customWidth="1"/>
  </cols>
  <sheetData>
    <row r="1" spans="1:28" x14ac:dyDescent="0.25">
      <c r="B1" t="s">
        <v>0</v>
      </c>
      <c r="E1" t="s">
        <v>21</v>
      </c>
      <c r="H1" t="s">
        <v>23</v>
      </c>
      <c r="I1">
        <v>5.0500000000000003E-2</v>
      </c>
      <c r="K1" t="s">
        <v>21</v>
      </c>
      <c r="R1" t="s">
        <v>7</v>
      </c>
    </row>
    <row r="2" spans="1:28" x14ac:dyDescent="0.25">
      <c r="A2" t="s">
        <v>1</v>
      </c>
      <c r="E2">
        <f>1/E10</f>
        <v>9.2592592592592587E-3</v>
      </c>
      <c r="H2" t="s">
        <v>24</v>
      </c>
      <c r="I2">
        <v>5.0119999999999998E-2</v>
      </c>
      <c r="K2">
        <f>1/J10</f>
        <v>1.1627906976744186E-2</v>
      </c>
      <c r="R2">
        <f>R9^2</f>
        <v>19.064684847656252</v>
      </c>
    </row>
    <row r="3" spans="1:28" x14ac:dyDescent="0.25">
      <c r="A3" t="s">
        <v>2</v>
      </c>
      <c r="E3">
        <f t="shared" ref="E3:E6" si="0">1/E11</f>
        <v>4.608294930875576E-3</v>
      </c>
      <c r="H3" t="s">
        <v>26</v>
      </c>
      <c r="I3">
        <v>4.9299999999999997E-2</v>
      </c>
      <c r="K3">
        <f>1/J11</f>
        <v>9.3457943925233638E-3</v>
      </c>
      <c r="R3">
        <f t="shared" ref="R3:R6" si="1">R10^2</f>
        <v>24.937539062500004</v>
      </c>
      <c r="S3" t="s">
        <v>17</v>
      </c>
      <c r="T3">
        <v>1.094E-2</v>
      </c>
    </row>
    <row r="4" spans="1:28" x14ac:dyDescent="0.25">
      <c r="A4" t="s">
        <v>3</v>
      </c>
      <c r="B4" s="2">
        <v>3.15E-5</v>
      </c>
      <c r="E4">
        <f t="shared" si="0"/>
        <v>1.020408163265306E-2</v>
      </c>
      <c r="H4" t="s">
        <v>27</v>
      </c>
      <c r="I4">
        <v>5.024E-2</v>
      </c>
      <c r="K4">
        <f>1/J12</f>
        <v>7.246376811594203E-3</v>
      </c>
      <c r="R4">
        <f t="shared" si="1"/>
        <v>13.422606097656249</v>
      </c>
      <c r="S4" t="s">
        <v>33</v>
      </c>
      <c r="T4">
        <v>7.4999999999999997E-2</v>
      </c>
    </row>
    <row r="5" spans="1:28" x14ac:dyDescent="0.25">
      <c r="E5">
        <f t="shared" si="0"/>
        <v>9.7087378640776691E-3</v>
      </c>
      <c r="H5" t="s">
        <v>28</v>
      </c>
      <c r="I5">
        <v>1.976E-2</v>
      </c>
      <c r="K5">
        <f>1/J13</f>
        <v>6.5359477124183009E-3</v>
      </c>
      <c r="R5">
        <f t="shared" si="1"/>
        <v>37.917115347656249</v>
      </c>
      <c r="S5" t="s">
        <v>15</v>
      </c>
      <c r="T5">
        <v>1.1200000000000001</v>
      </c>
    </row>
    <row r="6" spans="1:28" x14ac:dyDescent="0.25">
      <c r="E6">
        <f t="shared" si="0"/>
        <v>8.1967213114754103E-3</v>
      </c>
      <c r="K6">
        <f>1/J14</f>
        <v>6.1728395061728392E-3</v>
      </c>
      <c r="R6">
        <f t="shared" si="1"/>
        <v>46.471489000000012</v>
      </c>
    </row>
    <row r="7" spans="1:28" x14ac:dyDescent="0.25">
      <c r="D7" t="s">
        <v>6</v>
      </c>
      <c r="E7">
        <v>195.55</v>
      </c>
    </row>
    <row r="8" spans="1:28" x14ac:dyDescent="0.25">
      <c r="A8" t="s">
        <v>4</v>
      </c>
      <c r="B8" t="s">
        <v>8</v>
      </c>
      <c r="C8" t="s">
        <v>14</v>
      </c>
      <c r="H8" t="s">
        <v>22</v>
      </c>
      <c r="L8" t="s">
        <v>14</v>
      </c>
      <c r="N8" t="s">
        <v>9</v>
      </c>
      <c r="O8" t="s">
        <v>16</v>
      </c>
      <c r="P8" t="s">
        <v>29</v>
      </c>
      <c r="Q8" s="4" t="s">
        <v>35</v>
      </c>
      <c r="R8" t="s">
        <v>25</v>
      </c>
      <c r="S8" t="s">
        <v>12</v>
      </c>
      <c r="T8" t="s">
        <v>11</v>
      </c>
      <c r="U8" t="s">
        <v>13</v>
      </c>
      <c r="V8" t="s">
        <v>34</v>
      </c>
      <c r="X8" t="s">
        <v>10</v>
      </c>
      <c r="Y8" t="s">
        <v>12</v>
      </c>
      <c r="Z8" t="s">
        <v>11</v>
      </c>
      <c r="AA8" t="s">
        <v>36</v>
      </c>
      <c r="AB8" t="s">
        <v>37</v>
      </c>
    </row>
    <row r="9" spans="1:28" x14ac:dyDescent="0.25">
      <c r="B9" t="s">
        <v>29</v>
      </c>
      <c r="C9" s="1" t="s">
        <v>5</v>
      </c>
      <c r="D9" t="s">
        <v>20</v>
      </c>
      <c r="E9" t="s">
        <v>18</v>
      </c>
      <c r="F9" t="s">
        <v>19</v>
      </c>
      <c r="H9" t="s">
        <v>29</v>
      </c>
      <c r="I9" s="1" t="s">
        <v>5</v>
      </c>
      <c r="J9" t="s">
        <v>18</v>
      </c>
      <c r="K9" t="s">
        <v>19</v>
      </c>
      <c r="L9" t="s">
        <v>30</v>
      </c>
      <c r="O9">
        <f>V9-T4</f>
        <v>0.36</v>
      </c>
      <c r="P9">
        <f>T5*O9</f>
        <v>0.4032</v>
      </c>
      <c r="Q9" s="2">
        <f>O9*SQRT(T5/T3)</f>
        <v>3.6425275994306836</v>
      </c>
      <c r="R9">
        <f>S9*U9</f>
        <v>4.3663125000000003</v>
      </c>
      <c r="S9">
        <v>80.3</v>
      </c>
      <c r="T9">
        <v>17</v>
      </c>
      <c r="U9">
        <f>V9/((T9-1)/2)</f>
        <v>5.4375E-2</v>
      </c>
      <c r="V9">
        <v>0.435</v>
      </c>
      <c r="Y9">
        <v>63</v>
      </c>
      <c r="Z9">
        <v>5</v>
      </c>
      <c r="AA9">
        <f>LOG(Y9)</f>
        <v>1.7993405494535817</v>
      </c>
      <c r="AB9">
        <f>LOG(Z9)</f>
        <v>0.69897000433601886</v>
      </c>
    </row>
    <row r="10" spans="1:28" x14ac:dyDescent="0.25">
      <c r="A10">
        <v>1</v>
      </c>
      <c r="B10">
        <f>0.10062*9.8</f>
        <v>0.98607600000000006</v>
      </c>
      <c r="D10">
        <f>(E10*F10)^2</f>
        <v>36542.145599999996</v>
      </c>
      <c r="E10">
        <v>108</v>
      </c>
      <c r="F10">
        <v>1.77</v>
      </c>
      <c r="H10">
        <f>I1*9.8</f>
        <v>0.49490000000000006</v>
      </c>
      <c r="I10" s="2">
        <f>B4</f>
        <v>3.15E-5</v>
      </c>
      <c r="J10">
        <v>86</v>
      </c>
      <c r="K10">
        <f>0.771*2</f>
        <v>1.542</v>
      </c>
      <c r="L10">
        <f>J10*K10*J10*K10</f>
        <v>17585.942544000001</v>
      </c>
      <c r="O10">
        <f>V10-T4</f>
        <v>0.42499999999999999</v>
      </c>
      <c r="P10">
        <f>T5*O10</f>
        <v>0.47600000000000003</v>
      </c>
      <c r="Q10" s="2">
        <f>O10*SQRT(T5/T3)</f>
        <v>4.3002061937723353</v>
      </c>
      <c r="R10">
        <f t="shared" ref="R10:R13" si="2">S10*U10</f>
        <v>4.9937500000000004</v>
      </c>
      <c r="S10">
        <v>79.900000000000006</v>
      </c>
      <c r="T10">
        <v>17</v>
      </c>
      <c r="U10">
        <f t="shared" ref="U10:U13" si="3">V10/((T10-1)/2)</f>
        <v>6.25E-2</v>
      </c>
      <c r="V10">
        <v>0.5</v>
      </c>
      <c r="Y10">
        <v>35.9</v>
      </c>
      <c r="Z10">
        <v>4</v>
      </c>
      <c r="AA10">
        <f t="shared" ref="AA10:AA13" si="4">LOG(Y10)</f>
        <v>1.5550944485783191</v>
      </c>
      <c r="AB10">
        <f t="shared" ref="AB10:AB13" si="5">LOG(Z10)</f>
        <v>0.6020599913279624</v>
      </c>
    </row>
    <row r="11" spans="1:28" x14ac:dyDescent="0.25">
      <c r="A11">
        <v>2</v>
      </c>
      <c r="B11">
        <f t="shared" ref="B11:B15" si="6">0.10062*9.8</f>
        <v>0.98607600000000006</v>
      </c>
      <c r="D11">
        <f t="shared" ref="D11:D14" si="7">(E11*F11)^2</f>
        <v>36881.282025000008</v>
      </c>
      <c r="E11">
        <v>217</v>
      </c>
      <c r="F11">
        <v>0.88500000000000001</v>
      </c>
      <c r="H11">
        <f>(I1+I2)*9.8</f>
        <v>0.98607600000000006</v>
      </c>
      <c r="I11" s="2">
        <f>B4</f>
        <v>3.15E-5</v>
      </c>
      <c r="J11">
        <v>107</v>
      </c>
      <c r="K11">
        <f>0.815*2</f>
        <v>1.63</v>
      </c>
      <c r="L11">
        <f t="shared" ref="L11:L14" si="8">J11*K11*J11*K11</f>
        <v>30418.848099999996</v>
      </c>
      <c r="O11">
        <f>V11-T4</f>
        <v>0.28999999999999998</v>
      </c>
      <c r="P11">
        <f>T5*O11</f>
        <v>0.32480000000000003</v>
      </c>
      <c r="Q11" s="2">
        <f>O11*SQRT(T5/T3)</f>
        <v>2.9342583439858285</v>
      </c>
      <c r="R11">
        <f t="shared" si="2"/>
        <v>3.6636875</v>
      </c>
      <c r="S11">
        <v>80.3</v>
      </c>
      <c r="T11">
        <v>17</v>
      </c>
      <c r="U11">
        <f t="shared" si="3"/>
        <v>4.5624999999999999E-2</v>
      </c>
      <c r="V11">
        <v>0.36499999999999999</v>
      </c>
      <c r="Y11">
        <v>135</v>
      </c>
      <c r="Z11">
        <v>7</v>
      </c>
      <c r="AA11">
        <f t="shared" si="4"/>
        <v>2.1303337684950061</v>
      </c>
      <c r="AB11">
        <f t="shared" si="5"/>
        <v>0.84509804001425681</v>
      </c>
    </row>
    <row r="12" spans="1:28" x14ac:dyDescent="0.25">
      <c r="A12">
        <v>3</v>
      </c>
      <c r="B12">
        <f t="shared" si="6"/>
        <v>0.98607600000000006</v>
      </c>
      <c r="D12">
        <f t="shared" si="7"/>
        <v>38185.849743999999</v>
      </c>
      <c r="E12">
        <v>98</v>
      </c>
      <c r="F12">
        <v>1.994</v>
      </c>
      <c r="H12">
        <f>(I3+I2+I1)*9.8</f>
        <v>1.4692160000000001</v>
      </c>
      <c r="I12" s="2">
        <f>B4</f>
        <v>3.15E-5</v>
      </c>
      <c r="J12">
        <v>138</v>
      </c>
      <c r="K12">
        <f>0.814*2</f>
        <v>1.6279999999999999</v>
      </c>
      <c r="L12">
        <f t="shared" si="8"/>
        <v>50473.912895999994</v>
      </c>
      <c r="O12">
        <f>V12-T4</f>
        <v>0.54</v>
      </c>
      <c r="P12">
        <f>T5*O12</f>
        <v>0.60480000000000012</v>
      </c>
      <c r="Q12" s="2">
        <f>O12*SQRT(T5/T3)</f>
        <v>5.4637913991460261</v>
      </c>
      <c r="R12">
        <f t="shared" si="2"/>
        <v>6.1576874999999998</v>
      </c>
      <c r="S12">
        <v>80.099999999999994</v>
      </c>
      <c r="T12">
        <v>17</v>
      </c>
      <c r="U12">
        <f t="shared" si="3"/>
        <v>7.6874999999999999E-2</v>
      </c>
      <c r="V12">
        <v>0.61499999999999999</v>
      </c>
      <c r="Y12">
        <v>19</v>
      </c>
      <c r="Z12">
        <v>3</v>
      </c>
      <c r="AA12">
        <f t="shared" si="4"/>
        <v>1.2787536009528289</v>
      </c>
      <c r="AB12">
        <f t="shared" si="5"/>
        <v>0.47712125471966244</v>
      </c>
    </row>
    <row r="13" spans="1:28" x14ac:dyDescent="0.25">
      <c r="A13">
        <v>4</v>
      </c>
      <c r="B13">
        <f t="shared" si="6"/>
        <v>0.98607600000000006</v>
      </c>
      <c r="D13">
        <f t="shared" si="7"/>
        <v>37178.009856000004</v>
      </c>
      <c r="E13">
        <v>103</v>
      </c>
      <c r="F13">
        <v>1.8720000000000001</v>
      </c>
      <c r="H13">
        <f>(I1+I2+I3+I4)*9.8</f>
        <v>1.9615680000000002</v>
      </c>
      <c r="I13" s="2">
        <f>B4</f>
        <v>3.15E-5</v>
      </c>
      <c r="J13">
        <v>153</v>
      </c>
      <c r="K13">
        <f>0.868*2</f>
        <v>1.736</v>
      </c>
      <c r="L13">
        <f t="shared" si="8"/>
        <v>70547.609663999989</v>
      </c>
      <c r="O13">
        <f>V13-T4</f>
        <v>0.60500000000000009</v>
      </c>
      <c r="P13">
        <f>T5*O13</f>
        <v>0.6776000000000002</v>
      </c>
      <c r="Q13" s="2">
        <f>O13*SQRT(T5/T3)</f>
        <v>6.1214699934876782</v>
      </c>
      <c r="R13">
        <f t="shared" si="2"/>
        <v>6.8170000000000011</v>
      </c>
      <c r="S13">
        <v>80.2</v>
      </c>
      <c r="T13">
        <v>17</v>
      </c>
      <c r="U13">
        <f t="shared" si="3"/>
        <v>8.5000000000000006E-2</v>
      </c>
      <c r="V13">
        <v>0.68</v>
      </c>
      <c r="Y13">
        <v>102</v>
      </c>
      <c r="Z13">
        <v>6</v>
      </c>
      <c r="AA13">
        <f t="shared" si="4"/>
        <v>2.0086001717619175</v>
      </c>
      <c r="AB13">
        <f t="shared" si="5"/>
        <v>0.77815125038364363</v>
      </c>
    </row>
    <row r="14" spans="1:28" x14ac:dyDescent="0.25">
      <c r="A14">
        <v>5</v>
      </c>
      <c r="B14">
        <f t="shared" si="6"/>
        <v>0.98607600000000006</v>
      </c>
      <c r="D14">
        <f t="shared" si="7"/>
        <v>35574.486543999999</v>
      </c>
      <c r="E14">
        <v>122</v>
      </c>
      <c r="F14">
        <v>1.546</v>
      </c>
      <c r="H14">
        <f>(I1+I2+I3+I4+I5)*9.8</f>
        <v>2.1552160000000002</v>
      </c>
      <c r="I14" s="2">
        <f>B4</f>
        <v>3.15E-5</v>
      </c>
      <c r="J14">
        <v>162</v>
      </c>
      <c r="K14">
        <f>0.847*2</f>
        <v>1.694</v>
      </c>
      <c r="L14">
        <f t="shared" si="8"/>
        <v>75310.727184000003</v>
      </c>
    </row>
    <row r="15" spans="1:28" x14ac:dyDescent="0.25">
      <c r="B15">
        <f t="shared" si="6"/>
        <v>0.98607600000000006</v>
      </c>
      <c r="C15">
        <f>B15/D15</f>
        <v>2.5786639457669792E-5</v>
      </c>
      <c r="D15">
        <f>E7^2</f>
        <v>38239.802500000005</v>
      </c>
      <c r="H15" t="s">
        <v>31</v>
      </c>
      <c r="I15" s="2">
        <v>3.0000000000000001E-5</v>
      </c>
    </row>
    <row r="16" spans="1:28" x14ac:dyDescent="0.25">
      <c r="B16" t="s">
        <v>32</v>
      </c>
      <c r="C16" s="2">
        <f>(B4-C15)/B4</f>
        <v>0.18137652515333993</v>
      </c>
      <c r="H16" t="s">
        <v>32</v>
      </c>
      <c r="I16" s="2">
        <f>(I14-I15)/I14</f>
        <v>4.7619047619047596E-2</v>
      </c>
    </row>
    <row r="17" spans="3:9" x14ac:dyDescent="0.25">
      <c r="C17" s="5">
        <v>0.18099999999999999</v>
      </c>
      <c r="I17" s="3">
        <v>4.7600000000000003E-2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LiuUtin</dc:creator>
  <cp:lastModifiedBy>Utin Liu</cp:lastModifiedBy>
  <dcterms:created xsi:type="dcterms:W3CDTF">2022-11-09T05:24:41Z</dcterms:created>
  <dcterms:modified xsi:type="dcterms:W3CDTF">2022-11-10T09:09:37Z</dcterms:modified>
</cp:coreProperties>
</file>